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5985" activeTab="0"/>
  </bookViews>
  <sheets>
    <sheet name="grudzień" sheetId="1" r:id="rId1"/>
  </sheets>
  <definedNames>
    <definedName name="_xlnm.Print_Titles" localSheetId="0">'grudzień'!$2:$3</definedName>
  </definedNames>
  <calcPr fullCalcOnLoad="1"/>
</workbook>
</file>

<file path=xl/sharedStrings.xml><?xml version="1.0" encoding="utf-8"?>
<sst xmlns="http://schemas.openxmlformats.org/spreadsheetml/2006/main" count="656" uniqueCount="334">
  <si>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</si>
  <si>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</si>
  <si>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</si>
  <si>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</si>
  <si>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</si>
  <si>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</si>
  <si>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</si>
  <si>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</si>
  <si>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700 GOSPODARKA MIESZKANIOWA</t>
  </si>
  <si>
    <t>70005 Gospodarka gruntami i nieruchomościami</t>
  </si>
  <si>
    <t>70095 Pozostała działalność</t>
  </si>
  <si>
    <t>700 GOSPODARKA MIESZKANIOWA - Suma</t>
  </si>
  <si>
    <t>710 DZIAŁALNOŚĆ USŁUGOWA</t>
  </si>
  <si>
    <t>71013 Prace geodezyjne i kartograficzne (nieinwestycyjne)</t>
  </si>
  <si>
    <t>71014 Opracowania geodezyjne i kartograficzne</t>
  </si>
  <si>
    <t>71015 Nadzór budowlany</t>
  </si>
  <si>
    <t>71095 Pozostała działalność</t>
  </si>
  <si>
    <t>710 DZIAŁALNOŚĆ USŁUGOWA - Suma</t>
  </si>
  <si>
    <t>750 ADMINISTRACJA PUBLICZNA</t>
  </si>
  <si>
    <t>75011 Urzędy wojewódzkie</t>
  </si>
  <si>
    <t>75023 Urzędy gmin (miast i miast na prawach powiatu)</t>
  </si>
  <si>
    <t>75045 Komisje poborowe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</si>
  <si>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</si>
  <si>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</si>
  <si>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</si>
  <si>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</si>
  <si>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</si>
  <si>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</si>
  <si>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</si>
  <si>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 BEZPIECZEŃSTWO PUBLICZNE I OCHRONA PRZECIWPOŻAROWA - Suma</t>
  </si>
  <si>
    <t>75601 Wpływy z podatku dochodowego od osób fizycznych</t>
  </si>
  <si>
    <t>75621 Udziały gmin w podatkach stanowiących dochód budżetu państwa</t>
  </si>
  <si>
    <t>75622 Udziały powiatów w podatkach stanowiących dochód budżetu państwa</t>
  </si>
  <si>
    <t>758 RÓŻNE ROZLICZENIA</t>
  </si>
  <si>
    <t>75801 Część oświatowa subwencji ogólnej dla jednostek samorządu terytorialnego</t>
  </si>
  <si>
    <t>75814 Różne rozliczenia finansowe</t>
  </si>
  <si>
    <t>758 RÓŻNE ROZLICZENIA - Suma</t>
  </si>
  <si>
    <t>801 OŚWIATA I WYCHOWANIE</t>
  </si>
  <si>
    <t>80101 Szkoły podstawowe</t>
  </si>
  <si>
    <t>80102 Szkoły podstawowe specjalne</t>
  </si>
  <si>
    <t>80110 Gimnazja</t>
  </si>
  <si>
    <t>80120 Licea ogólnokształcące</t>
  </si>
  <si>
    <t>80132 Szkoły artystyczne</t>
  </si>
  <si>
    <t>80140 Centra kształcenia ustawicznego i praktycznego oraz ośrodki dokształcania zawodowego</t>
  </si>
  <si>
    <t>801 OŚWIATA I WYCHOWANIE - Suma</t>
  </si>
  <si>
    <t>851 OCHRONA ZDROWIA</t>
  </si>
  <si>
    <t>851 OCHRONA ZDROWIA - Suma</t>
  </si>
  <si>
    <t>85305 Żłobki</t>
  </si>
  <si>
    <t>85333 Powiatowe urzędy pracy</t>
  </si>
  <si>
    <t>854 EDUKACYJNA OPIEKA WYCHOWAWCZA</t>
  </si>
  <si>
    <t>85403 Specjalne ośrodki szkolno - wychowawcze</t>
  </si>
  <si>
    <t>85407 Placówki wychowania pozaszkolnego</t>
  </si>
  <si>
    <t>85410 Internaty i bursy szkolne</t>
  </si>
  <si>
    <t>854 EDUKACYJNA OPIEKA WYCHOWAWCZA - Suma</t>
  </si>
  <si>
    <t>900 GOSPODARKA KOMUNALNA I OCHRONA ŚRODOWISKA</t>
  </si>
  <si>
    <t>90095 Pozostała działalność</t>
  </si>
  <si>
    <t>900 GOSPODARKA KOMUNALNA I OCHRONA ŚRODOWISKA - Suma</t>
  </si>
  <si>
    <t>% wyk</t>
  </si>
  <si>
    <t>75416 Straż Miejska</t>
  </si>
  <si>
    <t>926 KULTURA FIZYCZNA I SPORT</t>
  </si>
  <si>
    <t>926 KULTURA FIZYCZNA I SPORT - Suma</t>
  </si>
  <si>
    <t>90017 Zakłady gospodarki komunalnej</t>
  </si>
  <si>
    <t>71035 Cmentarze</t>
  </si>
  <si>
    <t>85121 Lecznictwo ambulatoryjne</t>
  </si>
  <si>
    <t>600 TRANSPORT I ŁĄCZNOŚĆ</t>
  </si>
  <si>
    <t>600 TRANSPORT I ŁĄCZNOŚĆ - Suma</t>
  </si>
  <si>
    <t>60095 Pozostała działalność</t>
  </si>
  <si>
    <t>92601 Obiekty sportowe</t>
  </si>
  <si>
    <t>75618 Wpływy z innych opłat stanowiących dochody j.s.t. na podstawie ustaw</t>
  </si>
  <si>
    <t>2110 dotacje celowe otrzymane z budżetu państwa na zadania bieżące z zakresu administracji rządowej oraz inne zadania zlecone ustawami realizowane przez powiat</t>
  </si>
  <si>
    <t>2700 środki na dofinansowanie własnych zadań bieżących gmin (związków gmin), powiatów (związków powiatów), samorządów województw, pozyskane z innych źródeł</t>
  </si>
  <si>
    <t>0690 wpływy z różnych opłat</t>
  </si>
  <si>
    <t>0920 pozostałe odsetki</t>
  </si>
  <si>
    <t>2130 dotacje celowe otrzymane z budżetu państwa na realizację bieżących zadań własnych powiatu</t>
  </si>
  <si>
    <t>0970 wpływy z różnych dochodów</t>
  </si>
  <si>
    <t>0760 wpływy z tytułu przekształcenia prawa użytkowania wieczystego przysługującego osobom fizycznym w prawo własności</t>
  </si>
  <si>
    <t>0830 wpływy z usług</t>
  </si>
  <si>
    <t>2360 dochody j.s.t. związane z realizacją zadań z zakresu administracji rządowej oraz innych zadań zleconych ustawami</t>
  </si>
  <si>
    <t>0470 wpływy z opłat za zarząd, użytkowanie i użytkowanie wieczyste nieruchomości</t>
  </si>
  <si>
    <t>6290 środki na dofinansowanie własnych inwestycji gmin (związków gmin), powiatów (związków powiatów), samorządów województw, pozyskane z innych źródeł</t>
  </si>
  <si>
    <t>2020 dotacje celowe otrzymane z budżetu państwa na zadania bieżące realizowane przez gminę na podstawie porozumień z organami administracji rządowej</t>
  </si>
  <si>
    <t>0420 wpływy z opłaty komunikacyjnej</t>
  </si>
  <si>
    <t>0590 wpływy z opłat za koncesje i licencje</t>
  </si>
  <si>
    <t>2320 dotacje celowe otrzymane z powiatu na zadania bieżące realizowane na podstawie porozumień (umów) między j.s.t.</t>
  </si>
  <si>
    <t>0480 wpływy z opłat za zezwolenia na sprzedaż alkoholu</t>
  </si>
  <si>
    <t>0570 grzywny, mandaty i inne kary pieniężne od ludności</t>
  </si>
  <si>
    <t>0910 odsetki od nieterminowych wpłat z tytułu podatków i opłat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</si>
  <si>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</si>
  <si>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</si>
  <si>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</si>
  <si>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</si>
  <si>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</si>
  <si>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0560 zaległości z podatków zniesionych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</si>
  <si>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</si>
  <si>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</si>
  <si>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</si>
  <si>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</si>
  <si>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</si>
  <si>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0410 wpływy z opłaty skarbowej</t>
  </si>
  <si>
    <t>0010 podatek dochodowy od osób fizycznych</t>
  </si>
  <si>
    <t>0020 podatek dochodowy od osób prawnych</t>
  </si>
  <si>
    <t>2030 dotacje celowe otrzymane z budżetu państwa na realizację własnych zadań bieżących gmin (związków gmin)</t>
  </si>
  <si>
    <t>6260 dotacje otrzymane z funduszy celowych na finansowanie lub dofinansowanie kosztów realizacji inwestycji i zakupów inwestycyjnych jednostek sektora finansów publicznych</t>
  </si>
  <si>
    <t>756 DOCHODY OD OSÓB PRAWNYCH, OD OSÓB FIZYCZNYCH I OD INNYCH JEDNOSTEK NIE POSIADAJĄCYCH OSOBOWOŚCI PRAWNEJ ORAZ WYDATKI ZWIĄZANE Z ICH POBOREM</t>
  </si>
  <si>
    <t>0750 dochody z najmu i dzierżawy składników majątkowych Skarbu Państwa, j.s.t. lub innych jednostek zaliczanych do sektora finansów publicznych oraz innych umów o podobnym charakterze</t>
  </si>
  <si>
    <t>852 POMOC SPOŁECZNA - Suma</t>
  </si>
  <si>
    <t>852 POMOC SPOŁECZNA</t>
  </si>
  <si>
    <t>85201 Placówki opiekuńczo - wychowawcze</t>
  </si>
  <si>
    <t>85202 Domy pomocy społecznej</t>
  </si>
  <si>
    <t>85203 Ośrodki wsparcia</t>
  </si>
  <si>
    <t>85219 Ośrodki pomocy społecznej</t>
  </si>
  <si>
    <t>853 POZOSTAŁE ZADANIA W ZAKRESIE POLITYKI SPOŁECZNEJ</t>
  </si>
  <si>
    <t>853 POZOSTAŁE ZADANIA W ZAKRESIE POLITYKI SPOŁECZNEJ - Suma</t>
  </si>
  <si>
    <t>60004 Lokalny transport zbiorowy</t>
  </si>
  <si>
    <t>60004 Lokalny transport zbiorowy - razem</t>
  </si>
  <si>
    <t>60015 Drogi publiczne w miastach na prawach powiatu</t>
  </si>
  <si>
    <t>60015 Drogi publiczne w miastach na prawach powiatu - razem</t>
  </si>
  <si>
    <t>60095 Pozostała działalność - razem</t>
  </si>
  <si>
    <t>70005 Gospodarka gruntami i nieruchomościami - razem</t>
  </si>
  <si>
    <t>70095 Pozostała działalność - razem</t>
  </si>
  <si>
    <t>71004 Plany zagospodarowania przestrzennego</t>
  </si>
  <si>
    <t>6291 środki na dofinansowanie własnych inwestycji gmin (związków gmin), powiatów (związków powiatów), samorządów województw, pozyskane z innych źródeł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</si>
  <si>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</si>
  <si>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</si>
  <si>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</si>
  <si>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</si>
  <si>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71035 Cmentarze - razem</t>
  </si>
  <si>
    <t>2701 środki na dofinansowanie własnych zadań bieżących gmin ( związków gmin), powiatów (związków powiatów), samorządów województw, pozyskane z innych źródeł</t>
  </si>
  <si>
    <t>71095 Pozostała działalność - razem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</si>
  <si>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</si>
  <si>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</si>
  <si>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 - razem</t>
  </si>
  <si>
    <t>75045 Komisje poborowe - razem</t>
  </si>
  <si>
    <t>75095 Pozostała działalność - razem</t>
  </si>
  <si>
    <t>75101 Urzędy naczelnych organów władzy państwowej, kontroli i ochrony prawa - razem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</si>
  <si>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</si>
  <si>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</si>
  <si>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 - razem</t>
  </si>
  <si>
    <t>0350 podatek od działalności gospodarczej osób fizycznych opłacany w formie karty podatkowej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</si>
  <si>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</si>
  <si>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</si>
  <si>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</si>
  <si>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</si>
  <si>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</si>
  <si>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 - razem</t>
  </si>
  <si>
    <t>75621 Udziały gmin w podatkach stanowiących dochód budżetu państwa - razem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</si>
  <si>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</si>
  <si>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</si>
  <si>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2920 subwencje ogólne z bużetu państwa</t>
  </si>
  <si>
    <t>75801 Część oświatowa subwencji ogólnej dla jednostek samorządu terytorialnego - razem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</si>
  <si>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</si>
  <si>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</si>
  <si>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</si>
  <si>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80101 Szkoły podstawowe - razem</t>
  </si>
  <si>
    <t>80102 Szkoły podstawowe specjalne - razem</t>
  </si>
  <si>
    <t>80110 Gimnazja - razem</t>
  </si>
  <si>
    <t>80120 Licea ogólnokształcące - razem</t>
  </si>
  <si>
    <t>80130 Szkoły zawodowe</t>
  </si>
  <si>
    <t>80130 Szkoły zawodowe - razem</t>
  </si>
  <si>
    <t>80132 Szkoły artystyczne - razem</t>
  </si>
  <si>
    <t>80140 Centra kształcenia ustawicznego i praktycznego oraz ośrodki dokształcania zawodowego - razem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</si>
  <si>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</si>
  <si>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</si>
  <si>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</si>
  <si>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</si>
  <si>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85201 Placówki opiekuńczo - wychowawcze - razem</t>
  </si>
  <si>
    <t>85202 Domy pomocy społecznej - razem</t>
  </si>
  <si>
    <t>85203 Ośrodki wsparcia - razem</t>
  </si>
  <si>
    <t>85212 Świadczenia rodzinne oraz składki na ubezpieczenia emerytalne i rentowe z ubezpieczenia społecznego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</si>
  <si>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</si>
  <si>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</si>
  <si>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</si>
  <si>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społeczne</t>
  </si>
  <si>
    <t>85214 Zasiłki i pomoc w naturze oraz składki na ubezpieczenia społeczne - razem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</si>
  <si>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</si>
  <si>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</si>
  <si>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</si>
  <si>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85305 Żłobki - razem</t>
  </si>
  <si>
    <t>85321 Zespoły do spraw orzekania o niepełnosprawności</t>
  </si>
  <si>
    <t>85321 Zespoły do spraw orzekania o niepełnosprawności - razem</t>
  </si>
  <si>
    <t>85333 Powiatowe urzędy pracy - razem</t>
  </si>
  <si>
    <t>85403 Specjalne ośrodki szkolno - wychowawcze - razem</t>
  </si>
  <si>
    <t>85407 Placówki wychowania pozaszkolnego - razem</t>
  </si>
  <si>
    <t>85410 Internaty i bursy szkolne - razem</t>
  </si>
  <si>
    <t>90017 Zakłady gospodarki komunalnej - razem</t>
  </si>
  <si>
    <t>90095 Pozostała działalność - razem</t>
  </si>
  <si>
    <t>92601 Obiekty sportowe - razem</t>
  </si>
  <si>
    <t>85295 Pozostała działalność</t>
  </si>
  <si>
    <t>85295 Pozostała działalność - razem</t>
  </si>
  <si>
    <t>2701 środki na dofinansowanie własnych zadań bieżących gmin (związków gmin), powiatów (związków powiatów), samorządów województw, pozyskane z innych źródeł</t>
  </si>
  <si>
    <t xml:space="preserve">0830 wpływy z usług </t>
  </si>
  <si>
    <t>80141 Zakłady kształcenia nauczycieli</t>
  </si>
  <si>
    <t>85204 Rodziny zastępcze</t>
  </si>
  <si>
    <t>85204 Rodziny zastępcze - razem</t>
  </si>
  <si>
    <t>85401 Świetlice szkolne</t>
  </si>
  <si>
    <t>85406 Poradnie psychologiczno - pedagogiczne, w tym poradnie specjalistyczne</t>
  </si>
  <si>
    <t>85406 Poradnie psychologiczno - pedagogiczne, w tym poradnie specjalistyczne suma</t>
  </si>
  <si>
    <t>85412 Kolonie i obozy oraz inne formy wypoczynku dzieci i młodzieży szkolnej, a także szkolenia młodzieży</t>
  </si>
  <si>
    <t>85417 Szkolne schroniska młodzieżowe</t>
  </si>
  <si>
    <t>85417 Szkolne schroniska młodzieżowe - suma</t>
  </si>
  <si>
    <t>2390 wpływy do budżetu ze środków specjalnych</t>
  </si>
  <si>
    <t>75815 wpływy do wyjaśnienia</t>
  </si>
  <si>
    <t>75815 - wpływy do wyjaśnienia - razem</t>
  </si>
  <si>
    <t>2980 wpływy do wyjaśnienia</t>
  </si>
  <si>
    <t>0960 otrzymane spadki, zapisy i darowizny w postaci pieniężnej</t>
  </si>
  <si>
    <t>80104 Przedszkola</t>
  </si>
  <si>
    <t>80104 Przedszkola - razem</t>
  </si>
  <si>
    <t>2370 wpływy do budżetu nadwyżki środków obrotowych zakładu budżetowego</t>
  </si>
  <si>
    <t xml:space="preserve">80146 Dokształcanie i doskonalenie nauczycieli </t>
  </si>
  <si>
    <t>80146 Dokształcanie i doskonalenie nauczycieli - razem</t>
  </si>
  <si>
    <t>80195 Pozostała działalność</t>
  </si>
  <si>
    <t>80195 Pozostała działalność - razem</t>
  </si>
  <si>
    <t>2910 wpływy ze zwrotów dotacji wykorzystanych niezgodnie z przeznaczeniem lub pobranych w nadmiernej wysokości</t>
  </si>
  <si>
    <t xml:space="preserve">85153 Zwalczanie narkomanii </t>
  </si>
  <si>
    <t>85153 Zwalczanie narkomanii - razem</t>
  </si>
  <si>
    <t>85154 Przeciwdziałanie alkoholizmowi</t>
  </si>
  <si>
    <t xml:space="preserve">85154 Przeciwdziałanie alkoholizmowi - razem </t>
  </si>
  <si>
    <t>85158 Izby wytrzeźwiń</t>
  </si>
  <si>
    <t>85158 Izby wytrzeźwiń - razem</t>
  </si>
  <si>
    <t>85195 Pozostała działalność</t>
  </si>
  <si>
    <t>85215 Dodatki mieszkaniowe</t>
  </si>
  <si>
    <t>85215 Dodatki mieszkaniowe - razem</t>
  </si>
  <si>
    <t>85311 Rehabilitacja zawodowa i społeczna osób niepełnosprawnych</t>
  </si>
  <si>
    <t>85415 Pomoc materialna dla uczniów</t>
  </si>
  <si>
    <t>90003 Oczyszczanie miast i wsi</t>
  </si>
  <si>
    <t>90004 Utrzymanie zieleni w miastach i gminach</t>
  </si>
  <si>
    <t>921 KULTURA I OCHRONA DZIEDZICTWA NARODOWEGO</t>
  </si>
  <si>
    <t>92118 Muzea</t>
  </si>
  <si>
    <t>92605 Zadania w zakresie kultury fizycznej i sportu</t>
  </si>
  <si>
    <t>92605 Zadania w zakresie kultury fizycznej i sportu- razem</t>
  </si>
  <si>
    <t>2310 dotacje celowe otrzymane z gminy na zadania bieżące realizowane na podstawie porozumień (umów) między jednostkami samorządu terytorialnego</t>
  </si>
  <si>
    <t>0770 wpłaty z tytułu odpłatnego nabycia prawa własności oraz prawa użytkowania wieczystego nieruchomości</t>
  </si>
  <si>
    <t xml:space="preserve">0840 wpływy ze sprzedaży wyrobów </t>
  </si>
  <si>
    <t>Wyszczególnienie</t>
  </si>
  <si>
    <t xml:space="preserve">wykonanie </t>
  </si>
  <si>
    <t>% wyk.</t>
  </si>
  <si>
    <t xml:space="preserve">Przychody, w tym: </t>
  </si>
  <si>
    <t>wolne środki</t>
  </si>
  <si>
    <t xml:space="preserve">kredyt </t>
  </si>
  <si>
    <t>Razem dochody i przychody</t>
  </si>
  <si>
    <t>2708 środki na dofinansowanie własnych zadań bieżących gmin ( związków gmin), powiatów (związków powiatów), samorządów województw, pozyskane z innych źródeł</t>
  </si>
  <si>
    <t>85495 Pozostała działalność</t>
  </si>
  <si>
    <t xml:space="preserve">0580 grzywny i inne kary pieniężne od osób prawnych i innych jednostek organizacyjnych </t>
  </si>
  <si>
    <t>2440 dotacje otrzymane z funduszy celowych na realizację zadań bieżących jednostek sektora finansów publicznych</t>
  </si>
  <si>
    <t>90011 Fundusz Ochrony Środowiska i Gospodarki Wodnej</t>
  </si>
  <si>
    <t>90011 Fundusz Ochrony Środowiska i Gospodarki Wodnej - Suma</t>
  </si>
  <si>
    <t>85401 Świetlice szkolne - razem</t>
  </si>
  <si>
    <t>85415 Pomoc materialna dla uczniów - suma</t>
  </si>
  <si>
    <t>90003 Oczyszczanie miast i wsi - suma</t>
  </si>
  <si>
    <t>90004 Utrzymanie zieleni w miastach i gminach - suma</t>
  </si>
  <si>
    <t>63095 Pozostała działalność - razem</t>
  </si>
  <si>
    <t>630 TURYSTYKA</t>
  </si>
  <si>
    <t>630 TURYSTYKA - Suma</t>
  </si>
  <si>
    <t xml:space="preserve">63095 Pozostała działalność </t>
  </si>
  <si>
    <t>75802 Uzupełnienie subwencji ogólnej dla jednostek samorządu terytorialnego</t>
  </si>
  <si>
    <t>75802 Uzupełnienie subwencji ogólnej dla jednostek samorządu terytorialnego - razem</t>
  </si>
  <si>
    <t>2780 środki na inwestycje rozpoczęte przed 1 stycznia 1999r.</t>
  </si>
  <si>
    <t>85395 Pozostała działalność</t>
  </si>
  <si>
    <t>85395 Pozostała działalność - razem</t>
  </si>
  <si>
    <t>0978 wpływy z różnych dochodów</t>
  </si>
  <si>
    <t>0979 wpływy z różnych dochodów</t>
  </si>
  <si>
    <t>2888 dotacja celowa przekazana jednostce samorządu terytorialnego przez inną jednostkę samorządu terytorialnego będącą instytucją wdrażającą na zadania bieżące realizowane na podstawie porozumień (umów)</t>
  </si>
  <si>
    <t>2889 dotacja celowa przekazana jednostce samorządu terytorialnego przez inną jednostkę samorządu terytorialnego będącą instytucją wdrażającą na zadania bieżące realizowane na podstawie porozumień (umów)</t>
  </si>
  <si>
    <t>0840 wpływy ze sprzedaży wyrobów</t>
  </si>
  <si>
    <t xml:space="preserve">plan </t>
  </si>
  <si>
    <t>60016 Drogi publiczne gminne</t>
  </si>
  <si>
    <t>60016 Drogi publiczne gminne - razem</t>
  </si>
  <si>
    <t>6298 środki na dofinansowanie własnych inwestycji gmin (związków gmin), powiatów (związków powiatów), samorządów województw, pozyskane z innych źródeł</t>
  </si>
  <si>
    <t>6299 środki na dofinansowanie własnych inwestycji gmin (związków gmin), powiatów (związków powiatów), samorządów województw, pozyskane z innych źródeł</t>
  </si>
  <si>
    <t>2709 środki na dofinansowanie własnych zadań bieżących gmin ( związków gmin), powiatów (związków powiatów), samorządów województw, pozyskane z innych źródeł</t>
  </si>
  <si>
    <t>75108 Wybory do Sejmu i Senatu</t>
  </si>
  <si>
    <t>75108 Wybory do Sejmu i Senatu - razem</t>
  </si>
  <si>
    <t>6310 dotacje celowe otrzymane z budżetu państwa na inwestycje i zakupy inwestycyjne z zakresu administracji rządowej oraz innych zadań zleconych gminom ustawami</t>
  </si>
  <si>
    <t>90013 Schroniska dla zwierząt</t>
  </si>
  <si>
    <t>90013 Schroniska dla zwierząt -suma</t>
  </si>
  <si>
    <t>75107 Wybory Prezydenta Rzeczypospolitej Polskiej</t>
  </si>
  <si>
    <t>92116 Biblioteki</t>
  </si>
  <si>
    <t>92118 Muzea - razem</t>
  </si>
  <si>
    <t>92116 Biblioteki - razem</t>
  </si>
  <si>
    <t>6330 dotacje celowe otrzymane z budżetu państwa na realizację inwestycji i zakupów inwestycyjnych własnych gmin (związków gmin)</t>
  </si>
  <si>
    <t>92106 Teatry dramatyczne i lalkowe - razem</t>
  </si>
  <si>
    <t xml:space="preserve">92106 Teatry dramatyczne i lalkowe </t>
  </si>
  <si>
    <t>2750 środki na uzupełnienie dochodów gmin</t>
  </si>
  <si>
    <t>85141 Ratownictwo medyczne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</si>
  <si>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</si>
  <si>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</si>
  <si>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85141 Ratownictwo medyczne- razem</t>
  </si>
  <si>
    <t>0900 odsetki od dotacji wykorzystanych niezgodnie z przeznaczeniem lub pobranych w nadmiernej wysokości</t>
  </si>
  <si>
    <t>2400 wpływy do budżetu nadwyżki dochodów własnych lub środków obrotowych</t>
  </si>
  <si>
    <t>0490 wpływy z innych lokalnych opłat pobieranych przez jednostki samorządu terytorialnego na podstawie odrębnych ustaw</t>
  </si>
  <si>
    <t xml:space="preserve">2690 środki z Funduszu Pracy otrzymane przez powiat z przeznaczeniem na finansowanie kosztów wynagrodzenia i składek na ubezpieczenia społeczne pracowników powiatowego urzędu pracy </t>
  </si>
  <si>
    <t>2702 środki na dofinansowanie własnych zadań bieżących gmin (związków gmin), powiatów (związków powiatów), samorządów województw, pozyskane z innych źródeł</t>
  </si>
  <si>
    <t>70001 Zakłady gospodarki mieszkaniowej</t>
  </si>
  <si>
    <t>70001 Zakłady gospodarki mieszkaniowej - razem</t>
  </si>
  <si>
    <t>2708 środki na dofinansowanie własnych zadań bieżących gmin (związków gmin), powiatów (związków powiatów), samorządów województw, pozyskane z innych źródeł</t>
  </si>
  <si>
    <t xml:space="preserve">90001 Gospodarka ściekowa i ochrona wód </t>
  </si>
  <si>
    <t>90001 Gospodarka ściekowa i ochrona wód - suma</t>
  </si>
  <si>
    <t>85495 Pozostała działalność - suma</t>
  </si>
  <si>
    <t>0890 odsetki za nieterminowe rozliczenia, płacone przez urząd skarbowy oraz organ celny</t>
  </si>
  <si>
    <t>2380 wpływy do budżetu części zysku gospodarstwa pomocniczego</t>
  </si>
  <si>
    <t>80197 Gospodarstwa pomocnicze</t>
  </si>
  <si>
    <t>80197 Gospodarstwa pomocnicze - razem</t>
  </si>
  <si>
    <t xml:space="preserve">90015 Oświetlenie ulic, placów i dróg </t>
  </si>
  <si>
    <t>90015 Oświetlenie ulic, placów i dróg -suma</t>
  </si>
  <si>
    <t>0680 wpływy od rodziców z tytułu odpłatności za utrzymanie dzieci (wychowanków) w placówkach opiekuńczo - wychowawczych</t>
  </si>
  <si>
    <t>pożyczka na prefinansowanie</t>
  </si>
  <si>
    <t>2707 środki na dofinansowanie własnych zadań bieżących gmin (związków gmin), powiatów (związków powiatów), samorządów województw, pozyskane z innych źródeł</t>
  </si>
  <si>
    <t>0927 pozostałe odsetki</t>
  </si>
  <si>
    <t>0921 pozostałe odsetki</t>
  </si>
  <si>
    <t>85149 Programy polityki zdrowotnej</t>
  </si>
  <si>
    <t>85149 Programy polityki zdrowotnej - razem</t>
  </si>
  <si>
    <t>92195 Pozostała działalność</t>
  </si>
  <si>
    <t>92195 Pozostała działalność - razem</t>
  </si>
  <si>
    <t>2709 środki na dofinansowanie własnych zadań bieżących gmin (związków gmin), powiatów (związków powiatów), samorządów województw, pozyskane z innych źródeł</t>
  </si>
  <si>
    <t>2710 wpłwyw z tytułu pomocy finansowej udzielanej między jednostkami samorządu terytorialnego na dofinansowanie własnych zadań bieżących</t>
  </si>
  <si>
    <t>0977 wpływy z różnych dochodów</t>
  </si>
  <si>
    <t>92105 Pozostałe zadania w zakresie kultury</t>
  </si>
  <si>
    <t>92105 Pozostałe zadania w zakresie kultury - razem</t>
  </si>
  <si>
    <t>6612 dotacje celowe otrzymane z gminy na inwestycje i zakupy inwestycyjne realiozwane na podstawie porozumień (umów) między jednostkami samorządu terytorialnego</t>
  </si>
  <si>
    <t xml:space="preserve"> </t>
  </si>
  <si>
    <t xml:space="preserve">Plan 2006r. </t>
  </si>
  <si>
    <t>75109 Wybory do rad gmin, rad powiatów i sejmików województw, wybory wójtów, burmistrzów i prezydentów miast oraz referenda gminne, powiatowe i wojewódzkie</t>
  </si>
  <si>
    <t>0928 pozostałe odsetki</t>
  </si>
  <si>
    <t>85278 Usuwanie skutków klęsk żywiołowych - razem</t>
  </si>
  <si>
    <t xml:space="preserve">85278 usuwanie skutków klęsk żywiołowych </t>
  </si>
  <si>
    <t>010 ROLNICTWO I ŁOWIECTWO</t>
  </si>
  <si>
    <t>01095 Pozostała działalność - razem</t>
  </si>
  <si>
    <t xml:space="preserve">01095 Pozostała działalność </t>
  </si>
  <si>
    <t>1510 różnice kursowe</t>
  </si>
  <si>
    <t xml:space="preserve">Informacja z wykonania dochodów budżetu miasta za okres I - XII 2006r. </t>
  </si>
  <si>
    <t>Wykonanie za okres I - XII 2006r.</t>
  </si>
  <si>
    <t>2710 wydatki na pomoc finansową udzielaną między jednostkami samorządu terytorialnego na dofinansowanie własnych zadań bieżących</t>
  </si>
  <si>
    <t>2449 dotacje otrzymane z funduszy celowych na realizację zadań bieżących jednostek sektora finansów publicznych</t>
  </si>
  <si>
    <t>0929 pozostałe odsetki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</si>
</sst>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</numFmts>
  <fonts count="16">
    <font>
      <sz val="8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12"/>
      <color indexed="10"/>
      <name val="Arial CE"/>
      <family val="2"/>
    </font>
    <font>
      <b/>
      <sz val="12"/>
      <color indexed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164" fontId="1" fillId="0" borderId="1" xfId="2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1" xfId="2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1" fillId="0" borderId="6" xfId="0" applyNumberFormat="1" applyFont="1" applyBorder="1" applyAlignment="1">
      <alignment horizontal="left" vertical="top" wrapText="1"/>
    </xf>
    <xf numFmtId="164" fontId="1" fillId="2" borderId="1" xfId="2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/>
    </xf>
    <xf numFmtId="164" fontId="1" fillId="3" borderId="1" xfId="2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left"/>
    </xf>
    <xf numFmtId="3" fontId="4" fillId="3" borderId="9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left"/>
    </xf>
    <xf numFmtId="3" fontId="2" fillId="0" borderId="7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3" fontId="1" fillId="0" borderId="12" xfId="0" applyNumberFormat="1" applyFont="1" applyBorder="1" applyAlignment="1">
      <alignment horizontal="left" vertical="top" wrapText="1"/>
    </xf>
    <xf numFmtId="3" fontId="2" fillId="2" borderId="13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3" fontId="2" fillId="0" borderId="4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9" fillId="0" borderId="0" xfId="18" applyNumberFormat="1" applyFont="1" applyFill="1" applyBorder="1" applyAlignment="1">
      <alignment horizontal="right" vertical="center" wrapText="1"/>
      <protection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3" fontId="2" fillId="0" borderId="15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3" fontId="2" fillId="3" borderId="4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top" wrapText="1" indent="1"/>
    </xf>
    <xf numFmtId="3" fontId="0" fillId="0" borderId="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vertical="center"/>
    </xf>
    <xf numFmtId="3" fontId="1" fillId="0" borderId="8" xfId="0" applyNumberFormat="1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 vertical="top" wrapText="1"/>
    </xf>
    <xf numFmtId="3" fontId="2" fillId="2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_stawkimax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0"/>
  <sheetViews>
    <sheetView tabSelected="1" workbookViewId="0" topLeftCell="A1">
      <pane xSplit="3" ySplit="3" topLeftCell="H49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08" sqref="I508"/>
    </sheetView>
  </sheetViews>
  <sheetFormatPr defaultColWidth="9.140625" defaultRowHeight="12"/>
  <cols>
    <col min="1" max="1" width="10.421875" style="13" customWidth="1"/>
    <col min="2" max="2" width="13.140625" style="13" customWidth="1"/>
    <col min="3" max="3" width="30.421875" style="13" customWidth="1"/>
    <col min="4" max="4" width="11.7109375" style="10" customWidth="1"/>
    <col min="5" max="5" width="12.8515625" style="10" customWidth="1"/>
    <col min="6" max="6" width="11.421875" style="10" customWidth="1"/>
    <col min="7" max="7" width="11.140625" style="10" customWidth="1"/>
    <col min="8" max="8" width="11.7109375" style="10" customWidth="1"/>
    <col min="9" max="9" width="12.28125" style="106" customWidth="1"/>
    <col min="10" max="10" width="12.421875" style="106" customWidth="1"/>
    <col min="11" max="11" width="11.140625" style="106" customWidth="1"/>
    <col min="12" max="12" width="11.421875" style="106" customWidth="1"/>
    <col min="13" max="13" width="12.140625" style="106" customWidth="1"/>
    <col min="14" max="14" width="10.00390625" style="10" customWidth="1"/>
    <col min="15" max="19" width="9.28125" style="1" customWidth="1"/>
    <col min="20" max="20" width="9.140625" style="1" customWidth="1"/>
    <col min="21" max="16384" width="9.28125" style="1" customWidth="1"/>
  </cols>
  <sheetData>
    <row r="1" spans="1:14" ht="24.75" customHeight="1">
      <c r="A1" s="145" t="s">
        <v>329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1.25" customHeight="1">
      <c r="A2" s="136" t="s">
        <v>0</v>
      </c>
      <c r="B2" s="136" t="s">
        <v>1</v>
      </c>
      <c r="C2" s="136" t="s">
        <v>2</v>
      </c>
      <c r="D2" s="147" t="s">
        <v>320</v>
      </c>
      <c r="E2" s="148"/>
      <c r="F2" s="148"/>
      <c r="G2" s="148"/>
      <c r="H2" s="149"/>
      <c r="I2" s="153" t="s">
        <v>330</v>
      </c>
      <c r="J2" s="154"/>
      <c r="K2" s="154"/>
      <c r="L2" s="154"/>
      <c r="M2" s="155"/>
      <c r="N2" s="137" t="s">
        <v>57</v>
      </c>
    </row>
    <row r="3" spans="1:14" s="2" customFormat="1" ht="30.75" customHeight="1">
      <c r="A3" s="136"/>
      <c r="B3" s="136"/>
      <c r="C3" s="136"/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05" t="s">
        <v>3</v>
      </c>
      <c r="J3" s="105" t="s">
        <v>4</v>
      </c>
      <c r="K3" s="105" t="s">
        <v>5</v>
      </c>
      <c r="L3" s="105" t="s">
        <v>6</v>
      </c>
      <c r="M3" s="105" t="s">
        <v>7</v>
      </c>
      <c r="N3" s="138"/>
    </row>
    <row r="4" spans="1:14" s="9" customFormat="1" ht="59.25" customHeight="1">
      <c r="A4" s="151" t="s">
        <v>325</v>
      </c>
      <c r="B4" s="18" t="s">
        <v>327</v>
      </c>
      <c r="C4" s="14" t="s">
        <v>129</v>
      </c>
      <c r="D4" s="12"/>
      <c r="E4" s="12"/>
      <c r="F4" s="69">
        <v>620</v>
      </c>
      <c r="G4" s="12"/>
      <c r="H4" s="6">
        <f aca="true" t="shared" si="0" ref="H4:H37">SUM(D4:G4)</f>
        <v>620</v>
      </c>
      <c r="I4" s="12"/>
      <c r="J4" s="12"/>
      <c r="K4" s="69">
        <v>612.06</v>
      </c>
      <c r="L4" s="12"/>
      <c r="M4" s="6">
        <f aca="true" t="shared" si="1" ref="M4:M20">SUM(I4:L4)</f>
        <v>612.06</v>
      </c>
      <c r="N4" s="7">
        <f aca="true" t="shared" si="2" ref="N4:N37">M4/H4</f>
        <v>0.9871935483870967</v>
      </c>
    </row>
    <row r="5" spans="1:14" s="9" customFormat="1" ht="9.75">
      <c r="A5" s="152"/>
      <c r="B5" s="25" t="s">
        <v>326</v>
      </c>
      <c r="C5" s="25"/>
      <c r="D5" s="5">
        <f aca="true" t="shared" si="3" ref="D5:G6">SUM(D4)</f>
        <v>0</v>
      </c>
      <c r="E5" s="5">
        <f t="shared" si="3"/>
        <v>0</v>
      </c>
      <c r="F5" s="5">
        <f t="shared" si="3"/>
        <v>620</v>
      </c>
      <c r="G5" s="5">
        <f t="shared" si="3"/>
        <v>0</v>
      </c>
      <c r="H5" s="5">
        <f t="shared" si="0"/>
        <v>620</v>
      </c>
      <c r="I5" s="5">
        <f aca="true" t="shared" si="4" ref="I5:L6">SUM(I4)</f>
        <v>0</v>
      </c>
      <c r="J5" s="5">
        <f t="shared" si="4"/>
        <v>0</v>
      </c>
      <c r="K5" s="5">
        <f t="shared" si="4"/>
        <v>612.06</v>
      </c>
      <c r="L5" s="5">
        <f t="shared" si="4"/>
        <v>0</v>
      </c>
      <c r="M5" s="5">
        <f t="shared" si="1"/>
        <v>612.06</v>
      </c>
      <c r="N5" s="24">
        <f t="shared" si="2"/>
        <v>0.9871935483870967</v>
      </c>
    </row>
    <row r="6" spans="1:14" s="9" customFormat="1" ht="10.5" customHeight="1">
      <c r="A6" s="128" t="s">
        <v>325</v>
      </c>
      <c r="B6" s="150"/>
      <c r="C6" s="129"/>
      <c r="D6" s="21">
        <f t="shared" si="3"/>
        <v>0</v>
      </c>
      <c r="E6" s="21">
        <f t="shared" si="3"/>
        <v>0</v>
      </c>
      <c r="F6" s="21">
        <f t="shared" si="3"/>
        <v>620</v>
      </c>
      <c r="G6" s="21">
        <f t="shared" si="3"/>
        <v>0</v>
      </c>
      <c r="H6" s="21">
        <f t="shared" si="0"/>
        <v>620</v>
      </c>
      <c r="I6" s="21">
        <f t="shared" si="4"/>
        <v>0</v>
      </c>
      <c r="J6" s="21">
        <f t="shared" si="4"/>
        <v>0</v>
      </c>
      <c r="K6" s="21">
        <f t="shared" si="4"/>
        <v>612.06</v>
      </c>
      <c r="L6" s="21">
        <f t="shared" si="4"/>
        <v>0</v>
      </c>
      <c r="M6" s="21">
        <f t="shared" si="1"/>
        <v>612.06</v>
      </c>
      <c r="N6" s="26">
        <f t="shared" si="2"/>
        <v>0.9871935483870967</v>
      </c>
    </row>
    <row r="7" spans="1:14" ht="11.25" customHeight="1">
      <c r="A7" s="140" t="s">
        <v>64</v>
      </c>
      <c r="B7" s="122" t="s">
        <v>113</v>
      </c>
      <c r="C7" s="14" t="s">
        <v>71</v>
      </c>
      <c r="D7" s="3">
        <v>9000</v>
      </c>
      <c r="E7" s="3"/>
      <c r="F7" s="3"/>
      <c r="G7" s="3"/>
      <c r="H7" s="6">
        <f t="shared" si="0"/>
        <v>9000</v>
      </c>
      <c r="I7" s="6">
        <v>35405.5</v>
      </c>
      <c r="J7" s="6"/>
      <c r="K7" s="6"/>
      <c r="L7" s="6"/>
      <c r="M7" s="6">
        <f t="shared" si="1"/>
        <v>35405.5</v>
      </c>
      <c r="N7" s="4">
        <f t="shared" si="2"/>
        <v>3.9339444444444442</v>
      </c>
    </row>
    <row r="8" spans="1:14" ht="60" customHeight="1">
      <c r="A8" s="140"/>
      <c r="B8" s="123"/>
      <c r="C8" s="15" t="s">
        <v>104</v>
      </c>
      <c r="D8" s="3">
        <v>26620</v>
      </c>
      <c r="E8" s="3"/>
      <c r="F8" s="3"/>
      <c r="G8" s="3"/>
      <c r="H8" s="6">
        <f t="shared" si="0"/>
        <v>26620</v>
      </c>
      <c r="I8" s="6">
        <v>27313.32</v>
      </c>
      <c r="J8" s="6"/>
      <c r="K8" s="6"/>
      <c r="L8" s="6"/>
      <c r="M8" s="6">
        <f t="shared" si="1"/>
        <v>27313.32</v>
      </c>
      <c r="N8" s="4">
        <f t="shared" si="2"/>
        <v>1.0260450788880542</v>
      </c>
    </row>
    <row r="9" spans="1:14" ht="9.75">
      <c r="A9" s="140"/>
      <c r="B9" s="123"/>
      <c r="C9" s="15" t="s">
        <v>76</v>
      </c>
      <c r="D9" s="3">
        <f>63741987+880195+96000+66300</f>
        <v>64784482</v>
      </c>
      <c r="E9" s="3"/>
      <c r="F9" s="3"/>
      <c r="G9" s="3"/>
      <c r="H9" s="6">
        <f t="shared" si="0"/>
        <v>64784482</v>
      </c>
      <c r="I9" s="6">
        <v>64147628.11</v>
      </c>
      <c r="J9" s="6"/>
      <c r="K9" s="6"/>
      <c r="L9" s="6"/>
      <c r="M9" s="6">
        <f t="shared" si="1"/>
        <v>64147628.11</v>
      </c>
      <c r="N9" s="4">
        <f t="shared" si="2"/>
        <v>0.990169653745167</v>
      </c>
    </row>
    <row r="10" spans="1:14" ht="9.75">
      <c r="A10" s="141"/>
      <c r="B10" s="123"/>
      <c r="C10" s="15" t="s">
        <v>72</v>
      </c>
      <c r="D10" s="3">
        <v>74000</v>
      </c>
      <c r="E10" s="3"/>
      <c r="F10" s="3"/>
      <c r="G10" s="3"/>
      <c r="H10" s="6">
        <f t="shared" si="0"/>
        <v>74000</v>
      </c>
      <c r="I10" s="6">
        <v>107918.52</v>
      </c>
      <c r="J10" s="6"/>
      <c r="K10" s="8"/>
      <c r="L10" s="8"/>
      <c r="M10" s="6">
        <f t="shared" si="1"/>
        <v>107918.52</v>
      </c>
      <c r="N10" s="4">
        <f t="shared" si="2"/>
        <v>1.4583583783783785</v>
      </c>
    </row>
    <row r="11" spans="1:14" ht="9.75">
      <c r="A11" s="77"/>
      <c r="B11" s="123"/>
      <c r="C11" s="18" t="s">
        <v>74</v>
      </c>
      <c r="D11" s="3">
        <v>250000</v>
      </c>
      <c r="E11" s="3"/>
      <c r="F11" s="3"/>
      <c r="G11" s="3"/>
      <c r="H11" s="6">
        <f t="shared" si="0"/>
        <v>250000</v>
      </c>
      <c r="I11" s="6">
        <v>638911.01</v>
      </c>
      <c r="J11" s="6"/>
      <c r="K11" s="12"/>
      <c r="L11" s="12"/>
      <c r="M11" s="6">
        <f t="shared" si="1"/>
        <v>638911.01</v>
      </c>
      <c r="N11" s="4">
        <f t="shared" si="2"/>
        <v>2.5556440400000002</v>
      </c>
    </row>
    <row r="12" spans="1:14" ht="58.5" customHeight="1">
      <c r="A12" s="77"/>
      <c r="B12" s="123"/>
      <c r="C12" s="18" t="s">
        <v>230</v>
      </c>
      <c r="D12" s="3">
        <f>3454264+309400+96000+150000+27000+287452</f>
        <v>4324116</v>
      </c>
      <c r="E12" s="3"/>
      <c r="F12" s="3"/>
      <c r="G12" s="3"/>
      <c r="H12" s="6">
        <f t="shared" si="0"/>
        <v>4324116</v>
      </c>
      <c r="I12" s="6">
        <v>4094915.56</v>
      </c>
      <c r="J12" s="12"/>
      <c r="K12" s="12"/>
      <c r="L12" s="12"/>
      <c r="M12" s="6">
        <f t="shared" si="1"/>
        <v>4094915.56</v>
      </c>
      <c r="N12" s="4">
        <f t="shared" si="2"/>
        <v>0.9469948447266447</v>
      </c>
    </row>
    <row r="13" spans="1:14" ht="39" customHeight="1">
      <c r="A13" s="77"/>
      <c r="B13" s="123"/>
      <c r="C13" s="18" t="s">
        <v>243</v>
      </c>
      <c r="D13" s="3">
        <v>120000</v>
      </c>
      <c r="E13" s="3"/>
      <c r="F13" s="3"/>
      <c r="G13" s="3"/>
      <c r="H13" s="6">
        <f t="shared" si="0"/>
        <v>120000</v>
      </c>
      <c r="I13" s="6">
        <v>120000</v>
      </c>
      <c r="J13" s="12"/>
      <c r="K13" s="12"/>
      <c r="L13" s="12"/>
      <c r="M13" s="6">
        <f t="shared" si="1"/>
        <v>120000</v>
      </c>
      <c r="N13" s="4">
        <f t="shared" si="2"/>
        <v>1</v>
      </c>
    </row>
    <row r="14" spans="1:16" ht="48" customHeight="1">
      <c r="A14" s="77"/>
      <c r="B14" s="126"/>
      <c r="C14" s="18" t="s">
        <v>331</v>
      </c>
      <c r="D14" s="3">
        <v>265000</v>
      </c>
      <c r="E14" s="3"/>
      <c r="F14" s="3"/>
      <c r="G14" s="3"/>
      <c r="H14" s="6">
        <f t="shared" si="0"/>
        <v>265000</v>
      </c>
      <c r="I14" s="6">
        <v>265000</v>
      </c>
      <c r="J14" s="12"/>
      <c r="K14" s="12"/>
      <c r="L14" s="12"/>
      <c r="M14" s="6">
        <f t="shared" si="1"/>
        <v>265000</v>
      </c>
      <c r="N14" s="4">
        <f t="shared" si="2"/>
        <v>1</v>
      </c>
      <c r="P14" s="110"/>
    </row>
    <row r="15" spans="1:14" ht="9" customHeight="1">
      <c r="A15" s="77"/>
      <c r="B15" s="30" t="s">
        <v>114</v>
      </c>
      <c r="C15" s="25"/>
      <c r="D15" s="5">
        <f>SUM(D7:D14)</f>
        <v>69853218</v>
      </c>
      <c r="E15" s="5">
        <f>SUM(E7:E14)</f>
        <v>0</v>
      </c>
      <c r="F15" s="5">
        <f>SUM(F7:F14)</f>
        <v>0</v>
      </c>
      <c r="G15" s="5">
        <f>SUM(G7:G14)</f>
        <v>0</v>
      </c>
      <c r="H15" s="5">
        <f t="shared" si="0"/>
        <v>69853218</v>
      </c>
      <c r="I15" s="5">
        <f>SUM(I7:I14)</f>
        <v>69437092.02</v>
      </c>
      <c r="J15" s="5">
        <f>SUM(J7:J14)</f>
        <v>0</v>
      </c>
      <c r="K15" s="5">
        <f>SUM(K7:K14)</f>
        <v>0</v>
      </c>
      <c r="L15" s="5">
        <f>SUM(L7:L14)</f>
        <v>0</v>
      </c>
      <c r="M15" s="5">
        <f t="shared" si="1"/>
        <v>69437092.02</v>
      </c>
      <c r="N15" s="24">
        <f t="shared" si="2"/>
        <v>0.9940428516836547</v>
      </c>
    </row>
    <row r="16" spans="1:14" s="9" customFormat="1" ht="30" customHeight="1">
      <c r="A16" s="78"/>
      <c r="B16" s="122" t="s">
        <v>115</v>
      </c>
      <c r="C16" s="46" t="s">
        <v>242</v>
      </c>
      <c r="D16" s="12"/>
      <c r="E16" s="12"/>
      <c r="F16" s="12"/>
      <c r="G16" s="12"/>
      <c r="H16" s="6">
        <f t="shared" si="0"/>
        <v>0</v>
      </c>
      <c r="I16" s="69"/>
      <c r="J16" s="69">
        <v>7033.88</v>
      </c>
      <c r="K16" s="12"/>
      <c r="L16" s="12"/>
      <c r="M16" s="6">
        <f t="shared" si="1"/>
        <v>7033.88</v>
      </c>
      <c r="N16" s="4"/>
    </row>
    <row r="17" spans="1:14" s="9" customFormat="1" ht="9.75" customHeight="1">
      <c r="A17" s="78"/>
      <c r="B17" s="123"/>
      <c r="C17" s="48" t="s">
        <v>71</v>
      </c>
      <c r="D17" s="12"/>
      <c r="E17" s="6">
        <v>790000</v>
      </c>
      <c r="F17" s="12"/>
      <c r="G17" s="12"/>
      <c r="H17" s="6">
        <f t="shared" si="0"/>
        <v>790000</v>
      </c>
      <c r="I17" s="6"/>
      <c r="J17" s="6">
        <v>824197.23</v>
      </c>
      <c r="K17" s="12"/>
      <c r="L17" s="12"/>
      <c r="M17" s="6">
        <f t="shared" si="1"/>
        <v>824197.23</v>
      </c>
      <c r="N17" s="4">
        <f t="shared" si="2"/>
        <v>1.0432876329113925</v>
      </c>
    </row>
    <row r="18" spans="1:14" s="9" customFormat="1" ht="60.75" customHeight="1">
      <c r="A18" s="78"/>
      <c r="B18" s="123"/>
      <c r="C18" s="46" t="s">
        <v>104</v>
      </c>
      <c r="D18" s="12"/>
      <c r="E18" s="6">
        <v>82000</v>
      </c>
      <c r="F18" s="12"/>
      <c r="G18" s="12"/>
      <c r="H18" s="6">
        <f t="shared" si="0"/>
        <v>82000</v>
      </c>
      <c r="I18" s="6"/>
      <c r="J18" s="6">
        <v>99547.82</v>
      </c>
      <c r="K18" s="12"/>
      <c r="L18" s="12"/>
      <c r="M18" s="6">
        <f t="shared" si="1"/>
        <v>99547.82</v>
      </c>
      <c r="N18" s="4">
        <f t="shared" si="2"/>
        <v>1.2139978048780489</v>
      </c>
    </row>
    <row r="19" spans="1:14" s="9" customFormat="1" ht="9.75" customHeight="1">
      <c r="A19" s="78"/>
      <c r="B19" s="123"/>
      <c r="C19" s="46" t="s">
        <v>72</v>
      </c>
      <c r="D19" s="12"/>
      <c r="E19" s="6"/>
      <c r="F19" s="12"/>
      <c r="G19" s="12"/>
      <c r="H19" s="6">
        <f t="shared" si="0"/>
        <v>0</v>
      </c>
      <c r="I19" s="6"/>
      <c r="J19" s="6">
        <v>281049.5</v>
      </c>
      <c r="K19" s="12"/>
      <c r="L19" s="12"/>
      <c r="M19" s="6">
        <f t="shared" si="1"/>
        <v>281049.5</v>
      </c>
      <c r="N19" s="4"/>
    </row>
    <row r="20" spans="1:14" s="9" customFormat="1" ht="9" customHeight="1">
      <c r="A20" s="78"/>
      <c r="B20" s="123"/>
      <c r="C20" s="46" t="s">
        <v>74</v>
      </c>
      <c r="D20" s="12"/>
      <c r="E20" s="6">
        <v>41500</v>
      </c>
      <c r="F20" s="12"/>
      <c r="G20" s="12"/>
      <c r="H20" s="6">
        <f t="shared" si="0"/>
        <v>41500</v>
      </c>
      <c r="I20" s="6"/>
      <c r="J20" s="6">
        <v>498602.2</v>
      </c>
      <c r="K20" s="12"/>
      <c r="L20" s="12"/>
      <c r="M20" s="6">
        <f t="shared" si="1"/>
        <v>498602.2</v>
      </c>
      <c r="N20" s="4">
        <f t="shared" si="2"/>
        <v>12.014510843373495</v>
      </c>
    </row>
    <row r="21" spans="1:14" s="9" customFormat="1" ht="19.5" hidden="1">
      <c r="A21" s="78"/>
      <c r="B21" s="123"/>
      <c r="C21" s="48" t="s">
        <v>200</v>
      </c>
      <c r="D21" s="12"/>
      <c r="E21" s="6"/>
      <c r="F21" s="12"/>
      <c r="G21" s="12"/>
      <c r="H21" s="6">
        <f t="shared" si="0"/>
        <v>0</v>
      </c>
      <c r="J21" s="6"/>
      <c r="K21" s="12"/>
      <c r="L21" s="12"/>
      <c r="M21" s="6">
        <f>SUM(J21:L21)</f>
        <v>0</v>
      </c>
      <c r="N21" s="4" t="e">
        <f t="shared" si="2"/>
        <v>#DIV/0!</v>
      </c>
    </row>
    <row r="22" spans="1:14" ht="48.75" customHeight="1">
      <c r="A22" s="77"/>
      <c r="B22" s="23"/>
      <c r="C22" s="48" t="s">
        <v>70</v>
      </c>
      <c r="D22" s="3"/>
      <c r="E22" s="3">
        <v>61200</v>
      </c>
      <c r="F22" s="3"/>
      <c r="G22" s="3"/>
      <c r="H22" s="6">
        <f t="shared" si="0"/>
        <v>61200</v>
      </c>
      <c r="I22" s="6"/>
      <c r="J22" s="6">
        <v>-1123.77</v>
      </c>
      <c r="K22" s="8"/>
      <c r="L22" s="8"/>
      <c r="M22" s="6">
        <f aca="true" t="shared" si="5" ref="M22:M61">SUM(I22:L22)</f>
        <v>-1123.77</v>
      </c>
      <c r="N22" s="4">
        <f t="shared" si="2"/>
        <v>-0.018362254901960785</v>
      </c>
    </row>
    <row r="23" spans="1:14" ht="48.75" hidden="1">
      <c r="A23" s="77"/>
      <c r="B23" s="23"/>
      <c r="C23" s="56" t="s">
        <v>79</v>
      </c>
      <c r="D23" s="3"/>
      <c r="E23" s="3"/>
      <c r="F23" s="3"/>
      <c r="G23" s="3"/>
      <c r="H23" s="6">
        <f t="shared" si="0"/>
        <v>0</v>
      </c>
      <c r="I23" s="6"/>
      <c r="J23" s="12"/>
      <c r="K23" s="12"/>
      <c r="L23" s="12"/>
      <c r="M23" s="6">
        <f t="shared" si="5"/>
        <v>0</v>
      </c>
      <c r="N23" s="4" t="e">
        <f t="shared" si="2"/>
        <v>#DIV/0!</v>
      </c>
    </row>
    <row r="24" spans="1:14" ht="48.75" customHeight="1">
      <c r="A24" s="77"/>
      <c r="B24" s="23"/>
      <c r="C24" s="56" t="s">
        <v>267</v>
      </c>
      <c r="D24" s="3"/>
      <c r="E24" s="3">
        <f>75745207-56285795</f>
        <v>19459412</v>
      </c>
      <c r="F24" s="3"/>
      <c r="G24" s="3"/>
      <c r="H24" s="6">
        <f t="shared" si="0"/>
        <v>19459412</v>
      </c>
      <c r="I24" s="6"/>
      <c r="J24" s="69">
        <v>14944974.37</v>
      </c>
      <c r="K24" s="12"/>
      <c r="L24" s="12"/>
      <c r="M24" s="6">
        <f t="shared" si="5"/>
        <v>14944974.37</v>
      </c>
      <c r="N24" s="4">
        <f t="shared" si="2"/>
        <v>0.7680075004321816</v>
      </c>
    </row>
    <row r="25" spans="1:14" ht="51" customHeight="1">
      <c r="A25" s="77"/>
      <c r="B25" s="14"/>
      <c r="C25" s="56" t="s">
        <v>268</v>
      </c>
      <c r="D25" s="3"/>
      <c r="E25" s="3">
        <f>2630000+6313323-3002926</f>
        <v>5940397</v>
      </c>
      <c r="F25" s="3"/>
      <c r="G25" s="3"/>
      <c r="H25" s="6">
        <f t="shared" si="0"/>
        <v>5940397</v>
      </c>
      <c r="I25" s="6"/>
      <c r="J25" s="69">
        <v>5940396.83</v>
      </c>
      <c r="K25" s="12"/>
      <c r="L25" s="12"/>
      <c r="M25" s="6">
        <f t="shared" si="5"/>
        <v>5940396.83</v>
      </c>
      <c r="N25" s="4">
        <f t="shared" si="2"/>
        <v>0.9999999713823841</v>
      </c>
    </row>
    <row r="26" spans="1:14" ht="9" customHeight="1">
      <c r="A26" s="77"/>
      <c r="B26" s="57" t="s">
        <v>116</v>
      </c>
      <c r="C26" s="25"/>
      <c r="D26" s="5">
        <f>SUM(D16:D25)</f>
        <v>0</v>
      </c>
      <c r="E26" s="5">
        <f>SUM(E16:E25)</f>
        <v>26374509</v>
      </c>
      <c r="F26" s="5">
        <f>SUM(F16:F25)</f>
        <v>0</v>
      </c>
      <c r="G26" s="5">
        <f>SUM(G16:G25)</f>
        <v>0</v>
      </c>
      <c r="H26" s="5">
        <f t="shared" si="0"/>
        <v>26374509</v>
      </c>
      <c r="I26" s="5">
        <f>SUM(I16:I25)</f>
        <v>0</v>
      </c>
      <c r="J26" s="5">
        <f>SUM(J16:J25)</f>
        <v>22594678.06</v>
      </c>
      <c r="K26" s="5">
        <f>SUM(K17:K25)</f>
        <v>0</v>
      </c>
      <c r="L26" s="5">
        <f>SUM(L17:L25)</f>
        <v>0</v>
      </c>
      <c r="M26" s="5">
        <f t="shared" si="5"/>
        <v>22594678.06</v>
      </c>
      <c r="N26" s="24">
        <f t="shared" si="2"/>
        <v>0.8566862063669128</v>
      </c>
    </row>
    <row r="27" spans="1:14" s="9" customFormat="1" ht="11.25" customHeight="1">
      <c r="A27" s="78"/>
      <c r="B27" s="122" t="s">
        <v>265</v>
      </c>
      <c r="C27" s="15" t="s">
        <v>74</v>
      </c>
      <c r="D27" s="12"/>
      <c r="E27" s="12"/>
      <c r="F27" s="12"/>
      <c r="G27" s="12"/>
      <c r="H27" s="6">
        <f t="shared" si="0"/>
        <v>0</v>
      </c>
      <c r="I27" s="12"/>
      <c r="J27" s="12"/>
      <c r="K27" s="12"/>
      <c r="L27" s="12"/>
      <c r="M27" s="6">
        <f t="shared" si="5"/>
        <v>0</v>
      </c>
      <c r="N27" s="7"/>
    </row>
    <row r="28" spans="1:14" s="9" customFormat="1" ht="51" customHeight="1">
      <c r="A28" s="78"/>
      <c r="B28" s="126"/>
      <c r="C28" s="56" t="s">
        <v>79</v>
      </c>
      <c r="D28" s="69">
        <f>2052867+140000</f>
        <v>2192867</v>
      </c>
      <c r="E28" s="12"/>
      <c r="F28" s="12"/>
      <c r="G28" s="12"/>
      <c r="H28" s="6">
        <f t="shared" si="0"/>
        <v>2192867</v>
      </c>
      <c r="I28" s="69">
        <v>758479.97</v>
      </c>
      <c r="J28" s="12"/>
      <c r="K28" s="12"/>
      <c r="L28" s="12"/>
      <c r="M28" s="6">
        <f t="shared" si="5"/>
        <v>758479.97</v>
      </c>
      <c r="N28" s="7">
        <f t="shared" si="2"/>
        <v>0.3458850764775064</v>
      </c>
    </row>
    <row r="29" spans="1:14" s="9" customFormat="1" ht="9.75">
      <c r="A29" s="78"/>
      <c r="B29" s="25" t="s">
        <v>266</v>
      </c>
      <c r="C29" s="25"/>
      <c r="D29" s="5">
        <f>SUM(D27:D28)</f>
        <v>2192867</v>
      </c>
      <c r="E29" s="5">
        <f>SUM(E27:E28)</f>
        <v>0</v>
      </c>
      <c r="F29" s="5">
        <f>SUM(F27:F28)</f>
        <v>0</v>
      </c>
      <c r="G29" s="5">
        <f>SUM(G27:G28)</f>
        <v>0</v>
      </c>
      <c r="H29" s="5">
        <f t="shared" si="0"/>
        <v>2192867</v>
      </c>
      <c r="I29" s="5">
        <f>SUM(I27:I28)</f>
        <v>758479.97</v>
      </c>
      <c r="J29" s="5">
        <f>SUM(J27:J28)</f>
        <v>0</v>
      </c>
      <c r="K29" s="5">
        <f>SUM(K27:K28)</f>
        <v>0</v>
      </c>
      <c r="L29" s="5">
        <f>SUM(L27:L28)</f>
        <v>0</v>
      </c>
      <c r="M29" s="5">
        <f t="shared" si="5"/>
        <v>758479.97</v>
      </c>
      <c r="N29" s="24">
        <f t="shared" si="2"/>
        <v>0.3458850764775064</v>
      </c>
    </row>
    <row r="30" spans="1:14" ht="11.25" customHeight="1">
      <c r="A30" s="77"/>
      <c r="B30" s="122" t="s">
        <v>66</v>
      </c>
      <c r="C30" s="15" t="s">
        <v>71</v>
      </c>
      <c r="D30" s="3">
        <v>70000</v>
      </c>
      <c r="E30" s="3"/>
      <c r="F30" s="3"/>
      <c r="G30" s="3"/>
      <c r="H30" s="6">
        <f t="shared" si="0"/>
        <v>70000</v>
      </c>
      <c r="I30" s="6">
        <v>77290.76</v>
      </c>
      <c r="J30" s="6"/>
      <c r="K30" s="6"/>
      <c r="L30" s="6"/>
      <c r="M30" s="6">
        <f t="shared" si="5"/>
        <v>77290.76</v>
      </c>
      <c r="N30" s="7">
        <f t="shared" si="2"/>
        <v>1.1041537142857143</v>
      </c>
    </row>
    <row r="31" spans="1:14" ht="11.25" customHeight="1">
      <c r="A31" s="77"/>
      <c r="B31" s="123"/>
      <c r="C31" s="46" t="s">
        <v>72</v>
      </c>
      <c r="D31" s="3"/>
      <c r="E31" s="3"/>
      <c r="F31" s="3"/>
      <c r="G31" s="3"/>
      <c r="H31" s="6">
        <f t="shared" si="0"/>
        <v>0</v>
      </c>
      <c r="I31" s="6">
        <v>5.42</v>
      </c>
      <c r="J31" s="6"/>
      <c r="K31" s="6"/>
      <c r="L31" s="6"/>
      <c r="M31" s="6">
        <f t="shared" si="5"/>
        <v>5.42</v>
      </c>
      <c r="N31" s="7"/>
    </row>
    <row r="32" spans="1:14" ht="9.75">
      <c r="A32" s="77"/>
      <c r="B32" s="123"/>
      <c r="C32" s="15" t="s">
        <v>74</v>
      </c>
      <c r="D32" s="3"/>
      <c r="E32" s="3"/>
      <c r="F32" s="3"/>
      <c r="G32" s="3"/>
      <c r="H32" s="6">
        <f t="shared" si="0"/>
        <v>0</v>
      </c>
      <c r="I32" s="6">
        <v>21946.91</v>
      </c>
      <c r="J32" s="6"/>
      <c r="K32" s="6"/>
      <c r="L32" s="6"/>
      <c r="M32" s="6">
        <f t="shared" si="5"/>
        <v>21946.91</v>
      </c>
      <c r="N32" s="7"/>
    </row>
    <row r="33" spans="1:14" ht="49.5" customHeight="1">
      <c r="A33" s="77"/>
      <c r="B33" s="123"/>
      <c r="C33" s="14" t="s">
        <v>70</v>
      </c>
      <c r="D33" s="3"/>
      <c r="E33" s="3"/>
      <c r="F33" s="3"/>
      <c r="G33" s="3"/>
      <c r="H33" s="6">
        <f t="shared" si="0"/>
        <v>0</v>
      </c>
      <c r="I33" s="6"/>
      <c r="J33" s="6">
        <v>-1862.01</v>
      </c>
      <c r="K33" s="6"/>
      <c r="L33" s="6"/>
      <c r="M33" s="6">
        <f t="shared" si="5"/>
        <v>-1862.01</v>
      </c>
      <c r="N33" s="7"/>
    </row>
    <row r="34" spans="1:14" ht="48.75" customHeight="1">
      <c r="A34" s="77"/>
      <c r="B34" s="123"/>
      <c r="C34" s="14" t="s">
        <v>189</v>
      </c>
      <c r="D34" s="3">
        <v>44743</v>
      </c>
      <c r="E34" s="3"/>
      <c r="F34" s="3"/>
      <c r="G34" s="3"/>
      <c r="H34" s="6">
        <f t="shared" si="0"/>
        <v>44743</v>
      </c>
      <c r="I34" s="6">
        <v>45463.07</v>
      </c>
      <c r="J34" s="6"/>
      <c r="K34" s="6"/>
      <c r="L34" s="6"/>
      <c r="M34" s="6">
        <f t="shared" si="5"/>
        <v>45463.07</v>
      </c>
      <c r="N34" s="7">
        <f t="shared" si="2"/>
        <v>1.0160934671345239</v>
      </c>
    </row>
    <row r="35" spans="1:14" ht="49.5" customHeight="1">
      <c r="A35" s="77"/>
      <c r="B35" s="123"/>
      <c r="C35" s="14" t="s">
        <v>291</v>
      </c>
      <c r="D35" s="3">
        <v>4379</v>
      </c>
      <c r="E35" s="3"/>
      <c r="F35" s="3"/>
      <c r="G35" s="3"/>
      <c r="H35" s="6">
        <f t="shared" si="0"/>
        <v>4379</v>
      </c>
      <c r="I35" s="6"/>
      <c r="J35" s="6"/>
      <c r="K35" s="6"/>
      <c r="L35" s="6"/>
      <c r="M35" s="6">
        <f t="shared" si="5"/>
        <v>0</v>
      </c>
      <c r="N35" s="7">
        <f t="shared" si="2"/>
        <v>0</v>
      </c>
    </row>
    <row r="36" spans="1:14" ht="49.5" customHeight="1">
      <c r="A36" s="77"/>
      <c r="B36" s="14"/>
      <c r="C36" s="14" t="s">
        <v>294</v>
      </c>
      <c r="D36" s="3">
        <v>64774</v>
      </c>
      <c r="E36" s="3"/>
      <c r="F36" s="3"/>
      <c r="G36" s="3"/>
      <c r="H36" s="6">
        <f t="shared" si="0"/>
        <v>64774</v>
      </c>
      <c r="I36" s="6">
        <v>8804.39</v>
      </c>
      <c r="J36" s="6"/>
      <c r="K36" s="6"/>
      <c r="L36" s="6"/>
      <c r="M36" s="6">
        <f t="shared" si="5"/>
        <v>8804.39</v>
      </c>
      <c r="N36" s="7">
        <f t="shared" si="2"/>
        <v>0.13592475375922436</v>
      </c>
    </row>
    <row r="37" spans="1:14" ht="10.5" customHeight="1">
      <c r="A37" s="77"/>
      <c r="B37" s="25" t="s">
        <v>117</v>
      </c>
      <c r="C37" s="25"/>
      <c r="D37" s="5">
        <f>SUM(D30:D36)</f>
        <v>183896</v>
      </c>
      <c r="E37" s="5">
        <f>SUM(E30:E36)</f>
        <v>0</v>
      </c>
      <c r="F37" s="5">
        <f>SUM(F30:F36)</f>
        <v>0</v>
      </c>
      <c r="G37" s="5">
        <f>SUM(G30:G36)</f>
        <v>0</v>
      </c>
      <c r="H37" s="5">
        <f t="shared" si="0"/>
        <v>183896</v>
      </c>
      <c r="I37" s="5">
        <f>SUM(I30:I36)</f>
        <v>153510.55</v>
      </c>
      <c r="J37" s="5">
        <f>SUM(J30:J36)</f>
        <v>-1862.01</v>
      </c>
      <c r="K37" s="5">
        <f>SUM(K30:K36)</f>
        <v>0</v>
      </c>
      <c r="L37" s="5">
        <f>SUM(L30:L36)</f>
        <v>0</v>
      </c>
      <c r="M37" s="5">
        <f t="shared" si="5"/>
        <v>151648.53999999998</v>
      </c>
      <c r="N37" s="24">
        <f t="shared" si="2"/>
        <v>0.8246429503632486</v>
      </c>
    </row>
    <row r="38" spans="1:14" ht="9.75" customHeight="1">
      <c r="A38" s="22" t="s">
        <v>65</v>
      </c>
      <c r="B38" s="20"/>
      <c r="C38" s="20"/>
      <c r="D38" s="21">
        <f>SUM(D37,D26,D15,D29)</f>
        <v>72229981</v>
      </c>
      <c r="E38" s="21">
        <f>SUM(E37,E26,E15,E29)</f>
        <v>26374509</v>
      </c>
      <c r="F38" s="21">
        <f>SUM(F37,F26,F15,F29)</f>
        <v>0</v>
      </c>
      <c r="G38" s="21">
        <f>SUM(G37,G26,G15,G29)</f>
        <v>0</v>
      </c>
      <c r="H38" s="21">
        <f aca="true" t="shared" si="6" ref="H38:H69">SUM(D38:G38)</f>
        <v>98604490</v>
      </c>
      <c r="I38" s="21">
        <f>SUM(I37,I26,I15,I29)</f>
        <v>70349082.53999999</v>
      </c>
      <c r="J38" s="21">
        <f>SUM(J37,J26,J15,J29)</f>
        <v>22592816.049999997</v>
      </c>
      <c r="K38" s="21">
        <f>SUM(K37,K26,K15,K29)</f>
        <v>0</v>
      </c>
      <c r="L38" s="21">
        <f>SUM(L37,L26,L15,L29)</f>
        <v>0</v>
      </c>
      <c r="M38" s="21">
        <f t="shared" si="5"/>
        <v>92941898.58999999</v>
      </c>
      <c r="N38" s="26">
        <f aca="true" t="shared" si="7" ref="N38:N69">M38/H38</f>
        <v>0.9425726819336522</v>
      </c>
    </row>
    <row r="39" spans="1:16" ht="58.5" customHeight="1">
      <c r="A39" s="62" t="s">
        <v>251</v>
      </c>
      <c r="B39" s="18" t="s">
        <v>253</v>
      </c>
      <c r="C39" s="14" t="s">
        <v>318</v>
      </c>
      <c r="D39" s="3">
        <v>3080165</v>
      </c>
      <c r="E39" s="3"/>
      <c r="F39" s="3"/>
      <c r="G39" s="3"/>
      <c r="H39" s="6">
        <f t="shared" si="6"/>
        <v>3080165</v>
      </c>
      <c r="I39" s="6">
        <v>3080164.53</v>
      </c>
      <c r="J39" s="6"/>
      <c r="K39" s="6"/>
      <c r="L39" s="6"/>
      <c r="M39" s="6">
        <f t="shared" si="5"/>
        <v>3080164.53</v>
      </c>
      <c r="N39" s="4">
        <f t="shared" si="7"/>
        <v>0.9999998474107717</v>
      </c>
      <c r="P39" s="1" t="s">
        <v>319</v>
      </c>
    </row>
    <row r="40" spans="1:14" ht="48.75" hidden="1">
      <c r="A40" s="62"/>
      <c r="B40" s="14"/>
      <c r="C40" s="14" t="s">
        <v>121</v>
      </c>
      <c r="D40" s="3"/>
      <c r="E40" s="3"/>
      <c r="F40" s="3"/>
      <c r="G40" s="3"/>
      <c r="H40" s="6">
        <f t="shared" si="6"/>
        <v>0</v>
      </c>
      <c r="I40" s="6"/>
      <c r="J40" s="6"/>
      <c r="K40" s="6"/>
      <c r="L40" s="6"/>
      <c r="M40" s="6">
        <f t="shared" si="5"/>
        <v>0</v>
      </c>
      <c r="N40" s="4" t="e">
        <f t="shared" si="7"/>
        <v>#DIV/0!</v>
      </c>
    </row>
    <row r="41" spans="1:14" s="9" customFormat="1" ht="9.75">
      <c r="A41" s="77"/>
      <c r="B41" s="30" t="s">
        <v>250</v>
      </c>
      <c r="C41" s="25"/>
      <c r="D41" s="5">
        <f>SUM(D39:D40)</f>
        <v>3080165</v>
      </c>
      <c r="E41" s="5">
        <f>SUM(E39:E40)</f>
        <v>0</v>
      </c>
      <c r="F41" s="5">
        <f>SUM(F39:F40)</f>
        <v>0</v>
      </c>
      <c r="G41" s="5">
        <f>SUM(G39:G40)</f>
        <v>0</v>
      </c>
      <c r="H41" s="5">
        <f t="shared" si="6"/>
        <v>3080165</v>
      </c>
      <c r="I41" s="5">
        <f>SUM(I39:I40)</f>
        <v>3080164.53</v>
      </c>
      <c r="J41" s="5">
        <f>SUM(J39:J40)</f>
        <v>0</v>
      </c>
      <c r="K41" s="5">
        <f>SUM(K39:K40)</f>
        <v>0</v>
      </c>
      <c r="L41" s="5">
        <f>SUM(L39:L40)</f>
        <v>0</v>
      </c>
      <c r="M41" s="5">
        <f t="shared" si="5"/>
        <v>3080164.53</v>
      </c>
      <c r="N41" s="24">
        <f t="shared" si="7"/>
        <v>0.9999998474107717</v>
      </c>
    </row>
    <row r="42" spans="1:14" s="9" customFormat="1" ht="10.5" customHeight="1">
      <c r="A42" s="128" t="s">
        <v>252</v>
      </c>
      <c r="B42" s="129"/>
      <c r="C42" s="55"/>
      <c r="D42" s="21">
        <f>SUM(D41)</f>
        <v>3080165</v>
      </c>
      <c r="E42" s="21">
        <f>SUM(E41)</f>
        <v>0</v>
      </c>
      <c r="F42" s="21">
        <f>SUM(F41)</f>
        <v>0</v>
      </c>
      <c r="G42" s="21">
        <f>SUM(G41)</f>
        <v>0</v>
      </c>
      <c r="H42" s="21">
        <f t="shared" si="6"/>
        <v>3080165</v>
      </c>
      <c r="I42" s="21">
        <f>SUM(I41)</f>
        <v>3080164.53</v>
      </c>
      <c r="J42" s="21">
        <f>SUM(J41)</f>
        <v>0</v>
      </c>
      <c r="K42" s="21">
        <f>SUM(K41)</f>
        <v>0</v>
      </c>
      <c r="L42" s="21">
        <f>SUM(L41)</f>
        <v>0</v>
      </c>
      <c r="M42" s="21">
        <f t="shared" si="5"/>
        <v>3080164.53</v>
      </c>
      <c r="N42" s="26">
        <f t="shared" si="7"/>
        <v>0.9999998474107717</v>
      </c>
    </row>
    <row r="43" spans="1:14" s="9" customFormat="1" ht="59.25" customHeight="1">
      <c r="A43" s="139" t="s">
        <v>8</v>
      </c>
      <c r="B43" s="75" t="s">
        <v>292</v>
      </c>
      <c r="C43" s="15" t="s">
        <v>104</v>
      </c>
      <c r="D43" s="3">
        <v>10059812</v>
      </c>
      <c r="E43" s="42"/>
      <c r="F43" s="42"/>
      <c r="G43" s="42"/>
      <c r="H43" s="6">
        <f t="shared" si="6"/>
        <v>10059812</v>
      </c>
      <c r="I43" s="6">
        <v>9776159.92</v>
      </c>
      <c r="J43" s="42"/>
      <c r="K43" s="42"/>
      <c r="L43" s="42"/>
      <c r="M43" s="6">
        <f t="shared" si="5"/>
        <v>9776159.92</v>
      </c>
      <c r="N43" s="4">
        <f t="shared" si="7"/>
        <v>0.9718034412571527</v>
      </c>
    </row>
    <row r="44" spans="1:14" s="9" customFormat="1" ht="10.5" customHeight="1">
      <c r="A44" s="140"/>
      <c r="B44" s="112" t="s">
        <v>293</v>
      </c>
      <c r="C44" s="113"/>
      <c r="D44" s="74">
        <f>SUM(D43)</f>
        <v>10059812</v>
      </c>
      <c r="E44" s="74">
        <f>SUM(E43)</f>
        <v>0</v>
      </c>
      <c r="F44" s="74">
        <f>SUM(F43)</f>
        <v>0</v>
      </c>
      <c r="G44" s="74">
        <f>SUM(G43)</f>
        <v>0</v>
      </c>
      <c r="H44" s="74">
        <f t="shared" si="6"/>
        <v>10059812</v>
      </c>
      <c r="I44" s="74">
        <f>SUM(I43)</f>
        <v>9776159.92</v>
      </c>
      <c r="J44" s="74">
        <f>SUM(J43)</f>
        <v>0</v>
      </c>
      <c r="K44" s="74">
        <f>SUM(K43)</f>
        <v>0</v>
      </c>
      <c r="L44" s="74">
        <f>SUM(L43)</f>
        <v>0</v>
      </c>
      <c r="M44" s="74">
        <f t="shared" si="5"/>
        <v>9776159.92</v>
      </c>
      <c r="N44" s="24">
        <f t="shared" si="7"/>
        <v>0.9718034412571527</v>
      </c>
    </row>
    <row r="45" spans="1:14" ht="30" customHeight="1">
      <c r="A45" s="140"/>
      <c r="B45" s="124" t="s">
        <v>9</v>
      </c>
      <c r="C45" s="14" t="s">
        <v>78</v>
      </c>
      <c r="D45" s="3">
        <v>2200000</v>
      </c>
      <c r="E45" s="3"/>
      <c r="F45" s="3"/>
      <c r="G45" s="3"/>
      <c r="H45" s="6">
        <f t="shared" si="6"/>
        <v>2200000</v>
      </c>
      <c r="I45" s="6">
        <v>2956029.84</v>
      </c>
      <c r="J45" s="6"/>
      <c r="K45" s="6"/>
      <c r="L45" s="6"/>
      <c r="M45" s="6">
        <f t="shared" si="5"/>
        <v>2956029.84</v>
      </c>
      <c r="N45" s="4">
        <f t="shared" si="7"/>
        <v>1.3436499272727271</v>
      </c>
    </row>
    <row r="46" spans="1:14" ht="39.75" customHeight="1">
      <c r="A46" s="141"/>
      <c r="B46" s="125"/>
      <c r="C46" s="14" t="s">
        <v>289</v>
      </c>
      <c r="D46" s="3">
        <v>250000</v>
      </c>
      <c r="E46" s="3"/>
      <c r="F46" s="3"/>
      <c r="G46" s="3"/>
      <c r="H46" s="6">
        <f t="shared" si="6"/>
        <v>250000</v>
      </c>
      <c r="I46" s="6"/>
      <c r="J46" s="6"/>
      <c r="K46" s="6"/>
      <c r="L46" s="6"/>
      <c r="M46" s="6">
        <f t="shared" si="5"/>
        <v>0</v>
      </c>
      <c r="N46" s="4">
        <f t="shared" si="7"/>
        <v>0</v>
      </c>
    </row>
    <row r="47" spans="1:14" ht="59.25" customHeight="1">
      <c r="A47" s="77"/>
      <c r="B47" s="16"/>
      <c r="C47" s="15" t="s">
        <v>104</v>
      </c>
      <c r="D47" s="3">
        <v>6800000</v>
      </c>
      <c r="E47" s="3"/>
      <c r="F47" s="3"/>
      <c r="G47" s="3"/>
      <c r="H47" s="6">
        <f t="shared" si="6"/>
        <v>6800000</v>
      </c>
      <c r="I47" s="6">
        <v>7089674.62</v>
      </c>
      <c r="J47" s="8"/>
      <c r="K47" s="8"/>
      <c r="L47" s="8"/>
      <c r="M47" s="6">
        <f t="shared" si="5"/>
        <v>7089674.62</v>
      </c>
      <c r="N47" s="4">
        <f t="shared" si="7"/>
        <v>1.0425992088235294</v>
      </c>
    </row>
    <row r="48" spans="1:14" ht="39.75" customHeight="1">
      <c r="A48" s="77"/>
      <c r="B48" s="16"/>
      <c r="C48" s="15" t="s">
        <v>75</v>
      </c>
      <c r="D48" s="3">
        <f>760000+1000000</f>
        <v>1760000</v>
      </c>
      <c r="E48" s="3"/>
      <c r="F48" s="3"/>
      <c r="G48" s="3"/>
      <c r="H48" s="6">
        <f t="shared" si="6"/>
        <v>1760000</v>
      </c>
      <c r="I48" s="6">
        <v>3595357.84</v>
      </c>
      <c r="J48" s="6"/>
      <c r="K48" s="6"/>
      <c r="L48" s="6"/>
      <c r="M48" s="6">
        <f t="shared" si="5"/>
        <v>3595357.84</v>
      </c>
      <c r="N48" s="4">
        <f t="shared" si="7"/>
        <v>2.0428169545454544</v>
      </c>
    </row>
    <row r="49" spans="1:14" ht="39.75" customHeight="1">
      <c r="A49" s="77"/>
      <c r="B49" s="16"/>
      <c r="C49" s="15" t="s">
        <v>231</v>
      </c>
      <c r="D49" s="3">
        <f>22650000+1200000+1000000+405000</f>
        <v>25255000</v>
      </c>
      <c r="E49" s="3"/>
      <c r="F49" s="3"/>
      <c r="G49" s="3"/>
      <c r="H49" s="6">
        <f t="shared" si="6"/>
        <v>25255000</v>
      </c>
      <c r="I49" s="6">
        <v>30855740.1</v>
      </c>
      <c r="J49" s="6"/>
      <c r="K49" s="6"/>
      <c r="L49" s="6"/>
      <c r="M49" s="6">
        <f t="shared" si="5"/>
        <v>30855740.1</v>
      </c>
      <c r="N49" s="4">
        <f t="shared" si="7"/>
        <v>1.2217675747376757</v>
      </c>
    </row>
    <row r="50" spans="1:14" ht="9.75" customHeight="1">
      <c r="A50" s="77"/>
      <c r="B50" s="16"/>
      <c r="C50" s="15" t="s">
        <v>76</v>
      </c>
      <c r="D50" s="3"/>
      <c r="E50" s="3"/>
      <c r="F50" s="3"/>
      <c r="G50" s="3"/>
      <c r="H50" s="6">
        <f t="shared" si="6"/>
        <v>0</v>
      </c>
      <c r="I50" s="6">
        <v>103178.78</v>
      </c>
      <c r="J50" s="6"/>
      <c r="K50" s="6"/>
      <c r="L50" s="6"/>
      <c r="M50" s="6">
        <f t="shared" si="5"/>
        <v>103178.78</v>
      </c>
      <c r="N50" s="4"/>
    </row>
    <row r="51" spans="1:14" ht="9" customHeight="1">
      <c r="A51" s="77"/>
      <c r="B51" s="16"/>
      <c r="C51" s="15" t="s">
        <v>72</v>
      </c>
      <c r="D51" s="3"/>
      <c r="E51" s="3"/>
      <c r="F51" s="3"/>
      <c r="G51" s="3"/>
      <c r="H51" s="6">
        <f t="shared" si="6"/>
        <v>0</v>
      </c>
      <c r="I51" s="6">
        <v>151941.27</v>
      </c>
      <c r="J51" s="6"/>
      <c r="K51" s="6"/>
      <c r="L51" s="6"/>
      <c r="M51" s="6">
        <f t="shared" si="5"/>
        <v>151941.27</v>
      </c>
      <c r="N51" s="4"/>
    </row>
    <row r="52" spans="1:14" ht="9.75" hidden="1">
      <c r="A52" s="77"/>
      <c r="B52" s="16"/>
      <c r="C52" s="15" t="s">
        <v>74</v>
      </c>
      <c r="D52" s="3"/>
      <c r="E52" s="3"/>
      <c r="F52" s="3"/>
      <c r="G52" s="3"/>
      <c r="H52" s="6">
        <f t="shared" si="6"/>
        <v>0</v>
      </c>
      <c r="I52" s="6"/>
      <c r="J52" s="6"/>
      <c r="K52" s="6"/>
      <c r="L52" s="6"/>
      <c r="M52" s="6">
        <f t="shared" si="5"/>
        <v>0</v>
      </c>
      <c r="N52" s="4" t="e">
        <f t="shared" si="7"/>
        <v>#DIV/0!</v>
      </c>
    </row>
    <row r="53" spans="1:14" ht="48" customHeight="1">
      <c r="A53" s="77"/>
      <c r="B53" s="16"/>
      <c r="C53" s="15" t="s">
        <v>69</v>
      </c>
      <c r="D53" s="3"/>
      <c r="E53" s="3"/>
      <c r="F53" s="3"/>
      <c r="G53" s="3">
        <f>130000+203600+51739+3658279+111998+220810</f>
        <v>4376426</v>
      </c>
      <c r="H53" s="6">
        <f t="shared" si="6"/>
        <v>4376426</v>
      </c>
      <c r="I53" s="6"/>
      <c r="J53" s="6"/>
      <c r="K53" s="6"/>
      <c r="L53" s="6">
        <v>4308570.42</v>
      </c>
      <c r="M53" s="6">
        <f t="shared" si="5"/>
        <v>4308570.42</v>
      </c>
      <c r="N53" s="4">
        <f t="shared" si="7"/>
        <v>0.9844952068194458</v>
      </c>
    </row>
    <row r="54" spans="1:14" ht="39" customHeight="1">
      <c r="A54" s="77"/>
      <c r="B54" s="16"/>
      <c r="C54" s="18" t="s">
        <v>77</v>
      </c>
      <c r="D54" s="3"/>
      <c r="E54" s="3">
        <v>2125000</v>
      </c>
      <c r="F54" s="3"/>
      <c r="G54" s="3"/>
      <c r="H54" s="6">
        <f t="shared" si="6"/>
        <v>2125000</v>
      </c>
      <c r="I54" s="6"/>
      <c r="J54" s="6">
        <v>2059615.5</v>
      </c>
      <c r="K54" s="8"/>
      <c r="L54" s="8"/>
      <c r="M54" s="6">
        <f t="shared" si="5"/>
        <v>2059615.5</v>
      </c>
      <c r="N54" s="4">
        <f t="shared" si="7"/>
        <v>0.9692308235294118</v>
      </c>
    </row>
    <row r="55" spans="1:14" ht="48" customHeight="1" hidden="1">
      <c r="A55" s="77"/>
      <c r="B55" s="16"/>
      <c r="C55" s="18" t="s">
        <v>70</v>
      </c>
      <c r="D55" s="3"/>
      <c r="E55" s="3"/>
      <c r="F55" s="3"/>
      <c r="G55" s="3"/>
      <c r="H55" s="6">
        <f t="shared" si="6"/>
        <v>0</v>
      </c>
      <c r="J55" s="6"/>
      <c r="K55" s="8"/>
      <c r="L55" s="8"/>
      <c r="M55" s="6">
        <f t="shared" si="5"/>
        <v>0</v>
      </c>
      <c r="N55" s="4" t="e">
        <f t="shared" si="7"/>
        <v>#DIV/0!</v>
      </c>
    </row>
    <row r="56" spans="1:14" ht="51" customHeight="1">
      <c r="A56" s="77"/>
      <c r="B56" s="16"/>
      <c r="C56" s="18" t="s">
        <v>79</v>
      </c>
      <c r="D56" s="3">
        <v>4943</v>
      </c>
      <c r="E56" s="3"/>
      <c r="F56" s="3"/>
      <c r="G56" s="3"/>
      <c r="H56" s="6">
        <f t="shared" si="6"/>
        <v>4943</v>
      </c>
      <c r="I56" s="6">
        <v>4943.01</v>
      </c>
      <c r="J56" s="6"/>
      <c r="K56" s="8"/>
      <c r="L56" s="8"/>
      <c r="M56" s="6">
        <f t="shared" si="5"/>
        <v>4943.01</v>
      </c>
      <c r="N56" s="4">
        <f t="shared" si="7"/>
        <v>1.0000020230629174</v>
      </c>
    </row>
    <row r="57" spans="1:14" ht="9.75">
      <c r="A57" s="77"/>
      <c r="B57" s="25" t="s">
        <v>118</v>
      </c>
      <c r="C57" s="25"/>
      <c r="D57" s="5">
        <f>SUM(D45:D56)</f>
        <v>36269943</v>
      </c>
      <c r="E57" s="5">
        <f>SUM(E45:E56)</f>
        <v>2125000</v>
      </c>
      <c r="F57" s="5">
        <f>SUM(F45:F56)</f>
        <v>0</v>
      </c>
      <c r="G57" s="5">
        <f>SUM(G45:G56)</f>
        <v>4376426</v>
      </c>
      <c r="H57" s="5">
        <f t="shared" si="6"/>
        <v>42771369</v>
      </c>
      <c r="I57" s="5">
        <f>SUM(I45:I56)</f>
        <v>44756865.46000001</v>
      </c>
      <c r="J57" s="5">
        <f>SUM(J45:J56)</f>
        <v>2059615.5</v>
      </c>
      <c r="K57" s="5">
        <f>SUM(K45:K56)</f>
        <v>0</v>
      </c>
      <c r="L57" s="5">
        <f>SUM(L45:L56)</f>
        <v>4308570.42</v>
      </c>
      <c r="M57" s="5">
        <f t="shared" si="5"/>
        <v>51125051.38000001</v>
      </c>
      <c r="N57" s="24">
        <f t="shared" si="7"/>
        <v>1.1953101473090564</v>
      </c>
    </row>
    <row r="58" spans="1:14" s="9" customFormat="1" ht="59.25" customHeight="1">
      <c r="A58" s="77"/>
      <c r="B58" s="122" t="s">
        <v>10</v>
      </c>
      <c r="C58" s="15" t="s">
        <v>104</v>
      </c>
      <c r="D58" s="3">
        <v>5550000</v>
      </c>
      <c r="E58" s="3"/>
      <c r="F58" s="3"/>
      <c r="G58" s="3"/>
      <c r="H58" s="6">
        <f t="shared" si="6"/>
        <v>5550000</v>
      </c>
      <c r="I58" s="6">
        <v>4636779.74</v>
      </c>
      <c r="J58" s="12"/>
      <c r="K58" s="12"/>
      <c r="L58" s="12"/>
      <c r="M58" s="6">
        <f t="shared" si="5"/>
        <v>4636779.74</v>
      </c>
      <c r="N58" s="4">
        <f t="shared" si="7"/>
        <v>0.8354558090090091</v>
      </c>
    </row>
    <row r="59" spans="1:14" s="9" customFormat="1" ht="9.75" customHeight="1">
      <c r="A59" s="77"/>
      <c r="B59" s="123"/>
      <c r="C59" s="15" t="s">
        <v>72</v>
      </c>
      <c r="D59" s="3"/>
      <c r="E59" s="3"/>
      <c r="F59" s="3"/>
      <c r="G59" s="3"/>
      <c r="H59" s="6">
        <f t="shared" si="6"/>
        <v>0</v>
      </c>
      <c r="I59" s="6">
        <v>33786.06</v>
      </c>
      <c r="J59" s="12"/>
      <c r="K59" s="12"/>
      <c r="L59" s="12"/>
      <c r="M59" s="6">
        <f t="shared" si="5"/>
        <v>33786.06</v>
      </c>
      <c r="N59" s="4"/>
    </row>
    <row r="60" spans="1:14" s="9" customFormat="1" ht="9.75" hidden="1">
      <c r="A60" s="77"/>
      <c r="B60" s="123"/>
      <c r="C60" s="15" t="s">
        <v>74</v>
      </c>
      <c r="D60" s="3"/>
      <c r="E60" s="3"/>
      <c r="F60" s="3"/>
      <c r="G60" s="3"/>
      <c r="H60" s="6">
        <f t="shared" si="6"/>
        <v>0</v>
      </c>
      <c r="I60" s="6"/>
      <c r="J60" s="12"/>
      <c r="K60" s="12"/>
      <c r="L60" s="12"/>
      <c r="M60" s="6">
        <f t="shared" si="5"/>
        <v>0</v>
      </c>
      <c r="N60" s="4" t="e">
        <f t="shared" si="7"/>
        <v>#DIV/0!</v>
      </c>
    </row>
    <row r="61" spans="1:14" s="9" customFormat="1" ht="47.25" customHeight="1" hidden="1">
      <c r="A61" s="78"/>
      <c r="B61" s="63"/>
      <c r="C61" s="64" t="s">
        <v>70</v>
      </c>
      <c r="D61" s="6"/>
      <c r="E61" s="6"/>
      <c r="F61" s="6"/>
      <c r="G61" s="6"/>
      <c r="H61" s="6">
        <f t="shared" si="6"/>
        <v>0</v>
      </c>
      <c r="I61" s="6"/>
      <c r="J61" s="12"/>
      <c r="K61" s="12"/>
      <c r="L61" s="12"/>
      <c r="M61" s="6">
        <f t="shared" si="5"/>
        <v>0</v>
      </c>
      <c r="N61" s="7" t="e">
        <f t="shared" si="7"/>
        <v>#DIV/0!</v>
      </c>
    </row>
    <row r="62" spans="1:14" s="10" customFormat="1" ht="9.75">
      <c r="A62" s="77"/>
      <c r="B62" s="25" t="s">
        <v>119</v>
      </c>
      <c r="C62" s="25"/>
      <c r="D62" s="5">
        <f>SUM(D58:D61)</f>
        <v>5550000</v>
      </c>
      <c r="E62" s="5">
        <f>SUM(E58:E61)</f>
        <v>0</v>
      </c>
      <c r="F62" s="5">
        <f>SUM(F58:F61)</f>
        <v>0</v>
      </c>
      <c r="G62" s="5">
        <f>SUM(G58:G61)</f>
        <v>0</v>
      </c>
      <c r="H62" s="5">
        <f t="shared" si="6"/>
        <v>5550000</v>
      </c>
      <c r="I62" s="5">
        <f>SUM(I58:I61)</f>
        <v>4670565.8</v>
      </c>
      <c r="J62" s="5">
        <f>SUM(J58:J61)</f>
        <v>0</v>
      </c>
      <c r="K62" s="5">
        <f>SUM(K58:K61)</f>
        <v>0</v>
      </c>
      <c r="L62" s="5">
        <f>SUM(L58:L61)</f>
        <v>0</v>
      </c>
      <c r="M62" s="5">
        <f>SUM(M58:M61)</f>
        <v>4670565.8</v>
      </c>
      <c r="N62" s="24">
        <f t="shared" si="7"/>
        <v>0.8415433873873873</v>
      </c>
    </row>
    <row r="63" spans="1:14" ht="10.5" customHeight="1">
      <c r="A63" s="22" t="s">
        <v>11</v>
      </c>
      <c r="B63" s="20"/>
      <c r="C63" s="20"/>
      <c r="D63" s="71">
        <f>SUM(D62,D44,D57)</f>
        <v>51879755</v>
      </c>
      <c r="E63" s="71">
        <f>SUM(E62,E44,E57)</f>
        <v>2125000</v>
      </c>
      <c r="F63" s="71">
        <f>SUM(F62,F44,F57)</f>
        <v>0</v>
      </c>
      <c r="G63" s="71">
        <f>SUM(G62,G44,G57)</f>
        <v>4376426</v>
      </c>
      <c r="H63" s="21">
        <f t="shared" si="6"/>
        <v>58381181</v>
      </c>
      <c r="I63" s="21">
        <f>SUM(I62,I44,I57)</f>
        <v>59203591.18000001</v>
      </c>
      <c r="J63" s="21">
        <f>SUM(J62,J44,J57)</f>
        <v>2059615.5</v>
      </c>
      <c r="K63" s="21">
        <f>SUM(K62,K44,K57)</f>
        <v>0</v>
      </c>
      <c r="L63" s="21">
        <f>SUM(L62,L44,L57)</f>
        <v>4308570.42</v>
      </c>
      <c r="M63" s="21">
        <f aca="true" t="shared" si="8" ref="M63:M95">SUM(I63:L63)</f>
        <v>65571777.10000001</v>
      </c>
      <c r="N63" s="26">
        <f t="shared" si="7"/>
        <v>1.123166335055812</v>
      </c>
    </row>
    <row r="64" spans="1:14" s="9" customFormat="1" ht="48.75" customHeight="1">
      <c r="A64" s="139" t="s">
        <v>12</v>
      </c>
      <c r="B64" s="122" t="s">
        <v>120</v>
      </c>
      <c r="C64" s="14" t="s">
        <v>189</v>
      </c>
      <c r="D64" s="3">
        <v>6302</v>
      </c>
      <c r="E64" s="42"/>
      <c r="F64" s="42"/>
      <c r="G64" s="42"/>
      <c r="H64" s="6">
        <f t="shared" si="6"/>
        <v>6302</v>
      </c>
      <c r="I64" s="6">
        <v>6635.47</v>
      </c>
      <c r="J64" s="42"/>
      <c r="K64" s="42"/>
      <c r="L64" s="42"/>
      <c r="M64" s="6">
        <f t="shared" si="8"/>
        <v>6635.47</v>
      </c>
      <c r="N64" s="4">
        <f t="shared" si="7"/>
        <v>1.0529149476356712</v>
      </c>
    </row>
    <row r="65" spans="1:14" ht="48" customHeight="1" hidden="1">
      <c r="A65" s="140"/>
      <c r="B65" s="126"/>
      <c r="C65" s="15" t="s">
        <v>121</v>
      </c>
      <c r="D65" s="3"/>
      <c r="E65" s="3"/>
      <c r="F65" s="3"/>
      <c r="G65" s="3"/>
      <c r="H65" s="6">
        <f t="shared" si="6"/>
        <v>0</v>
      </c>
      <c r="I65" s="6"/>
      <c r="J65" s="6"/>
      <c r="K65" s="6"/>
      <c r="L65" s="6"/>
      <c r="M65" s="6">
        <f t="shared" si="8"/>
        <v>0</v>
      </c>
      <c r="N65" s="4" t="e">
        <f t="shared" si="7"/>
        <v>#DIV/0!</v>
      </c>
    </row>
    <row r="66" spans="1:14" ht="9.75" customHeight="1">
      <c r="A66" s="140"/>
      <c r="B66" s="25" t="s">
        <v>122</v>
      </c>
      <c r="C66" s="25"/>
      <c r="D66" s="5">
        <f>SUM(D64:D65)</f>
        <v>6302</v>
      </c>
      <c r="E66" s="5">
        <f>SUM(E64:E65)</f>
        <v>0</v>
      </c>
      <c r="F66" s="5">
        <f>SUM(F64:F65)</f>
        <v>0</v>
      </c>
      <c r="G66" s="5">
        <f>SUM(G64:G65)</f>
        <v>0</v>
      </c>
      <c r="H66" s="5">
        <f t="shared" si="6"/>
        <v>6302</v>
      </c>
      <c r="I66" s="5">
        <f>SUM(I64:I65)</f>
        <v>6635.47</v>
      </c>
      <c r="J66" s="5">
        <f>SUM(J64:J65)</f>
        <v>0</v>
      </c>
      <c r="K66" s="5">
        <f>SUM(K64:K65)</f>
        <v>0</v>
      </c>
      <c r="L66" s="5">
        <f>SUM(L64:L65)</f>
        <v>0</v>
      </c>
      <c r="M66" s="5">
        <f t="shared" si="8"/>
        <v>6635.47</v>
      </c>
      <c r="N66" s="24">
        <f t="shared" si="7"/>
        <v>1.0529149476356712</v>
      </c>
    </row>
    <row r="67" spans="1:14" ht="48" customHeight="1">
      <c r="A67" s="141"/>
      <c r="B67" s="19" t="s">
        <v>13</v>
      </c>
      <c r="C67" s="23" t="s">
        <v>69</v>
      </c>
      <c r="D67" s="3"/>
      <c r="E67" s="3"/>
      <c r="F67" s="3"/>
      <c r="G67" s="3">
        <v>175000</v>
      </c>
      <c r="H67" s="6">
        <f t="shared" si="6"/>
        <v>175000</v>
      </c>
      <c r="I67" s="12"/>
      <c r="J67" s="12"/>
      <c r="K67" s="12"/>
      <c r="L67" s="69">
        <v>175000</v>
      </c>
      <c r="M67" s="6">
        <f t="shared" si="8"/>
        <v>175000</v>
      </c>
      <c r="N67" s="4">
        <f t="shared" si="7"/>
        <v>1</v>
      </c>
    </row>
    <row r="68" spans="1:14" s="10" customFormat="1" ht="10.5" customHeight="1">
      <c r="A68" s="77"/>
      <c r="B68" s="25" t="s">
        <v>123</v>
      </c>
      <c r="C68" s="25"/>
      <c r="D68" s="5">
        <f>SUM(D67)</f>
        <v>0</v>
      </c>
      <c r="E68" s="5">
        <f>SUM(E67)</f>
        <v>0</v>
      </c>
      <c r="F68" s="5">
        <f>SUM(F67)</f>
        <v>0</v>
      </c>
      <c r="G68" s="5">
        <f>SUM(G67)</f>
        <v>175000</v>
      </c>
      <c r="H68" s="5">
        <f t="shared" si="6"/>
        <v>175000</v>
      </c>
      <c r="I68" s="5">
        <f>SUM(I67)</f>
        <v>0</v>
      </c>
      <c r="J68" s="5">
        <f>SUM(J67)</f>
        <v>0</v>
      </c>
      <c r="K68" s="5">
        <f>SUM(K67)</f>
        <v>0</v>
      </c>
      <c r="L68" s="5">
        <f>SUM(L67)</f>
        <v>175000</v>
      </c>
      <c r="M68" s="5">
        <f t="shared" si="8"/>
        <v>175000</v>
      </c>
      <c r="N68" s="24">
        <f t="shared" si="7"/>
        <v>1</v>
      </c>
    </row>
    <row r="69" spans="1:14" ht="48" customHeight="1">
      <c r="A69" s="77"/>
      <c r="B69" s="19" t="s">
        <v>14</v>
      </c>
      <c r="C69" s="23" t="s">
        <v>69</v>
      </c>
      <c r="D69" s="3"/>
      <c r="E69" s="3"/>
      <c r="F69" s="3"/>
      <c r="G69" s="3">
        <v>60000</v>
      </c>
      <c r="H69" s="6">
        <f t="shared" si="6"/>
        <v>60000</v>
      </c>
      <c r="I69" s="6"/>
      <c r="J69" s="6"/>
      <c r="K69" s="6"/>
      <c r="L69" s="6">
        <v>30000</v>
      </c>
      <c r="M69" s="6">
        <f t="shared" si="8"/>
        <v>30000</v>
      </c>
      <c r="N69" s="4">
        <f t="shared" si="7"/>
        <v>0.5</v>
      </c>
    </row>
    <row r="70" spans="1:14" ht="10.5" customHeight="1">
      <c r="A70" s="77"/>
      <c r="B70" s="25" t="s">
        <v>124</v>
      </c>
      <c r="C70" s="25"/>
      <c r="D70" s="5">
        <f>SUM(D69)</f>
        <v>0</v>
      </c>
      <c r="E70" s="5">
        <f>SUM(E69)</f>
        <v>0</v>
      </c>
      <c r="F70" s="5">
        <f>SUM(F69)</f>
        <v>0</v>
      </c>
      <c r="G70" s="5">
        <f>SUM(G69)</f>
        <v>60000</v>
      </c>
      <c r="H70" s="5">
        <f aca="true" t="shared" si="9" ref="H70:H102">SUM(D70:G70)</f>
        <v>60000</v>
      </c>
      <c r="I70" s="5">
        <f>SUM(I69)</f>
        <v>0</v>
      </c>
      <c r="J70" s="5">
        <f>SUM(J69)</f>
        <v>0</v>
      </c>
      <c r="K70" s="5">
        <f>SUM(K69)</f>
        <v>0</v>
      </c>
      <c r="L70" s="5">
        <f>SUM(L69)</f>
        <v>30000</v>
      </c>
      <c r="M70" s="5">
        <f t="shared" si="8"/>
        <v>30000</v>
      </c>
      <c r="N70" s="24">
        <f aca="true" t="shared" si="10" ref="N70:N94">M70/H70</f>
        <v>0.5</v>
      </c>
    </row>
    <row r="71" spans="1:14" s="9" customFormat="1" ht="9" customHeight="1">
      <c r="A71" s="78"/>
      <c r="B71" s="122" t="s">
        <v>15</v>
      </c>
      <c r="C71" s="15" t="s">
        <v>71</v>
      </c>
      <c r="D71" s="12"/>
      <c r="E71" s="12"/>
      <c r="F71" s="12"/>
      <c r="G71" s="12"/>
      <c r="H71" s="6">
        <f t="shared" si="9"/>
        <v>0</v>
      </c>
      <c r="I71" s="12"/>
      <c r="J71" s="69">
        <v>188</v>
      </c>
      <c r="K71" s="12"/>
      <c r="L71" s="12"/>
      <c r="M71" s="6">
        <f t="shared" si="8"/>
        <v>188</v>
      </c>
      <c r="N71" s="4"/>
    </row>
    <row r="72" spans="1:14" s="9" customFormat="1" ht="9" customHeight="1">
      <c r="A72" s="78"/>
      <c r="B72" s="123"/>
      <c r="C72" s="15" t="s">
        <v>72</v>
      </c>
      <c r="D72" s="12"/>
      <c r="E72" s="12"/>
      <c r="F72" s="12"/>
      <c r="G72" s="12"/>
      <c r="H72" s="6">
        <f t="shared" si="9"/>
        <v>0</v>
      </c>
      <c r="I72" s="12"/>
      <c r="J72" s="6">
        <v>962.08</v>
      </c>
      <c r="K72" s="12"/>
      <c r="L72" s="12"/>
      <c r="M72" s="6">
        <f t="shared" si="8"/>
        <v>962.08</v>
      </c>
      <c r="N72" s="4"/>
    </row>
    <row r="73" spans="1:14" ht="48.75" customHeight="1">
      <c r="A73" s="77"/>
      <c r="B73" s="123"/>
      <c r="C73" s="15" t="s">
        <v>69</v>
      </c>
      <c r="D73" s="3"/>
      <c r="E73" s="3"/>
      <c r="F73" s="3"/>
      <c r="G73" s="3">
        <f>492000+38200</f>
        <v>530200</v>
      </c>
      <c r="H73" s="6">
        <f t="shared" si="9"/>
        <v>530200</v>
      </c>
      <c r="I73" s="6"/>
      <c r="J73" s="6"/>
      <c r="K73" s="6"/>
      <c r="L73" s="6">
        <v>530138.02</v>
      </c>
      <c r="M73" s="6">
        <f t="shared" si="8"/>
        <v>530138.02</v>
      </c>
      <c r="N73" s="4">
        <f t="shared" si="10"/>
        <v>0.9998831007167107</v>
      </c>
    </row>
    <row r="74" spans="1:14" ht="39" customHeight="1">
      <c r="A74" s="77"/>
      <c r="B74" s="126"/>
      <c r="C74" s="18" t="s">
        <v>77</v>
      </c>
      <c r="D74" s="3"/>
      <c r="E74" s="3"/>
      <c r="F74" s="3"/>
      <c r="G74" s="3"/>
      <c r="H74" s="6">
        <f t="shared" si="9"/>
        <v>0</v>
      </c>
      <c r="I74" s="6"/>
      <c r="J74" s="6">
        <v>10</v>
      </c>
      <c r="K74" s="6"/>
      <c r="L74" s="6"/>
      <c r="M74" s="6">
        <f t="shared" si="8"/>
        <v>10</v>
      </c>
      <c r="N74" s="4"/>
    </row>
    <row r="75" spans="1:14" ht="9.75" customHeight="1">
      <c r="A75" s="77"/>
      <c r="B75" s="25" t="s">
        <v>125</v>
      </c>
      <c r="C75" s="25"/>
      <c r="D75" s="5">
        <f>SUM(D71:D74)</f>
        <v>0</v>
      </c>
      <c r="E75" s="5">
        <f>SUM(E71:E74)</f>
        <v>0</v>
      </c>
      <c r="F75" s="5">
        <f>SUM(F71:F74)</f>
        <v>0</v>
      </c>
      <c r="G75" s="5">
        <f>SUM(G71:G74)</f>
        <v>530200</v>
      </c>
      <c r="H75" s="5">
        <f t="shared" si="9"/>
        <v>530200</v>
      </c>
      <c r="I75" s="5">
        <f>SUM(I71:I74)</f>
        <v>0</v>
      </c>
      <c r="J75" s="5">
        <f>SUM(J71:J74)</f>
        <v>1160.08</v>
      </c>
      <c r="K75" s="5">
        <f>SUM(K71:K74)</f>
        <v>0</v>
      </c>
      <c r="L75" s="5">
        <f>SUM(L71:L74)</f>
        <v>530138.02</v>
      </c>
      <c r="M75" s="5">
        <f t="shared" si="8"/>
        <v>531298.1</v>
      </c>
      <c r="N75" s="24">
        <f t="shared" si="10"/>
        <v>1.0020711052433044</v>
      </c>
    </row>
    <row r="76" spans="1:14" s="9" customFormat="1" ht="3" customHeight="1" hidden="1">
      <c r="A76" s="78"/>
      <c r="B76" s="15" t="s">
        <v>62</v>
      </c>
      <c r="C76" s="15" t="s">
        <v>71</v>
      </c>
      <c r="D76" s="12"/>
      <c r="E76" s="12"/>
      <c r="F76" s="12"/>
      <c r="G76" s="12"/>
      <c r="H76" s="6">
        <f t="shared" si="9"/>
        <v>0</v>
      </c>
      <c r="I76" s="6"/>
      <c r="J76" s="12"/>
      <c r="K76" s="12"/>
      <c r="L76" s="12"/>
      <c r="M76" s="6">
        <f t="shared" si="8"/>
        <v>0</v>
      </c>
      <c r="N76" s="4" t="e">
        <f t="shared" si="10"/>
        <v>#DIV/0!</v>
      </c>
    </row>
    <row r="77" spans="1:14" s="9" customFormat="1" ht="9" customHeight="1">
      <c r="A77" s="78"/>
      <c r="B77" s="123" t="s">
        <v>62</v>
      </c>
      <c r="C77" s="15" t="s">
        <v>72</v>
      </c>
      <c r="D77" s="12"/>
      <c r="E77" s="12"/>
      <c r="F77" s="12"/>
      <c r="G77" s="12"/>
      <c r="H77" s="6">
        <f t="shared" si="9"/>
        <v>0</v>
      </c>
      <c r="I77" s="6">
        <v>110.99</v>
      </c>
      <c r="J77" s="12"/>
      <c r="K77" s="12"/>
      <c r="L77" s="12"/>
      <c r="M77" s="6">
        <f t="shared" si="8"/>
        <v>110.99</v>
      </c>
      <c r="N77" s="4"/>
    </row>
    <row r="78" spans="1:14" ht="48" customHeight="1">
      <c r="A78" s="77"/>
      <c r="B78" s="123"/>
      <c r="C78" s="15" t="s">
        <v>80</v>
      </c>
      <c r="D78" s="3">
        <v>27500</v>
      </c>
      <c r="E78" s="3"/>
      <c r="F78" s="3"/>
      <c r="G78" s="3"/>
      <c r="H78" s="6">
        <f t="shared" si="9"/>
        <v>27500</v>
      </c>
      <c r="I78" s="6">
        <v>27487.39</v>
      </c>
      <c r="J78" s="6"/>
      <c r="K78" s="6"/>
      <c r="L78" s="6"/>
      <c r="M78" s="6">
        <f t="shared" si="8"/>
        <v>27487.39</v>
      </c>
      <c r="N78" s="4">
        <f t="shared" si="10"/>
        <v>0.9995414545454545</v>
      </c>
    </row>
    <row r="79" spans="1:14" ht="48.75" customHeight="1" hidden="1">
      <c r="A79" s="77"/>
      <c r="B79" s="126"/>
      <c r="C79" s="15" t="s">
        <v>69</v>
      </c>
      <c r="D79" s="3"/>
      <c r="E79" s="3"/>
      <c r="F79" s="3"/>
      <c r="G79" s="3">
        <f>38200-38200</f>
        <v>0</v>
      </c>
      <c r="H79" s="6">
        <f t="shared" si="9"/>
        <v>0</v>
      </c>
      <c r="I79" s="6"/>
      <c r="J79" s="6"/>
      <c r="K79" s="6"/>
      <c r="L79" s="6"/>
      <c r="M79" s="6">
        <f t="shared" si="8"/>
        <v>0</v>
      </c>
      <c r="N79" s="4" t="e">
        <f t="shared" si="10"/>
        <v>#DIV/0!</v>
      </c>
    </row>
    <row r="80" spans="1:14" ht="9.75">
      <c r="A80" s="77"/>
      <c r="B80" s="25" t="s">
        <v>126</v>
      </c>
      <c r="C80" s="25"/>
      <c r="D80" s="5">
        <f>SUM(D76:D79)</f>
        <v>27500</v>
      </c>
      <c r="E80" s="5">
        <f>SUM(E76:E79)</f>
        <v>0</v>
      </c>
      <c r="F80" s="5">
        <f>SUM(F76:F79)</f>
        <v>0</v>
      </c>
      <c r="G80" s="5">
        <f>SUM(G76:G79)</f>
        <v>0</v>
      </c>
      <c r="H80" s="5">
        <f t="shared" si="9"/>
        <v>27500</v>
      </c>
      <c r="I80" s="5">
        <f>SUM(I76:I78)</f>
        <v>27598.38</v>
      </c>
      <c r="J80" s="5">
        <f>SUM(J76:J78)</f>
        <v>0</v>
      </c>
      <c r="K80" s="5">
        <f>SUM(K76:K78)</f>
        <v>0</v>
      </c>
      <c r="L80" s="5">
        <f>SUM(L76:L78)</f>
        <v>0</v>
      </c>
      <c r="M80" s="5">
        <f t="shared" si="8"/>
        <v>27598.38</v>
      </c>
      <c r="N80" s="24">
        <f t="shared" si="10"/>
        <v>1.0035774545454546</v>
      </c>
    </row>
    <row r="81" spans="1:14" ht="59.25" customHeight="1">
      <c r="A81" s="77"/>
      <c r="B81" s="18" t="s">
        <v>16</v>
      </c>
      <c r="C81" s="14" t="s">
        <v>104</v>
      </c>
      <c r="D81" s="3">
        <v>510000</v>
      </c>
      <c r="E81" s="3"/>
      <c r="F81" s="3"/>
      <c r="G81" s="3"/>
      <c r="H81" s="6">
        <f t="shared" si="9"/>
        <v>510000</v>
      </c>
      <c r="I81" s="6">
        <v>398982.83</v>
      </c>
      <c r="J81" s="6"/>
      <c r="K81" s="6"/>
      <c r="L81" s="6"/>
      <c r="M81" s="6">
        <f t="shared" si="8"/>
        <v>398982.83</v>
      </c>
      <c r="N81" s="4">
        <f t="shared" si="10"/>
        <v>0.782319274509804</v>
      </c>
    </row>
    <row r="82" spans="1:14" ht="9.75">
      <c r="A82" s="77"/>
      <c r="B82" s="23"/>
      <c r="C82" s="15" t="s">
        <v>76</v>
      </c>
      <c r="D82" s="3">
        <v>480000</v>
      </c>
      <c r="E82" s="3"/>
      <c r="F82" s="3"/>
      <c r="G82" s="3"/>
      <c r="H82" s="6">
        <f t="shared" si="9"/>
        <v>480000</v>
      </c>
      <c r="I82" s="6">
        <v>443848.6</v>
      </c>
      <c r="J82" s="6"/>
      <c r="K82" s="6"/>
      <c r="L82" s="6"/>
      <c r="M82" s="6">
        <f t="shared" si="8"/>
        <v>443848.6</v>
      </c>
      <c r="N82" s="4">
        <f t="shared" si="10"/>
        <v>0.9246845833333333</v>
      </c>
    </row>
    <row r="83" spans="1:14" ht="38.25" customHeight="1" hidden="1">
      <c r="A83" s="77"/>
      <c r="B83" s="23"/>
      <c r="C83" s="15" t="s">
        <v>287</v>
      </c>
      <c r="D83" s="3"/>
      <c r="E83" s="3"/>
      <c r="F83" s="3"/>
      <c r="G83" s="3"/>
      <c r="H83" s="6">
        <f t="shared" si="9"/>
        <v>0</v>
      </c>
      <c r="I83" s="6"/>
      <c r="J83" s="6"/>
      <c r="K83" s="6"/>
      <c r="L83" s="6"/>
      <c r="M83" s="6">
        <f t="shared" si="8"/>
        <v>0</v>
      </c>
      <c r="N83" s="4" t="e">
        <f t="shared" si="10"/>
        <v>#DIV/0!</v>
      </c>
    </row>
    <row r="84" spans="1:14" ht="9.75" customHeight="1">
      <c r="A84" s="77"/>
      <c r="B84" s="23"/>
      <c r="C84" s="15" t="s">
        <v>72</v>
      </c>
      <c r="D84" s="3"/>
      <c r="E84" s="3"/>
      <c r="F84" s="3"/>
      <c r="G84" s="3"/>
      <c r="H84" s="6">
        <f t="shared" si="9"/>
        <v>0</v>
      </c>
      <c r="I84" s="6">
        <v>2357.88</v>
      </c>
      <c r="J84" s="6"/>
      <c r="K84" s="6"/>
      <c r="L84" s="6"/>
      <c r="M84" s="6">
        <f t="shared" si="8"/>
        <v>2357.88</v>
      </c>
      <c r="N84" s="4"/>
    </row>
    <row r="85" spans="1:14" ht="9.75" customHeight="1">
      <c r="A85" s="77"/>
      <c r="B85" s="23"/>
      <c r="C85" s="15" t="s">
        <v>322</v>
      </c>
      <c r="D85" s="3"/>
      <c r="E85" s="3"/>
      <c r="F85" s="3"/>
      <c r="G85" s="3"/>
      <c r="H85" s="6">
        <f t="shared" si="9"/>
        <v>0</v>
      </c>
      <c r="I85" s="6">
        <v>203.18</v>
      </c>
      <c r="J85" s="6"/>
      <c r="K85" s="6"/>
      <c r="L85" s="6"/>
      <c r="M85" s="6">
        <f t="shared" si="8"/>
        <v>203.18</v>
      </c>
      <c r="N85" s="4"/>
    </row>
    <row r="86" spans="1:14" ht="9.75" customHeight="1">
      <c r="A86" s="77"/>
      <c r="B86" s="23"/>
      <c r="C86" s="15" t="s">
        <v>333</v>
      </c>
      <c r="D86" s="3"/>
      <c r="E86" s="3"/>
      <c r="F86" s="3"/>
      <c r="G86" s="3"/>
      <c r="H86" s="6">
        <f t="shared" si="9"/>
        <v>0</v>
      </c>
      <c r="I86" s="6">
        <v>67.72</v>
      </c>
      <c r="J86" s="6"/>
      <c r="K86" s="6"/>
      <c r="L86" s="6"/>
      <c r="M86" s="6">
        <f t="shared" si="8"/>
        <v>67.72</v>
      </c>
      <c r="N86" s="4"/>
    </row>
    <row r="87" spans="1:14" ht="9.75" customHeight="1">
      <c r="A87" s="77"/>
      <c r="B87" s="23"/>
      <c r="C87" s="18" t="s">
        <v>74</v>
      </c>
      <c r="D87" s="3"/>
      <c r="E87" s="3"/>
      <c r="F87" s="3"/>
      <c r="G87" s="3"/>
      <c r="H87" s="6">
        <f t="shared" si="9"/>
        <v>0</v>
      </c>
      <c r="I87" s="6">
        <v>10.66</v>
      </c>
      <c r="J87" s="6"/>
      <c r="K87" s="6"/>
      <c r="L87" s="6"/>
      <c r="M87" s="6">
        <f t="shared" si="8"/>
        <v>10.66</v>
      </c>
      <c r="N87" s="4"/>
    </row>
    <row r="88" spans="1:14" ht="9.75" customHeight="1">
      <c r="A88" s="77"/>
      <c r="B88" s="23"/>
      <c r="C88" s="18" t="s">
        <v>328</v>
      </c>
      <c r="D88" s="3"/>
      <c r="E88" s="3"/>
      <c r="F88" s="3"/>
      <c r="G88" s="3"/>
      <c r="H88" s="6">
        <f t="shared" si="9"/>
        <v>0</v>
      </c>
      <c r="I88" s="6">
        <v>589.73</v>
      </c>
      <c r="J88" s="6"/>
      <c r="K88" s="6"/>
      <c r="L88" s="6"/>
      <c r="M88" s="6">
        <f t="shared" si="8"/>
        <v>589.73</v>
      </c>
      <c r="N88" s="4"/>
    </row>
    <row r="89" spans="1:14" ht="39" customHeight="1">
      <c r="A89" s="77"/>
      <c r="B89" s="23"/>
      <c r="C89" s="18" t="s">
        <v>243</v>
      </c>
      <c r="D89" s="3">
        <v>10000</v>
      </c>
      <c r="E89" s="3"/>
      <c r="F89" s="3"/>
      <c r="G89" s="3"/>
      <c r="H89" s="6">
        <f>SUM(D89:G89)</f>
        <v>10000</v>
      </c>
      <c r="I89" s="6">
        <v>10000</v>
      </c>
      <c r="J89" s="8"/>
      <c r="K89" s="8"/>
      <c r="L89" s="8"/>
      <c r="M89" s="6">
        <f>SUM(I89:L89)</f>
        <v>10000</v>
      </c>
      <c r="N89" s="4">
        <f>M89/H89</f>
        <v>1</v>
      </c>
    </row>
    <row r="90" spans="1:14" ht="39.75" customHeight="1" hidden="1">
      <c r="A90" s="77"/>
      <c r="B90" s="23"/>
      <c r="C90" s="18" t="s">
        <v>127</v>
      </c>
      <c r="D90" s="3"/>
      <c r="E90" s="3"/>
      <c r="F90" s="3"/>
      <c r="G90" s="3"/>
      <c r="H90" s="6">
        <f t="shared" si="9"/>
        <v>0</v>
      </c>
      <c r="I90" s="8"/>
      <c r="J90" s="8"/>
      <c r="K90" s="8"/>
      <c r="L90" s="8"/>
      <c r="M90" s="6">
        <f t="shared" si="8"/>
        <v>0</v>
      </c>
      <c r="N90" s="4"/>
    </row>
    <row r="91" spans="1:14" ht="50.25" customHeight="1" hidden="1">
      <c r="A91" s="77"/>
      <c r="B91" s="23"/>
      <c r="C91" s="18" t="s">
        <v>240</v>
      </c>
      <c r="D91" s="3"/>
      <c r="E91" s="3"/>
      <c r="F91" s="3"/>
      <c r="G91" s="3"/>
      <c r="H91" s="6">
        <f t="shared" si="9"/>
        <v>0</v>
      </c>
      <c r="I91" s="6"/>
      <c r="J91" s="8"/>
      <c r="K91" s="8"/>
      <c r="L91" s="8"/>
      <c r="M91" s="6">
        <f t="shared" si="8"/>
        <v>0</v>
      </c>
      <c r="N91" s="4"/>
    </row>
    <row r="92" spans="1:14" ht="48" customHeight="1" hidden="1">
      <c r="A92" s="77"/>
      <c r="B92" s="23"/>
      <c r="C92" s="18" t="s">
        <v>269</v>
      </c>
      <c r="D92" s="3"/>
      <c r="E92" s="3"/>
      <c r="F92" s="3"/>
      <c r="G92" s="3"/>
      <c r="H92" s="6">
        <f t="shared" si="9"/>
        <v>0</v>
      </c>
      <c r="I92" s="6"/>
      <c r="J92" s="8"/>
      <c r="K92" s="8"/>
      <c r="L92" s="8"/>
      <c r="M92" s="6">
        <f t="shared" si="8"/>
        <v>0</v>
      </c>
      <c r="N92" s="4"/>
    </row>
    <row r="93" spans="1:14" ht="69" customHeight="1">
      <c r="A93" s="77"/>
      <c r="B93" s="23"/>
      <c r="C93" s="18" t="s">
        <v>261</v>
      </c>
      <c r="D93" s="3">
        <v>52674</v>
      </c>
      <c r="E93" s="3"/>
      <c r="F93" s="3"/>
      <c r="G93" s="3"/>
      <c r="H93" s="6">
        <f t="shared" si="9"/>
        <v>52674</v>
      </c>
      <c r="I93" s="6">
        <v>44820.36</v>
      </c>
      <c r="J93" s="8"/>
      <c r="K93" s="8"/>
      <c r="L93" s="8"/>
      <c r="M93" s="6">
        <f t="shared" si="8"/>
        <v>44820.36</v>
      </c>
      <c r="N93" s="4">
        <f t="shared" si="10"/>
        <v>0.850901013782891</v>
      </c>
    </row>
    <row r="94" spans="1:14" ht="69" customHeight="1">
      <c r="A94" s="77"/>
      <c r="B94" s="23"/>
      <c r="C94" s="18" t="s">
        <v>262</v>
      </c>
      <c r="D94" s="3">
        <v>17558</v>
      </c>
      <c r="E94" s="3"/>
      <c r="F94" s="3"/>
      <c r="G94" s="3"/>
      <c r="H94" s="6">
        <f t="shared" si="9"/>
        <v>17558</v>
      </c>
      <c r="I94" s="6">
        <v>14940.12</v>
      </c>
      <c r="J94" s="8"/>
      <c r="K94" s="8"/>
      <c r="L94" s="8"/>
      <c r="M94" s="6">
        <f t="shared" si="8"/>
        <v>14940.12</v>
      </c>
      <c r="N94" s="4">
        <f t="shared" si="10"/>
        <v>0.8509010137828911</v>
      </c>
    </row>
    <row r="95" spans="1:14" ht="39" customHeight="1" hidden="1">
      <c r="A95" s="77"/>
      <c r="B95" s="23"/>
      <c r="C95" s="15" t="s">
        <v>212</v>
      </c>
      <c r="D95" s="3"/>
      <c r="E95" s="3"/>
      <c r="F95" s="3"/>
      <c r="G95" s="3"/>
      <c r="H95" s="6">
        <f t="shared" si="9"/>
        <v>0</v>
      </c>
      <c r="I95" s="6"/>
      <c r="J95" s="8"/>
      <c r="K95" s="8"/>
      <c r="L95" s="8"/>
      <c r="M95" s="6">
        <f t="shared" si="8"/>
        <v>0</v>
      </c>
      <c r="N95" s="4"/>
    </row>
    <row r="96" spans="1:14" ht="48" customHeight="1">
      <c r="A96" s="77"/>
      <c r="B96" s="14"/>
      <c r="C96" s="18" t="s">
        <v>121</v>
      </c>
      <c r="D96" s="3">
        <v>5410000</v>
      </c>
      <c r="E96" s="3"/>
      <c r="F96" s="3"/>
      <c r="G96" s="3"/>
      <c r="H96" s="6">
        <f t="shared" si="9"/>
        <v>5410000</v>
      </c>
      <c r="I96" s="6">
        <v>5227975.44</v>
      </c>
      <c r="J96" s="8"/>
      <c r="K96" s="8"/>
      <c r="L96" s="8"/>
      <c r="M96" s="6">
        <f aca="true" t="shared" si="11" ref="M96:M114">SUM(I96:L96)</f>
        <v>5227975.44</v>
      </c>
      <c r="N96" s="4">
        <f aca="true" t="shared" si="12" ref="N96:N130">M96/H96</f>
        <v>0.9663540554528651</v>
      </c>
    </row>
    <row r="97" spans="1:14" ht="8.25" customHeight="1">
      <c r="A97" s="77"/>
      <c r="B97" s="25" t="s">
        <v>128</v>
      </c>
      <c r="C97" s="25"/>
      <c r="D97" s="5">
        <f>SUM(D81:D96)</f>
        <v>6480232</v>
      </c>
      <c r="E97" s="5">
        <f>SUM(E81:E96)</f>
        <v>0</v>
      </c>
      <c r="F97" s="5">
        <f>SUM(F81:F96)</f>
        <v>0</v>
      </c>
      <c r="G97" s="5">
        <f>SUM(G81:G96)</f>
        <v>0</v>
      </c>
      <c r="H97" s="5">
        <f t="shared" si="9"/>
        <v>6480232</v>
      </c>
      <c r="I97" s="5">
        <f>SUM(I81:I96)</f>
        <v>6143796.5200000005</v>
      </c>
      <c r="J97" s="5">
        <f>SUM(J81:J90)</f>
        <v>0</v>
      </c>
      <c r="K97" s="5">
        <f>SUM(K81:K90)</f>
        <v>0</v>
      </c>
      <c r="L97" s="5">
        <f>SUM(L81:L90)</f>
        <v>0</v>
      </c>
      <c r="M97" s="5">
        <f t="shared" si="11"/>
        <v>6143796.5200000005</v>
      </c>
      <c r="N97" s="24">
        <f t="shared" si="12"/>
        <v>0.9480828032082803</v>
      </c>
    </row>
    <row r="98" spans="1:14" ht="9.75" customHeight="1">
      <c r="A98" s="22" t="s">
        <v>17</v>
      </c>
      <c r="B98" s="20"/>
      <c r="C98" s="20"/>
      <c r="D98" s="21">
        <f>SUM(D97,D80,D75,D70,D68,D66)</f>
        <v>6514034</v>
      </c>
      <c r="E98" s="21">
        <f>SUM(E97,E80,E75,E70,E68,E66)</f>
        <v>0</v>
      </c>
      <c r="F98" s="21">
        <f>SUM(F97,F80,F75,F70,F68,F66)</f>
        <v>0</v>
      </c>
      <c r="G98" s="21">
        <f>SUM(G97,G80,G75,G70,G68,G66)</f>
        <v>765200</v>
      </c>
      <c r="H98" s="21">
        <f t="shared" si="9"/>
        <v>7279234</v>
      </c>
      <c r="I98" s="21">
        <f>SUM(I97,I80,I75,I70,I68,I66)</f>
        <v>6178030.37</v>
      </c>
      <c r="J98" s="21">
        <f>SUM(J97,J80,J75,J70,J68,J66)</f>
        <v>1160.08</v>
      </c>
      <c r="K98" s="21">
        <f>SUM(K97,K80,K75,K70,K68,K66)</f>
        <v>0</v>
      </c>
      <c r="L98" s="21">
        <f>SUM(L97,L80,L75,L70,L68,L66)</f>
        <v>735138.02</v>
      </c>
      <c r="M98" s="21">
        <f t="shared" si="11"/>
        <v>6914328.470000001</v>
      </c>
      <c r="N98" s="26">
        <f t="shared" si="12"/>
        <v>0.9498703393791161</v>
      </c>
    </row>
    <row r="99" spans="1:14" ht="58.5" customHeight="1">
      <c r="A99" s="62" t="s">
        <v>18</v>
      </c>
      <c r="B99" s="19" t="s">
        <v>19</v>
      </c>
      <c r="C99" s="14" t="s">
        <v>129</v>
      </c>
      <c r="D99" s="3"/>
      <c r="E99" s="3"/>
      <c r="F99" s="3">
        <v>1099500</v>
      </c>
      <c r="G99" s="3"/>
      <c r="H99" s="6">
        <f t="shared" si="9"/>
        <v>1099500</v>
      </c>
      <c r="I99" s="6"/>
      <c r="J99" s="6"/>
      <c r="K99" s="6">
        <v>1099500</v>
      </c>
      <c r="L99" s="6"/>
      <c r="M99" s="6">
        <f t="shared" si="11"/>
        <v>1099500</v>
      </c>
      <c r="N99" s="4">
        <f t="shared" si="12"/>
        <v>1</v>
      </c>
    </row>
    <row r="100" spans="1:14" ht="50.25" customHeight="1">
      <c r="A100" s="77"/>
      <c r="B100" s="16"/>
      <c r="C100" s="15" t="s">
        <v>69</v>
      </c>
      <c r="D100" s="3"/>
      <c r="E100" s="3"/>
      <c r="F100" s="3"/>
      <c r="G100" s="3">
        <v>537200</v>
      </c>
      <c r="H100" s="6">
        <f t="shared" si="9"/>
        <v>537200</v>
      </c>
      <c r="I100" s="6"/>
      <c r="J100" s="6"/>
      <c r="K100" s="6"/>
      <c r="L100" s="6">
        <v>537200</v>
      </c>
      <c r="M100" s="6">
        <f t="shared" si="11"/>
        <v>537200</v>
      </c>
      <c r="N100" s="4">
        <f t="shared" si="12"/>
        <v>1</v>
      </c>
    </row>
    <row r="101" spans="1:14" ht="39" customHeight="1">
      <c r="A101" s="77"/>
      <c r="B101" s="16"/>
      <c r="C101" s="18" t="s">
        <v>77</v>
      </c>
      <c r="D101" s="3">
        <f>61325-9225</f>
        <v>52100</v>
      </c>
      <c r="E101" s="3"/>
      <c r="F101" s="3"/>
      <c r="G101" s="3"/>
      <c r="H101" s="6">
        <f t="shared" si="9"/>
        <v>52100</v>
      </c>
      <c r="I101" s="6">
        <v>52314.87</v>
      </c>
      <c r="J101" s="6">
        <v>43565.09</v>
      </c>
      <c r="K101" s="6"/>
      <c r="L101" s="6"/>
      <c r="M101" s="6">
        <f t="shared" si="11"/>
        <v>95879.95999999999</v>
      </c>
      <c r="N101" s="4">
        <f t="shared" si="12"/>
        <v>1.8403063339731285</v>
      </c>
    </row>
    <row r="102" spans="1:14" ht="9" customHeight="1">
      <c r="A102" s="77"/>
      <c r="B102" s="25" t="s">
        <v>130</v>
      </c>
      <c r="C102" s="25"/>
      <c r="D102" s="5">
        <f>SUM(D99:D101)</f>
        <v>52100</v>
      </c>
      <c r="E102" s="5">
        <f>SUM(E99:E101)</f>
        <v>0</v>
      </c>
      <c r="F102" s="5">
        <f>SUM(F99:F101)</f>
        <v>1099500</v>
      </c>
      <c r="G102" s="5">
        <f>SUM(G99:G101)</f>
        <v>537200</v>
      </c>
      <c r="H102" s="5">
        <f t="shared" si="9"/>
        <v>1688800</v>
      </c>
      <c r="I102" s="5">
        <f>SUM(I99:I101)</f>
        <v>52314.87</v>
      </c>
      <c r="J102" s="5">
        <f>SUM(J99:J101)</f>
        <v>43565.09</v>
      </c>
      <c r="K102" s="5">
        <f>SUM(K99:K101)</f>
        <v>1099500</v>
      </c>
      <c r="L102" s="5">
        <f>SUM(L99:L101)</f>
        <v>537200</v>
      </c>
      <c r="M102" s="5">
        <f t="shared" si="11"/>
        <v>1732579.96</v>
      </c>
      <c r="N102" s="24">
        <f t="shared" si="12"/>
        <v>1.0259237091425863</v>
      </c>
    </row>
    <row r="103" spans="1:14" s="9" customFormat="1" ht="29.25" customHeight="1">
      <c r="A103" s="78"/>
      <c r="B103" s="122" t="s">
        <v>20</v>
      </c>
      <c r="C103" s="15" t="s">
        <v>242</v>
      </c>
      <c r="D103" s="12"/>
      <c r="E103" s="12"/>
      <c r="F103" s="12"/>
      <c r="G103" s="12"/>
      <c r="H103" s="6">
        <f aca="true" t="shared" si="13" ref="H103:H134">SUM(D103:G103)</f>
        <v>0</v>
      </c>
      <c r="I103" s="6">
        <v>10914.31</v>
      </c>
      <c r="J103" s="12"/>
      <c r="K103" s="12"/>
      <c r="L103" s="12"/>
      <c r="M103" s="6">
        <f t="shared" si="11"/>
        <v>10914.31</v>
      </c>
      <c r="N103" s="4"/>
    </row>
    <row r="104" spans="1:14" ht="21" customHeight="1">
      <c r="A104" s="77"/>
      <c r="B104" s="123"/>
      <c r="C104" s="14" t="s">
        <v>82</v>
      </c>
      <c r="D104" s="3">
        <v>26000</v>
      </c>
      <c r="E104" s="3">
        <v>35000</v>
      </c>
      <c r="F104" s="3"/>
      <c r="G104" s="3"/>
      <c r="H104" s="6">
        <f t="shared" si="13"/>
        <v>61000</v>
      </c>
      <c r="I104" s="6">
        <v>29345</v>
      </c>
      <c r="J104" s="6">
        <v>150170</v>
      </c>
      <c r="K104" s="6"/>
      <c r="L104" s="6"/>
      <c r="M104" s="6">
        <f t="shared" si="11"/>
        <v>179515</v>
      </c>
      <c r="N104" s="4">
        <f t="shared" si="12"/>
        <v>2.9428688524590165</v>
      </c>
    </row>
    <row r="105" spans="1:14" ht="11.25" customHeight="1">
      <c r="A105" s="77"/>
      <c r="B105" s="123"/>
      <c r="C105" s="15" t="s">
        <v>71</v>
      </c>
      <c r="D105" s="3">
        <v>420000</v>
      </c>
      <c r="E105" s="3">
        <v>23000</v>
      </c>
      <c r="F105" s="3"/>
      <c r="G105" s="3"/>
      <c r="H105" s="6">
        <f t="shared" si="13"/>
        <v>443000</v>
      </c>
      <c r="I105" s="6">
        <v>635510.11</v>
      </c>
      <c r="J105" s="6">
        <v>51825</v>
      </c>
      <c r="K105" s="6"/>
      <c r="L105" s="6"/>
      <c r="M105" s="6">
        <f t="shared" si="11"/>
        <v>687335.11</v>
      </c>
      <c r="N105" s="4">
        <f t="shared" si="12"/>
        <v>1.5515465237020316</v>
      </c>
    </row>
    <row r="106" spans="1:14" ht="59.25" customHeight="1">
      <c r="A106" s="77"/>
      <c r="B106" s="127"/>
      <c r="C106" s="15" t="s">
        <v>104</v>
      </c>
      <c r="D106" s="3"/>
      <c r="E106" s="3"/>
      <c r="F106" s="3"/>
      <c r="G106" s="3"/>
      <c r="H106" s="6">
        <f t="shared" si="13"/>
        <v>0</v>
      </c>
      <c r="I106" s="6">
        <v>292653.18</v>
      </c>
      <c r="J106" s="6"/>
      <c r="K106" s="6"/>
      <c r="L106" s="6"/>
      <c r="M106" s="6">
        <f t="shared" si="11"/>
        <v>292653.18</v>
      </c>
      <c r="N106" s="4"/>
    </row>
    <row r="107" spans="1:14" ht="18.75" customHeight="1">
      <c r="A107" s="77"/>
      <c r="B107" s="16"/>
      <c r="C107" s="15" t="s">
        <v>161</v>
      </c>
      <c r="D107" s="3"/>
      <c r="E107" s="3"/>
      <c r="F107" s="3"/>
      <c r="G107" s="3"/>
      <c r="H107" s="6">
        <f t="shared" si="13"/>
        <v>0</v>
      </c>
      <c r="I107" s="6">
        <v>5500</v>
      </c>
      <c r="J107" s="6"/>
      <c r="K107" s="6"/>
      <c r="L107" s="6"/>
      <c r="M107" s="6">
        <f t="shared" si="11"/>
        <v>5500</v>
      </c>
      <c r="N107" s="4"/>
    </row>
    <row r="108" spans="1:14" ht="9.75" customHeight="1">
      <c r="A108" s="77"/>
      <c r="B108" s="16"/>
      <c r="C108" s="15" t="s">
        <v>72</v>
      </c>
      <c r="D108" s="3"/>
      <c r="E108" s="3"/>
      <c r="F108" s="3"/>
      <c r="G108" s="3"/>
      <c r="H108" s="6">
        <f t="shared" si="13"/>
        <v>0</v>
      </c>
      <c r="I108" s="6">
        <v>72331.88</v>
      </c>
      <c r="J108" s="6">
        <v>25275.81</v>
      </c>
      <c r="K108" s="6"/>
      <c r="L108" s="6"/>
      <c r="M108" s="6">
        <f t="shared" si="11"/>
        <v>97607.69</v>
      </c>
      <c r="N108" s="4"/>
    </row>
    <row r="109" spans="1:14" ht="18.75" customHeight="1">
      <c r="A109" s="77"/>
      <c r="B109" s="16"/>
      <c r="C109" s="15" t="s">
        <v>204</v>
      </c>
      <c r="D109" s="3"/>
      <c r="E109" s="3"/>
      <c r="F109" s="3"/>
      <c r="G109" s="3"/>
      <c r="H109" s="6">
        <f t="shared" si="13"/>
        <v>0</v>
      </c>
      <c r="I109" s="6">
        <v>50</v>
      </c>
      <c r="J109" s="6"/>
      <c r="K109" s="6"/>
      <c r="L109" s="6"/>
      <c r="M109" s="6">
        <f t="shared" si="11"/>
        <v>50</v>
      </c>
      <c r="N109" s="4"/>
    </row>
    <row r="110" spans="1:14" ht="9.75" customHeight="1">
      <c r="A110" s="77"/>
      <c r="B110" s="16"/>
      <c r="C110" s="15" t="s">
        <v>74</v>
      </c>
      <c r="D110" s="3"/>
      <c r="E110" s="3"/>
      <c r="F110" s="3"/>
      <c r="G110" s="3"/>
      <c r="H110" s="6">
        <f t="shared" si="13"/>
        <v>0</v>
      </c>
      <c r="I110" s="6">
        <v>269650.56</v>
      </c>
      <c r="J110" s="6"/>
      <c r="K110" s="6"/>
      <c r="L110" s="6"/>
      <c r="M110" s="6">
        <f t="shared" si="11"/>
        <v>269650.56</v>
      </c>
      <c r="N110" s="4"/>
    </row>
    <row r="111" spans="1:14" ht="39" customHeight="1">
      <c r="A111" s="77"/>
      <c r="B111" s="16"/>
      <c r="C111" s="18" t="s">
        <v>83</v>
      </c>
      <c r="D111" s="3"/>
      <c r="E111" s="3">
        <v>12500</v>
      </c>
      <c r="F111" s="3"/>
      <c r="G111" s="3"/>
      <c r="H111" s="6">
        <f t="shared" si="13"/>
        <v>12500</v>
      </c>
      <c r="I111" s="8"/>
      <c r="J111" s="6">
        <v>14821.52</v>
      </c>
      <c r="K111" s="8"/>
      <c r="L111" s="8"/>
      <c r="M111" s="6">
        <f t="shared" si="11"/>
        <v>14821.52</v>
      </c>
      <c r="N111" s="4">
        <f t="shared" si="12"/>
        <v>1.1857216</v>
      </c>
    </row>
    <row r="112" spans="1:14" ht="18" customHeight="1" hidden="1">
      <c r="A112" s="77"/>
      <c r="B112" s="14"/>
      <c r="C112" s="18" t="s">
        <v>243</v>
      </c>
      <c r="D112" s="3"/>
      <c r="E112" s="3"/>
      <c r="F112" s="3"/>
      <c r="G112" s="3"/>
      <c r="H112" s="6">
        <f t="shared" si="13"/>
        <v>0</v>
      </c>
      <c r="I112" s="6"/>
      <c r="J112" s="6"/>
      <c r="K112" s="8"/>
      <c r="L112" s="8"/>
      <c r="M112" s="6">
        <f t="shared" si="11"/>
        <v>0</v>
      </c>
      <c r="N112" s="4" t="e">
        <f t="shared" si="12"/>
        <v>#DIV/0!</v>
      </c>
    </row>
    <row r="113" spans="1:14" ht="10.5" customHeight="1">
      <c r="A113" s="77"/>
      <c r="B113" s="29" t="s">
        <v>131</v>
      </c>
      <c r="C113" s="25"/>
      <c r="D113" s="5">
        <f>SUM(D103:D112)</f>
        <v>446000</v>
      </c>
      <c r="E113" s="5">
        <f>SUM(E103:E112)</f>
        <v>70500</v>
      </c>
      <c r="F113" s="5">
        <f>SUM(F103:F112)</f>
        <v>0</v>
      </c>
      <c r="G113" s="5">
        <f>SUM(G103:G112)</f>
        <v>0</v>
      </c>
      <c r="H113" s="5">
        <f t="shared" si="13"/>
        <v>516500</v>
      </c>
      <c r="I113" s="5">
        <f>SUM(I103:I112)</f>
        <v>1315955.0399999998</v>
      </c>
      <c r="J113" s="5">
        <f>SUM(J103:J112)</f>
        <v>242092.33</v>
      </c>
      <c r="K113" s="5">
        <f>SUM(K103:K112)</f>
        <v>0</v>
      </c>
      <c r="L113" s="5">
        <f>SUM(L103:L112)</f>
        <v>0</v>
      </c>
      <c r="M113" s="5">
        <f t="shared" si="11"/>
        <v>1558047.3699999999</v>
      </c>
      <c r="N113" s="24">
        <f t="shared" si="12"/>
        <v>3.0165486350435624</v>
      </c>
    </row>
    <row r="114" spans="1:14" ht="49.5" customHeight="1">
      <c r="A114" s="77"/>
      <c r="B114" s="19" t="s">
        <v>21</v>
      </c>
      <c r="C114" s="23" t="s">
        <v>69</v>
      </c>
      <c r="D114" s="3"/>
      <c r="E114" s="3"/>
      <c r="F114" s="3"/>
      <c r="G114" s="3">
        <v>97200</v>
      </c>
      <c r="H114" s="6">
        <f t="shared" si="13"/>
        <v>97200</v>
      </c>
      <c r="I114" s="6"/>
      <c r="J114" s="6"/>
      <c r="K114" s="6"/>
      <c r="L114" s="6">
        <v>97122.6</v>
      </c>
      <c r="M114" s="6">
        <f t="shared" si="11"/>
        <v>97122.6</v>
      </c>
      <c r="N114" s="4">
        <f t="shared" si="12"/>
        <v>0.9992037037037038</v>
      </c>
    </row>
    <row r="115" spans="1:14" ht="10.5" customHeight="1">
      <c r="A115" s="77"/>
      <c r="B115" s="29" t="s">
        <v>132</v>
      </c>
      <c r="C115" s="25"/>
      <c r="D115" s="5">
        <f>SUM(D114)</f>
        <v>0</v>
      </c>
      <c r="E115" s="5">
        <f>SUM(E114)</f>
        <v>0</v>
      </c>
      <c r="F115" s="5">
        <f>SUM(F114)</f>
        <v>0</v>
      </c>
      <c r="G115" s="5">
        <f>SUM(G114)</f>
        <v>97200</v>
      </c>
      <c r="H115" s="5">
        <f t="shared" si="13"/>
        <v>97200</v>
      </c>
      <c r="I115" s="5">
        <f>SUM(I114)</f>
        <v>0</v>
      </c>
      <c r="J115" s="5">
        <f>SUM(J114)</f>
        <v>0</v>
      </c>
      <c r="K115" s="5">
        <f>SUM(K114)</f>
        <v>0</v>
      </c>
      <c r="L115" s="5">
        <f>SUM(L114)</f>
        <v>97122.6</v>
      </c>
      <c r="M115" s="5">
        <f>SUM(M114)</f>
        <v>97122.6</v>
      </c>
      <c r="N115" s="24">
        <f t="shared" si="12"/>
        <v>0.9992037037037038</v>
      </c>
    </row>
    <row r="116" spans="1:14" s="9" customFormat="1" ht="9.75" hidden="1">
      <c r="A116" s="78"/>
      <c r="B116" s="122" t="s">
        <v>22</v>
      </c>
      <c r="C116" s="15" t="s">
        <v>72</v>
      </c>
      <c r="D116" s="12"/>
      <c r="E116" s="12"/>
      <c r="F116" s="12"/>
      <c r="G116" s="12"/>
      <c r="H116" s="6">
        <f t="shared" si="13"/>
        <v>0</v>
      </c>
      <c r="I116" s="6"/>
      <c r="J116" s="12"/>
      <c r="K116" s="12"/>
      <c r="L116" s="12"/>
      <c r="M116" s="6">
        <f aca="true" t="shared" si="14" ref="M116:M122">SUM(I116:L116)</f>
        <v>0</v>
      </c>
      <c r="N116" s="4" t="e">
        <f t="shared" si="12"/>
        <v>#DIV/0!</v>
      </c>
    </row>
    <row r="117" spans="1:14" s="9" customFormat="1" ht="9.75" hidden="1">
      <c r="A117" s="78"/>
      <c r="B117" s="123"/>
      <c r="C117" s="15" t="s">
        <v>74</v>
      </c>
      <c r="D117" s="12"/>
      <c r="E117" s="12"/>
      <c r="F117" s="12"/>
      <c r="G117" s="12"/>
      <c r="H117" s="6">
        <f t="shared" si="13"/>
        <v>0</v>
      </c>
      <c r="I117" s="6"/>
      <c r="J117" s="12"/>
      <c r="K117" s="12"/>
      <c r="L117" s="12"/>
      <c r="M117" s="6">
        <f t="shared" si="14"/>
        <v>0</v>
      </c>
      <c r="N117" s="4" t="e">
        <f t="shared" si="12"/>
        <v>#DIV/0!</v>
      </c>
    </row>
    <row r="118" spans="1:14" s="9" customFormat="1" ht="19.5" hidden="1">
      <c r="A118" s="78"/>
      <c r="B118" s="123"/>
      <c r="C118" s="15" t="s">
        <v>200</v>
      </c>
      <c r="D118" s="6"/>
      <c r="E118" s="12"/>
      <c r="F118" s="12"/>
      <c r="G118" s="12"/>
      <c r="H118" s="6">
        <f t="shared" si="13"/>
        <v>0</v>
      </c>
      <c r="I118" s="6"/>
      <c r="J118" s="12"/>
      <c r="K118" s="12"/>
      <c r="L118" s="12"/>
      <c r="M118" s="6">
        <f t="shared" si="14"/>
        <v>0</v>
      </c>
      <c r="N118" s="4" t="e">
        <f t="shared" si="12"/>
        <v>#DIV/0!</v>
      </c>
    </row>
    <row r="119" spans="1:14" ht="53.25" customHeight="1">
      <c r="A119" s="77"/>
      <c r="B119" s="126"/>
      <c r="C119" s="15" t="s">
        <v>70</v>
      </c>
      <c r="D119" s="3">
        <v>10000</v>
      </c>
      <c r="E119" s="3"/>
      <c r="F119" s="3"/>
      <c r="G119" s="3"/>
      <c r="H119" s="6">
        <f t="shared" si="13"/>
        <v>10000</v>
      </c>
      <c r="I119" s="6">
        <v>18482.47</v>
      </c>
      <c r="J119" s="8"/>
      <c r="K119" s="8"/>
      <c r="L119" s="8"/>
      <c r="M119" s="6">
        <f t="shared" si="14"/>
        <v>18482.47</v>
      </c>
      <c r="N119" s="4">
        <f t="shared" si="12"/>
        <v>1.8482470000000002</v>
      </c>
    </row>
    <row r="120" spans="1:14" ht="9.75" customHeight="1">
      <c r="A120" s="77"/>
      <c r="B120" s="33" t="s">
        <v>133</v>
      </c>
      <c r="C120" s="30"/>
      <c r="D120" s="5">
        <f>SUM(D116:D119)</f>
        <v>10000</v>
      </c>
      <c r="E120" s="5">
        <f>SUM(E116:E119)</f>
        <v>0</v>
      </c>
      <c r="F120" s="5">
        <f>SUM(F116:F119)</f>
        <v>0</v>
      </c>
      <c r="G120" s="5">
        <f>SUM(G116:G119)</f>
        <v>0</v>
      </c>
      <c r="H120" s="5">
        <f t="shared" si="13"/>
        <v>10000</v>
      </c>
      <c r="I120" s="5">
        <f>SUM(I116:I119)</f>
        <v>18482.47</v>
      </c>
      <c r="J120" s="5">
        <f>SUM(J116:J119)</f>
        <v>0</v>
      </c>
      <c r="K120" s="5">
        <f>SUM(K116:K119)</f>
        <v>0</v>
      </c>
      <c r="L120" s="5">
        <f>SUM(L116:L119)</f>
        <v>0</v>
      </c>
      <c r="M120" s="5">
        <f t="shared" si="14"/>
        <v>18482.47</v>
      </c>
      <c r="N120" s="24">
        <f t="shared" si="12"/>
        <v>1.8482470000000002</v>
      </c>
    </row>
    <row r="121" spans="1:14" ht="9.75" customHeight="1">
      <c r="A121" s="22" t="s">
        <v>23</v>
      </c>
      <c r="B121" s="49"/>
      <c r="C121" s="20"/>
      <c r="D121" s="21">
        <f>SUM(D120,D115,D113,D102)</f>
        <v>508100</v>
      </c>
      <c r="E121" s="21">
        <f>SUM(E120,E115,E113,E102)</f>
        <v>70500</v>
      </c>
      <c r="F121" s="21">
        <f>SUM(F120,F115,F113,F102)</f>
        <v>1099500</v>
      </c>
      <c r="G121" s="21">
        <f>SUM(G120,G115,G113,G102)</f>
        <v>634400</v>
      </c>
      <c r="H121" s="21">
        <f t="shared" si="13"/>
        <v>2312500</v>
      </c>
      <c r="I121" s="21">
        <f>SUM(I120,I115,I113,I102)</f>
        <v>1386752.38</v>
      </c>
      <c r="J121" s="21">
        <f>SUM(J120,J115,J113,J102)</f>
        <v>285657.42</v>
      </c>
      <c r="K121" s="21">
        <f>SUM(K120,K115,K113,K102)</f>
        <v>1099500</v>
      </c>
      <c r="L121" s="21">
        <f>SUM(L120,L115,L113,L102)</f>
        <v>634322.6</v>
      </c>
      <c r="M121" s="21">
        <f t="shared" si="14"/>
        <v>3406232.4</v>
      </c>
      <c r="N121" s="26">
        <f t="shared" si="12"/>
        <v>1.4729653621621621</v>
      </c>
    </row>
    <row r="122" spans="1:14" ht="69" customHeight="1">
      <c r="A122" s="118" t="s">
        <v>24</v>
      </c>
      <c r="B122" s="94" t="s">
        <v>25</v>
      </c>
      <c r="C122" s="18" t="s">
        <v>129</v>
      </c>
      <c r="D122" s="3"/>
      <c r="E122" s="3"/>
      <c r="F122" s="3">
        <f>38340-2150</f>
        <v>36190</v>
      </c>
      <c r="G122" s="3"/>
      <c r="H122" s="6">
        <f t="shared" si="13"/>
        <v>36190</v>
      </c>
      <c r="I122" s="6"/>
      <c r="J122" s="6"/>
      <c r="K122" s="6">
        <v>36172.03</v>
      </c>
      <c r="L122" s="6"/>
      <c r="M122" s="6">
        <f t="shared" si="14"/>
        <v>36172.03</v>
      </c>
      <c r="N122" s="4">
        <f t="shared" si="12"/>
        <v>0.9995034539928157</v>
      </c>
    </row>
    <row r="123" spans="1:14" ht="17.25" customHeight="1">
      <c r="A123" s="119"/>
      <c r="B123" s="143" t="s">
        <v>134</v>
      </c>
      <c r="C123" s="144"/>
      <c r="D123" s="5">
        <f>SUM(D122)</f>
        <v>0</v>
      </c>
      <c r="E123" s="5">
        <f>SUM(E122)</f>
        <v>0</v>
      </c>
      <c r="F123" s="5">
        <f>SUM(F122)</f>
        <v>36190</v>
      </c>
      <c r="G123" s="5">
        <f>SUM(G122)</f>
        <v>0</v>
      </c>
      <c r="H123" s="5">
        <f t="shared" si="13"/>
        <v>36190</v>
      </c>
      <c r="I123" s="5">
        <f>SUM(I122)</f>
        <v>0</v>
      </c>
      <c r="J123" s="5">
        <f>SUM(J122)</f>
        <v>0</v>
      </c>
      <c r="K123" s="5">
        <f>SUM(K122)</f>
        <v>36172.03</v>
      </c>
      <c r="L123" s="5">
        <f>SUM(L122)</f>
        <v>0</v>
      </c>
      <c r="M123" s="5">
        <f>SUM(M122)</f>
        <v>36172.03</v>
      </c>
      <c r="N123" s="24">
        <f t="shared" si="12"/>
        <v>0.9995034539928157</v>
      </c>
    </row>
    <row r="124" spans="1:14" s="9" customFormat="1" ht="63" customHeight="1" hidden="1">
      <c r="A124" s="119"/>
      <c r="B124" s="15" t="s">
        <v>275</v>
      </c>
      <c r="C124" s="102" t="s">
        <v>129</v>
      </c>
      <c r="D124" s="12"/>
      <c r="E124" s="12"/>
      <c r="F124" s="12"/>
      <c r="G124" s="12"/>
      <c r="H124" s="6">
        <f t="shared" si="13"/>
        <v>0</v>
      </c>
      <c r="I124" s="12"/>
      <c r="J124" s="12"/>
      <c r="K124" s="12"/>
      <c r="L124" s="12"/>
      <c r="M124" s="6">
        <f>SUM(I124:L124)</f>
        <v>0</v>
      </c>
      <c r="N124" s="4"/>
    </row>
    <row r="125" spans="1:14" s="58" customFormat="1" ht="9" customHeight="1" hidden="1">
      <c r="A125" s="119"/>
      <c r="B125" s="30" t="s">
        <v>275</v>
      </c>
      <c r="C125" s="45"/>
      <c r="D125" s="5">
        <f>SUM(D124)</f>
        <v>0</v>
      </c>
      <c r="E125" s="5">
        <f>SUM(E124)</f>
        <v>0</v>
      </c>
      <c r="F125" s="5">
        <f>SUM(F124)</f>
        <v>0</v>
      </c>
      <c r="G125" s="5">
        <f>SUM(G124)</f>
        <v>0</v>
      </c>
      <c r="H125" s="5">
        <f t="shared" si="13"/>
        <v>0</v>
      </c>
      <c r="I125" s="5">
        <f>SUM(I124)</f>
        <v>0</v>
      </c>
      <c r="J125" s="5">
        <f>SUM(J124)</f>
        <v>0</v>
      </c>
      <c r="K125" s="5">
        <f>SUM(K124)</f>
        <v>0</v>
      </c>
      <c r="L125" s="5">
        <f>SUM(L124)</f>
        <v>0</v>
      </c>
      <c r="M125" s="5">
        <f>SUM(M124)</f>
        <v>0</v>
      </c>
      <c r="N125" s="24"/>
    </row>
    <row r="126" spans="1:14" s="9" customFormat="1" ht="61.5" customHeight="1" hidden="1">
      <c r="A126" s="119"/>
      <c r="B126" s="64" t="s">
        <v>270</v>
      </c>
      <c r="C126" s="103" t="s">
        <v>129</v>
      </c>
      <c r="D126" s="12"/>
      <c r="E126" s="12"/>
      <c r="F126" s="12"/>
      <c r="G126" s="12"/>
      <c r="H126" s="6">
        <f t="shared" si="13"/>
        <v>0</v>
      </c>
      <c r="I126" s="12"/>
      <c r="J126" s="12"/>
      <c r="K126" s="12"/>
      <c r="L126" s="12"/>
      <c r="M126" s="6">
        <f>SUM(I126:L126)</f>
        <v>0</v>
      </c>
      <c r="N126" s="7"/>
    </row>
    <row r="127" spans="1:14" s="9" customFormat="1" ht="12" customHeight="1" hidden="1">
      <c r="A127" s="119"/>
      <c r="B127" s="33" t="s">
        <v>271</v>
      </c>
      <c r="C127" s="45"/>
      <c r="D127" s="5">
        <f>SUM(D126)</f>
        <v>0</v>
      </c>
      <c r="E127" s="5">
        <f>SUM(E126)</f>
        <v>0</v>
      </c>
      <c r="F127" s="5">
        <f>SUM(F126)</f>
        <v>0</v>
      </c>
      <c r="G127" s="5">
        <f>SUM(G126)</f>
        <v>0</v>
      </c>
      <c r="H127" s="5">
        <f t="shared" si="13"/>
        <v>0</v>
      </c>
      <c r="I127" s="5">
        <f>SUM(I126)</f>
        <v>0</v>
      </c>
      <c r="J127" s="5">
        <f>SUM(J126)</f>
        <v>0</v>
      </c>
      <c r="K127" s="5">
        <f>SUM(K126)</f>
        <v>0</v>
      </c>
      <c r="L127" s="5">
        <f>SUM(L126)</f>
        <v>0</v>
      </c>
      <c r="M127" s="5">
        <f>SUM(M126)</f>
        <v>0</v>
      </c>
      <c r="N127" s="24"/>
    </row>
    <row r="128" spans="1:14" s="9" customFormat="1" ht="129" customHeight="1">
      <c r="A128" s="119"/>
      <c r="B128" s="64" t="s">
        <v>321</v>
      </c>
      <c r="C128" s="63" t="s">
        <v>129</v>
      </c>
      <c r="D128" s="12"/>
      <c r="E128" s="12"/>
      <c r="F128" s="69">
        <f>333641-1475</f>
        <v>332166</v>
      </c>
      <c r="G128" s="12"/>
      <c r="H128" s="6">
        <f t="shared" si="13"/>
        <v>332166</v>
      </c>
      <c r="I128" s="12"/>
      <c r="J128" s="12"/>
      <c r="K128" s="69">
        <v>325437.54</v>
      </c>
      <c r="L128" s="12"/>
      <c r="M128" s="6">
        <f>SUM(I128:L128)</f>
        <v>325437.54</v>
      </c>
      <c r="N128" s="7">
        <f t="shared" si="12"/>
        <v>0.9797436823756795</v>
      </c>
    </row>
    <row r="129" spans="1:14" s="9" customFormat="1" ht="14.25" customHeight="1">
      <c r="A129" s="101"/>
      <c r="B129" s="33" t="s">
        <v>321</v>
      </c>
      <c r="C129" s="45"/>
      <c r="D129" s="5">
        <f>SUM(D128)</f>
        <v>0</v>
      </c>
      <c r="E129" s="5">
        <f>SUM(E128)</f>
        <v>0</v>
      </c>
      <c r="F129" s="5">
        <f>SUM(F128)</f>
        <v>332166</v>
      </c>
      <c r="G129" s="5">
        <f>SUM(G128)</f>
        <v>0</v>
      </c>
      <c r="H129" s="5">
        <f t="shared" si="13"/>
        <v>332166</v>
      </c>
      <c r="I129" s="5">
        <f>SUM(I128)</f>
        <v>0</v>
      </c>
      <c r="J129" s="5">
        <f>SUM(J128)</f>
        <v>0</v>
      </c>
      <c r="K129" s="5">
        <f>SUM(K128)</f>
        <v>325437.54</v>
      </c>
      <c r="L129" s="5">
        <f>SUM(L128)</f>
        <v>0</v>
      </c>
      <c r="M129" s="5">
        <f>SUM(M128)</f>
        <v>325437.54</v>
      </c>
      <c r="N129" s="24">
        <f t="shared" si="12"/>
        <v>0.9797436823756795</v>
      </c>
    </row>
    <row r="130" spans="1:14" ht="12" customHeight="1">
      <c r="A130" s="31" t="s">
        <v>26</v>
      </c>
      <c r="B130" s="32"/>
      <c r="C130" s="20"/>
      <c r="D130" s="21">
        <f>SUM(D127,D129,D125,D123)</f>
        <v>0</v>
      </c>
      <c r="E130" s="21">
        <f>SUM(E127,E129,E125,E123)</f>
        <v>0</v>
      </c>
      <c r="F130" s="21">
        <f>SUM(F127,F129,F125,F123)</f>
        <v>368356</v>
      </c>
      <c r="G130" s="21">
        <f>SUM(G127,G129,G125,G123)</f>
        <v>0</v>
      </c>
      <c r="H130" s="21">
        <f t="shared" si="13"/>
        <v>368356</v>
      </c>
      <c r="I130" s="21">
        <f>SUM(I123,I129,I125,I127)</f>
        <v>0</v>
      </c>
      <c r="J130" s="21">
        <f>SUM(J123,J129,J125,J127)</f>
        <v>0</v>
      </c>
      <c r="K130" s="21">
        <f>SUM(K123,K129,K125,K127)</f>
        <v>361609.56999999995</v>
      </c>
      <c r="L130" s="21">
        <f>SUM(L123,L129,L125,L127)</f>
        <v>0</v>
      </c>
      <c r="M130" s="21">
        <f>SUM(M123,M125,M127)</f>
        <v>36172.03</v>
      </c>
      <c r="N130" s="26">
        <f t="shared" si="12"/>
        <v>0.09819856334632801</v>
      </c>
    </row>
    <row r="131" spans="1:14" s="9" customFormat="1" ht="24" customHeight="1">
      <c r="A131" s="139" t="s">
        <v>27</v>
      </c>
      <c r="B131" s="134" t="s">
        <v>28</v>
      </c>
      <c r="C131" s="15" t="s">
        <v>72</v>
      </c>
      <c r="D131" s="42"/>
      <c r="E131" s="42"/>
      <c r="F131" s="42"/>
      <c r="G131" s="42"/>
      <c r="H131" s="6">
        <f t="shared" si="13"/>
        <v>0</v>
      </c>
      <c r="I131" s="42"/>
      <c r="J131" s="6">
        <v>7953.12</v>
      </c>
      <c r="K131" s="42"/>
      <c r="L131" s="42"/>
      <c r="M131" s="6">
        <f aca="true" t="shared" si="15" ref="M131:M162">SUM(I131:L131)</f>
        <v>7953.12</v>
      </c>
      <c r="N131" s="4"/>
    </row>
    <row r="132" spans="1:14" ht="41.25" customHeight="1">
      <c r="A132" s="140"/>
      <c r="B132" s="134"/>
      <c r="C132" s="14" t="s">
        <v>69</v>
      </c>
      <c r="D132" s="3"/>
      <c r="E132" s="3"/>
      <c r="F132" s="3"/>
      <c r="G132" s="3">
        <f>8195000-189000+4000+22400</f>
        <v>8032400</v>
      </c>
      <c r="H132" s="6">
        <f t="shared" si="13"/>
        <v>8032400</v>
      </c>
      <c r="I132" s="6"/>
      <c r="J132" s="6"/>
      <c r="K132" s="6"/>
      <c r="L132" s="6">
        <v>8032380.96</v>
      </c>
      <c r="M132" s="6">
        <f t="shared" si="15"/>
        <v>8032380.96</v>
      </c>
      <c r="N132" s="4">
        <f>M132/H132</f>
        <v>0.9999976296001195</v>
      </c>
    </row>
    <row r="133" spans="1:14" ht="40.5" customHeight="1">
      <c r="A133" s="140"/>
      <c r="B133" s="134"/>
      <c r="C133" s="15" t="s">
        <v>77</v>
      </c>
      <c r="D133" s="3"/>
      <c r="E133" s="3">
        <f>850+150</f>
        <v>1000</v>
      </c>
      <c r="F133" s="3"/>
      <c r="G133" s="3"/>
      <c r="H133" s="6">
        <f t="shared" si="13"/>
        <v>1000</v>
      </c>
      <c r="I133" s="8"/>
      <c r="J133" s="6">
        <v>1084.18</v>
      </c>
      <c r="K133" s="8"/>
      <c r="L133" s="8"/>
      <c r="M133" s="6">
        <f t="shared" si="15"/>
        <v>1084.18</v>
      </c>
      <c r="N133" s="4">
        <f>M133/H133</f>
        <v>1.0841800000000001</v>
      </c>
    </row>
    <row r="134" spans="1:14" ht="48.75" customHeight="1">
      <c r="A134" s="140"/>
      <c r="B134" s="134"/>
      <c r="C134" s="18" t="s">
        <v>135</v>
      </c>
      <c r="D134" s="3"/>
      <c r="E134" s="3"/>
      <c r="F134" s="3"/>
      <c r="G134" s="3">
        <f>300000+30000</f>
        <v>330000</v>
      </c>
      <c r="H134" s="6">
        <f t="shared" si="13"/>
        <v>330000</v>
      </c>
      <c r="I134" s="6"/>
      <c r="J134" s="6"/>
      <c r="K134" s="6"/>
      <c r="L134" s="6">
        <v>330000</v>
      </c>
      <c r="M134" s="6">
        <f t="shared" si="15"/>
        <v>330000</v>
      </c>
      <c r="N134" s="4">
        <f>M134/H134</f>
        <v>1</v>
      </c>
    </row>
    <row r="135" spans="1:14" ht="9.75">
      <c r="A135" s="140"/>
      <c r="B135" s="29" t="s">
        <v>136</v>
      </c>
      <c r="C135" s="25"/>
      <c r="D135" s="5">
        <f>SUM(D131:D134)</f>
        <v>0</v>
      </c>
      <c r="E135" s="5">
        <f>SUM(E131:E134)</f>
        <v>1000</v>
      </c>
      <c r="F135" s="5">
        <f>SUM(F131:F134)</f>
        <v>0</v>
      </c>
      <c r="G135" s="5">
        <f>SUM(G131:G134)</f>
        <v>8362400</v>
      </c>
      <c r="H135" s="5">
        <f aca="true" t="shared" si="16" ref="H135:H166">SUM(D135:G135)</f>
        <v>8363400</v>
      </c>
      <c r="I135" s="5">
        <f>SUM(I131:I134)</f>
        <v>0</v>
      </c>
      <c r="J135" s="5">
        <f>SUM(J131:J134)</f>
        <v>9037.3</v>
      </c>
      <c r="K135" s="5">
        <f>SUM(K131:K134)</f>
        <v>0</v>
      </c>
      <c r="L135" s="5">
        <f>SUM(L131:L134)</f>
        <v>8362380.96</v>
      </c>
      <c r="M135" s="5">
        <f t="shared" si="15"/>
        <v>8371418.26</v>
      </c>
      <c r="N135" s="24">
        <f>M135/H135</f>
        <v>1.0009587320946027</v>
      </c>
    </row>
    <row r="136" spans="1:14" ht="21.75" customHeight="1">
      <c r="A136" s="140"/>
      <c r="B136" s="122" t="s">
        <v>58</v>
      </c>
      <c r="C136" s="23" t="s">
        <v>85</v>
      </c>
      <c r="D136" s="3">
        <v>50000</v>
      </c>
      <c r="E136" s="3"/>
      <c r="F136" s="3"/>
      <c r="G136" s="3"/>
      <c r="H136" s="6">
        <f t="shared" si="16"/>
        <v>50000</v>
      </c>
      <c r="I136" s="6">
        <v>101975.96</v>
      </c>
      <c r="J136" s="6"/>
      <c r="K136" s="6"/>
      <c r="L136" s="6"/>
      <c r="M136" s="6">
        <f t="shared" si="15"/>
        <v>101975.96</v>
      </c>
      <c r="N136" s="4">
        <f>M136/H136</f>
        <v>2.0395192</v>
      </c>
    </row>
    <row r="137" spans="1:14" ht="11.25" customHeight="1">
      <c r="A137" s="140"/>
      <c r="B137" s="126"/>
      <c r="C137" s="15" t="s">
        <v>71</v>
      </c>
      <c r="D137" s="3"/>
      <c r="E137" s="3"/>
      <c r="F137" s="3"/>
      <c r="G137" s="3"/>
      <c r="H137" s="6">
        <f t="shared" si="16"/>
        <v>0</v>
      </c>
      <c r="I137" s="6">
        <v>44</v>
      </c>
      <c r="J137" s="6"/>
      <c r="K137" s="6"/>
      <c r="L137" s="6"/>
      <c r="M137" s="6">
        <f t="shared" si="15"/>
        <v>44</v>
      </c>
      <c r="N137" s="4"/>
    </row>
    <row r="138" spans="1:14" ht="9" customHeight="1">
      <c r="A138" s="142"/>
      <c r="B138" s="33" t="s">
        <v>137</v>
      </c>
      <c r="C138" s="30"/>
      <c r="D138" s="5">
        <f>SUM(D136:D137)</f>
        <v>50000</v>
      </c>
      <c r="E138" s="5">
        <f>SUM(E136:E137)</f>
        <v>0</v>
      </c>
      <c r="F138" s="5">
        <f>SUM(F136:F137)</f>
        <v>0</v>
      </c>
      <c r="G138" s="5">
        <f>SUM(G136:G137)</f>
        <v>0</v>
      </c>
      <c r="H138" s="5">
        <f t="shared" si="16"/>
        <v>50000</v>
      </c>
      <c r="I138" s="5">
        <f>SUM(I136:I137)</f>
        <v>102019.96</v>
      </c>
      <c r="J138" s="5">
        <f>SUM(J136:J137)</f>
        <v>0</v>
      </c>
      <c r="K138" s="5">
        <f>SUM(K136:K137)</f>
        <v>0</v>
      </c>
      <c r="L138" s="5">
        <f>SUM(L136:L137)</f>
        <v>0</v>
      </c>
      <c r="M138" s="5">
        <f t="shared" si="15"/>
        <v>102019.96</v>
      </c>
      <c r="N138" s="24">
        <f aca="true" t="shared" si="17" ref="N138:N167">M138/H138</f>
        <v>2.0403992</v>
      </c>
    </row>
    <row r="139" spans="1:14" ht="11.25">
      <c r="A139" s="31" t="s">
        <v>29</v>
      </c>
      <c r="B139" s="32"/>
      <c r="C139" s="20"/>
      <c r="D139" s="21">
        <f>SUM(D138,D135)</f>
        <v>50000</v>
      </c>
      <c r="E139" s="21">
        <f>SUM(E138,E135)</f>
        <v>1000</v>
      </c>
      <c r="F139" s="21">
        <f>SUM(F138,F135)</f>
        <v>0</v>
      </c>
      <c r="G139" s="21">
        <f>SUM(G138,G135)</f>
        <v>8362400</v>
      </c>
      <c r="H139" s="21">
        <f t="shared" si="16"/>
        <v>8413400</v>
      </c>
      <c r="I139" s="21">
        <f>SUM(I138,I135)</f>
        <v>102019.96</v>
      </c>
      <c r="J139" s="21">
        <f>SUM(J138,J135)</f>
        <v>9037.3</v>
      </c>
      <c r="K139" s="21">
        <f>SUM(K138,K135)</f>
        <v>0</v>
      </c>
      <c r="L139" s="21">
        <f>SUM(L138,L135)</f>
        <v>8362380.96</v>
      </c>
      <c r="M139" s="21">
        <f t="shared" si="15"/>
        <v>8473438.22</v>
      </c>
      <c r="N139" s="26">
        <f t="shared" si="17"/>
        <v>1.0071360234863433</v>
      </c>
    </row>
    <row r="140" spans="1:14" ht="30" customHeight="1">
      <c r="A140" s="139" t="s">
        <v>103</v>
      </c>
      <c r="B140" s="124" t="s">
        <v>30</v>
      </c>
      <c r="C140" s="14" t="s">
        <v>138</v>
      </c>
      <c r="D140" s="3">
        <v>1000000</v>
      </c>
      <c r="E140" s="3"/>
      <c r="F140" s="3"/>
      <c r="G140" s="3"/>
      <c r="H140" s="6">
        <f t="shared" si="16"/>
        <v>1000000</v>
      </c>
      <c r="I140" s="6">
        <v>1153360.13</v>
      </c>
      <c r="J140" s="8"/>
      <c r="K140" s="8"/>
      <c r="L140" s="8"/>
      <c r="M140" s="6">
        <f t="shared" si="15"/>
        <v>1153360.13</v>
      </c>
      <c r="N140" s="4">
        <f t="shared" si="17"/>
        <v>1.1533601299999998</v>
      </c>
    </row>
    <row r="141" spans="1:14" ht="22.5" customHeight="1">
      <c r="A141" s="140"/>
      <c r="B141" s="133"/>
      <c r="C141" s="18" t="s">
        <v>86</v>
      </c>
      <c r="D141" s="3">
        <v>60000</v>
      </c>
      <c r="E141" s="3"/>
      <c r="F141" s="3"/>
      <c r="G141" s="3"/>
      <c r="H141" s="6">
        <f t="shared" si="16"/>
        <v>60000</v>
      </c>
      <c r="I141" s="6">
        <v>45009.96</v>
      </c>
      <c r="J141" s="6"/>
      <c r="K141" s="6"/>
      <c r="L141" s="6"/>
      <c r="M141" s="6">
        <f t="shared" si="15"/>
        <v>45009.96</v>
      </c>
      <c r="N141" s="4">
        <f t="shared" si="17"/>
        <v>0.750166</v>
      </c>
    </row>
    <row r="142" spans="1:14" ht="9" customHeight="1">
      <c r="A142" s="140"/>
      <c r="B142" s="29" t="s">
        <v>139</v>
      </c>
      <c r="C142" s="25"/>
      <c r="D142" s="5">
        <f>SUM(D140:D141)</f>
        <v>1060000</v>
      </c>
      <c r="E142" s="5">
        <f>SUM(E140:E141)</f>
        <v>0</v>
      </c>
      <c r="F142" s="5">
        <f>SUM(F140:F141)</f>
        <v>0</v>
      </c>
      <c r="G142" s="5">
        <f>SUM(G140:G141)</f>
        <v>0</v>
      </c>
      <c r="H142" s="5">
        <f t="shared" si="16"/>
        <v>1060000</v>
      </c>
      <c r="I142" s="5">
        <f>SUM(I140:I141)</f>
        <v>1198370.0899999999</v>
      </c>
      <c r="J142" s="5">
        <f>SUM(J140:J141)</f>
        <v>0</v>
      </c>
      <c r="K142" s="5">
        <f>SUM(K140:K141)</f>
        <v>0</v>
      </c>
      <c r="L142" s="5">
        <f>SUM(L140:L141)</f>
        <v>0</v>
      </c>
      <c r="M142" s="5">
        <f t="shared" si="15"/>
        <v>1198370.0899999999</v>
      </c>
      <c r="N142" s="24">
        <f t="shared" si="17"/>
        <v>1.1305378207547168</v>
      </c>
    </row>
    <row r="143" spans="1:14" ht="9.75">
      <c r="A143" s="140"/>
      <c r="B143" s="122" t="s">
        <v>140</v>
      </c>
      <c r="C143" s="14" t="s">
        <v>87</v>
      </c>
      <c r="D143" s="3">
        <v>83100000</v>
      </c>
      <c r="E143" s="3"/>
      <c r="F143" s="3"/>
      <c r="G143" s="3"/>
      <c r="H143" s="6">
        <f t="shared" si="16"/>
        <v>83100000</v>
      </c>
      <c r="I143" s="6">
        <v>74647802.12</v>
      </c>
      <c r="J143" s="6"/>
      <c r="K143" s="6"/>
      <c r="L143" s="6"/>
      <c r="M143" s="6">
        <f t="shared" si="15"/>
        <v>74647802.12</v>
      </c>
      <c r="N143" s="4">
        <f t="shared" si="17"/>
        <v>0.8982888341756919</v>
      </c>
    </row>
    <row r="144" spans="1:14" ht="9.75">
      <c r="A144" s="140"/>
      <c r="B144" s="123"/>
      <c r="C144" s="15" t="s">
        <v>88</v>
      </c>
      <c r="D144" s="3">
        <v>400</v>
      </c>
      <c r="E144" s="3"/>
      <c r="F144" s="3"/>
      <c r="G144" s="3"/>
      <c r="H144" s="6">
        <f t="shared" si="16"/>
        <v>400</v>
      </c>
      <c r="I144" s="6">
        <v>1316.6</v>
      </c>
      <c r="J144" s="8"/>
      <c r="K144" s="8"/>
      <c r="L144" s="8"/>
      <c r="M144" s="6">
        <f t="shared" si="15"/>
        <v>1316.6</v>
      </c>
      <c r="N144" s="4">
        <f t="shared" si="17"/>
        <v>3.2914999999999996</v>
      </c>
    </row>
    <row r="145" spans="1:14" ht="9.75">
      <c r="A145" s="140"/>
      <c r="B145" s="123"/>
      <c r="C145" s="15" t="s">
        <v>89</v>
      </c>
      <c r="D145" s="3">
        <v>67000</v>
      </c>
      <c r="E145" s="3"/>
      <c r="F145" s="3"/>
      <c r="G145" s="3"/>
      <c r="H145" s="6">
        <f t="shared" si="16"/>
        <v>67000</v>
      </c>
      <c r="I145" s="6">
        <v>73656</v>
      </c>
      <c r="J145" s="6"/>
      <c r="K145" s="6"/>
      <c r="L145" s="6"/>
      <c r="M145" s="6">
        <f t="shared" si="15"/>
        <v>73656</v>
      </c>
      <c r="N145" s="4">
        <f t="shared" si="17"/>
        <v>1.0993432835820895</v>
      </c>
    </row>
    <row r="146" spans="1:14" ht="12" customHeight="1">
      <c r="A146" s="140"/>
      <c r="B146" s="123"/>
      <c r="C146" s="15" t="s">
        <v>90</v>
      </c>
      <c r="D146" s="3">
        <v>3600000</v>
      </c>
      <c r="E146" s="3"/>
      <c r="F146" s="3"/>
      <c r="G146" s="3"/>
      <c r="H146" s="6">
        <f t="shared" si="16"/>
        <v>3600000</v>
      </c>
      <c r="I146" s="6">
        <v>4082600.28</v>
      </c>
      <c r="J146" s="6"/>
      <c r="K146" s="6"/>
      <c r="L146" s="6"/>
      <c r="M146" s="6">
        <f t="shared" si="15"/>
        <v>4082600.28</v>
      </c>
      <c r="N146" s="4">
        <f t="shared" si="17"/>
        <v>1.1340556333333334</v>
      </c>
    </row>
    <row r="147" spans="1:14" ht="19.5" customHeight="1">
      <c r="A147" s="140"/>
      <c r="B147" s="123"/>
      <c r="C147" s="15" t="s">
        <v>91</v>
      </c>
      <c r="D147" s="3">
        <v>3000000</v>
      </c>
      <c r="E147" s="3"/>
      <c r="F147" s="3"/>
      <c r="G147" s="3"/>
      <c r="H147" s="6">
        <f t="shared" si="16"/>
        <v>3000000</v>
      </c>
      <c r="I147" s="6">
        <v>5699297.75</v>
      </c>
      <c r="J147" s="8"/>
      <c r="K147" s="8"/>
      <c r="L147" s="8"/>
      <c r="M147" s="6">
        <f t="shared" si="15"/>
        <v>5699297.75</v>
      </c>
      <c r="N147" s="4">
        <f t="shared" si="17"/>
        <v>1.8997659166666667</v>
      </c>
    </row>
    <row r="148" spans="1:14" ht="21" customHeight="1">
      <c r="A148" s="140"/>
      <c r="B148" s="123"/>
      <c r="C148" s="18" t="s">
        <v>86</v>
      </c>
      <c r="D148" s="3">
        <f>300000+600000</f>
        <v>900000</v>
      </c>
      <c r="E148" s="3"/>
      <c r="F148" s="3"/>
      <c r="G148" s="3"/>
      <c r="H148" s="6">
        <f t="shared" si="16"/>
        <v>900000</v>
      </c>
      <c r="I148" s="6">
        <v>1143371.21</v>
      </c>
      <c r="J148" s="12"/>
      <c r="K148" s="12"/>
      <c r="L148" s="12"/>
      <c r="M148" s="6">
        <f t="shared" si="15"/>
        <v>1143371.21</v>
      </c>
      <c r="N148" s="4">
        <f t="shared" si="17"/>
        <v>1.2704124555555556</v>
      </c>
    </row>
    <row r="149" spans="1:14" ht="66" customHeight="1">
      <c r="A149" s="140"/>
      <c r="B149" s="126"/>
      <c r="C149" s="18" t="s">
        <v>243</v>
      </c>
      <c r="D149" s="3"/>
      <c r="E149" s="3"/>
      <c r="F149" s="3"/>
      <c r="G149" s="3"/>
      <c r="H149" s="6">
        <f t="shared" si="16"/>
        <v>0</v>
      </c>
      <c r="I149" s="6">
        <v>410911</v>
      </c>
      <c r="J149" s="12"/>
      <c r="K149" s="12"/>
      <c r="L149" s="12"/>
      <c r="M149" s="6">
        <f t="shared" si="15"/>
        <v>410911</v>
      </c>
      <c r="N149" s="4"/>
    </row>
    <row r="150" spans="1:14" ht="9" customHeight="1">
      <c r="A150" s="140"/>
      <c r="B150" s="29" t="s">
        <v>141</v>
      </c>
      <c r="C150" s="25"/>
      <c r="D150" s="5">
        <f>SUM(D143:D149)</f>
        <v>90667400</v>
      </c>
      <c r="E150" s="5">
        <f>SUM(E143:E149)</f>
        <v>0</v>
      </c>
      <c r="F150" s="5">
        <f>SUM(F143:F149)</f>
        <v>0</v>
      </c>
      <c r="G150" s="5">
        <f>SUM(G143:G149)</f>
        <v>0</v>
      </c>
      <c r="H150" s="5">
        <f t="shared" si="16"/>
        <v>90667400</v>
      </c>
      <c r="I150" s="5">
        <f>SUM(I143:I149)</f>
        <v>86058954.96</v>
      </c>
      <c r="J150" s="5">
        <f>SUM(J143:J148)</f>
        <v>0</v>
      </c>
      <c r="K150" s="5">
        <f>SUM(K143:K148)</f>
        <v>0</v>
      </c>
      <c r="L150" s="5">
        <f>SUM(L143:L148)</f>
        <v>0</v>
      </c>
      <c r="M150" s="5">
        <f t="shared" si="15"/>
        <v>86058954.96</v>
      </c>
      <c r="N150" s="24">
        <f t="shared" si="17"/>
        <v>0.9491719731678641</v>
      </c>
    </row>
    <row r="151" spans="1:14" ht="11.25" customHeight="1">
      <c r="A151" s="140"/>
      <c r="B151" s="132" t="s">
        <v>142</v>
      </c>
      <c r="C151" s="14" t="s">
        <v>87</v>
      </c>
      <c r="D151" s="3">
        <v>13350000</v>
      </c>
      <c r="E151" s="3"/>
      <c r="F151" s="3"/>
      <c r="G151" s="3"/>
      <c r="H151" s="6">
        <f t="shared" si="16"/>
        <v>13350000</v>
      </c>
      <c r="I151" s="6">
        <v>14045789.51</v>
      </c>
      <c r="J151" s="6"/>
      <c r="K151" s="6"/>
      <c r="L151" s="6"/>
      <c r="M151" s="6">
        <f t="shared" si="15"/>
        <v>14045789.51</v>
      </c>
      <c r="N151" s="4">
        <f t="shared" si="17"/>
        <v>1.0521190644194756</v>
      </c>
    </row>
    <row r="152" spans="1:14" ht="9.75">
      <c r="A152" s="140"/>
      <c r="B152" s="132"/>
      <c r="C152" s="15" t="s">
        <v>88</v>
      </c>
      <c r="D152" s="3">
        <v>29000</v>
      </c>
      <c r="E152" s="3"/>
      <c r="F152" s="3"/>
      <c r="G152" s="3"/>
      <c r="H152" s="6">
        <f t="shared" si="16"/>
        <v>29000</v>
      </c>
      <c r="I152" s="6">
        <v>32706.99</v>
      </c>
      <c r="J152" s="6"/>
      <c r="K152" s="6"/>
      <c r="L152" s="6"/>
      <c r="M152" s="6">
        <f t="shared" si="15"/>
        <v>32706.99</v>
      </c>
      <c r="N152" s="4">
        <f t="shared" si="17"/>
        <v>1.1278272413793105</v>
      </c>
    </row>
    <row r="153" spans="1:14" ht="9.75">
      <c r="A153" s="140"/>
      <c r="B153" s="132"/>
      <c r="C153" s="15" t="s">
        <v>89</v>
      </c>
      <c r="D153" s="3">
        <v>3200</v>
      </c>
      <c r="E153" s="3"/>
      <c r="F153" s="3"/>
      <c r="G153" s="3"/>
      <c r="H153" s="6">
        <f t="shared" si="16"/>
        <v>3200</v>
      </c>
      <c r="I153" s="6">
        <v>4227.12</v>
      </c>
      <c r="J153" s="8"/>
      <c r="K153" s="8"/>
      <c r="L153" s="8"/>
      <c r="M153" s="6">
        <f t="shared" si="15"/>
        <v>4227.12</v>
      </c>
      <c r="N153" s="4">
        <f t="shared" si="17"/>
        <v>1.320975</v>
      </c>
    </row>
    <row r="154" spans="1:14" ht="9" customHeight="1">
      <c r="A154" s="140"/>
      <c r="B154" s="132"/>
      <c r="C154" s="15" t="s">
        <v>90</v>
      </c>
      <c r="D154" s="3">
        <v>2000000</v>
      </c>
      <c r="E154" s="3"/>
      <c r="F154" s="3"/>
      <c r="G154" s="3"/>
      <c r="H154" s="6">
        <f t="shared" si="16"/>
        <v>2000000</v>
      </c>
      <c r="I154" s="6">
        <v>2228339.54</v>
      </c>
      <c r="J154" s="6"/>
      <c r="K154" s="6"/>
      <c r="L154" s="6"/>
      <c r="M154" s="6">
        <f t="shared" si="15"/>
        <v>2228339.54</v>
      </c>
      <c r="N154" s="4">
        <f t="shared" si="17"/>
        <v>1.11416977</v>
      </c>
    </row>
    <row r="155" spans="1:14" ht="9.75" customHeight="1">
      <c r="A155" s="140"/>
      <c r="B155" s="132"/>
      <c r="C155" s="15" t="s">
        <v>93</v>
      </c>
      <c r="D155" s="3">
        <v>3500000</v>
      </c>
      <c r="E155" s="3"/>
      <c r="F155" s="3"/>
      <c r="G155" s="3"/>
      <c r="H155" s="6">
        <f t="shared" si="16"/>
        <v>3500000</v>
      </c>
      <c r="I155" s="6">
        <v>5053184.38</v>
      </c>
      <c r="J155" s="6"/>
      <c r="K155" s="6"/>
      <c r="L155" s="6"/>
      <c r="M155" s="6">
        <f t="shared" si="15"/>
        <v>5053184.38</v>
      </c>
      <c r="N155" s="4">
        <f t="shared" si="17"/>
        <v>1.4437669657142858</v>
      </c>
    </row>
    <row r="156" spans="1:14" ht="9" customHeight="1">
      <c r="A156" s="140"/>
      <c r="B156" s="132"/>
      <c r="C156" s="15" t="s">
        <v>94</v>
      </c>
      <c r="D156" s="3">
        <v>100000</v>
      </c>
      <c r="E156" s="3"/>
      <c r="F156" s="3"/>
      <c r="G156" s="3"/>
      <c r="H156" s="6">
        <f t="shared" si="16"/>
        <v>100000</v>
      </c>
      <c r="I156" s="6">
        <v>80306.57</v>
      </c>
      <c r="J156" s="6"/>
      <c r="K156" s="6"/>
      <c r="L156" s="6"/>
      <c r="M156" s="6">
        <f t="shared" si="15"/>
        <v>80306.57</v>
      </c>
      <c r="N156" s="4">
        <f t="shared" si="17"/>
        <v>0.8030657000000001</v>
      </c>
    </row>
    <row r="157" spans="1:14" ht="9.75">
      <c r="A157" s="141"/>
      <c r="B157" s="132"/>
      <c r="C157" s="15" t="s">
        <v>95</v>
      </c>
      <c r="D157" s="3">
        <v>1300000</v>
      </c>
      <c r="E157" s="3"/>
      <c r="F157" s="3"/>
      <c r="G157" s="3"/>
      <c r="H157" s="6">
        <f t="shared" si="16"/>
        <v>1300000</v>
      </c>
      <c r="I157" s="6">
        <v>1081526.2</v>
      </c>
      <c r="J157" s="6"/>
      <c r="K157" s="6"/>
      <c r="L157" s="6"/>
      <c r="M157" s="6">
        <f t="shared" si="15"/>
        <v>1081526.2</v>
      </c>
      <c r="N157" s="4">
        <f t="shared" si="17"/>
        <v>0.8319432307692307</v>
      </c>
    </row>
    <row r="158" spans="1:14" ht="11.25" customHeight="1">
      <c r="A158" s="77"/>
      <c r="B158" s="132"/>
      <c r="C158" s="15" t="s">
        <v>96</v>
      </c>
      <c r="D158" s="3">
        <v>220000</v>
      </c>
      <c r="E158" s="3"/>
      <c r="F158" s="3"/>
      <c r="G158" s="3"/>
      <c r="H158" s="6">
        <f t="shared" si="16"/>
        <v>220000</v>
      </c>
      <c r="I158" s="6">
        <v>186642.01</v>
      </c>
      <c r="J158" s="6"/>
      <c r="K158" s="6"/>
      <c r="L158" s="6"/>
      <c r="M158" s="6">
        <f t="shared" si="15"/>
        <v>186642.01</v>
      </c>
      <c r="N158" s="4">
        <f t="shared" si="17"/>
        <v>0.8483727727272727</v>
      </c>
    </row>
    <row r="159" spans="1:14" ht="30" customHeight="1">
      <c r="A159" s="77"/>
      <c r="B159" s="132"/>
      <c r="C159" s="15" t="s">
        <v>97</v>
      </c>
      <c r="D159" s="3">
        <v>6000</v>
      </c>
      <c r="E159" s="3"/>
      <c r="F159" s="3"/>
      <c r="G159" s="3"/>
      <c r="H159" s="6">
        <f t="shared" si="16"/>
        <v>6000</v>
      </c>
      <c r="I159" s="6">
        <v>6810</v>
      </c>
      <c r="J159" s="6"/>
      <c r="K159" s="6"/>
      <c r="L159" s="6"/>
      <c r="M159" s="6">
        <f t="shared" si="15"/>
        <v>6810</v>
      </c>
      <c r="N159" s="4">
        <f t="shared" si="17"/>
        <v>1.135</v>
      </c>
    </row>
    <row r="160" spans="1:14" ht="20.25" customHeight="1">
      <c r="A160" s="77"/>
      <c r="B160" s="132"/>
      <c r="C160" s="15" t="s">
        <v>91</v>
      </c>
      <c r="D160" s="3">
        <v>14000000</v>
      </c>
      <c r="E160" s="3"/>
      <c r="F160" s="3"/>
      <c r="G160" s="3"/>
      <c r="H160" s="6">
        <f t="shared" si="16"/>
        <v>14000000</v>
      </c>
      <c r="I160" s="6">
        <v>23907438.64</v>
      </c>
      <c r="J160" s="6"/>
      <c r="K160" s="6"/>
      <c r="L160" s="6"/>
      <c r="M160" s="6">
        <f t="shared" si="15"/>
        <v>23907438.64</v>
      </c>
      <c r="N160" s="4">
        <f t="shared" si="17"/>
        <v>1.7076741885714286</v>
      </c>
    </row>
    <row r="161" spans="1:14" ht="10.5" customHeight="1">
      <c r="A161" s="77"/>
      <c r="B161" s="132"/>
      <c r="C161" s="15" t="s">
        <v>92</v>
      </c>
      <c r="D161" s="3">
        <v>2000</v>
      </c>
      <c r="E161" s="3"/>
      <c r="F161" s="3"/>
      <c r="G161" s="3"/>
      <c r="H161" s="6">
        <f t="shared" si="16"/>
        <v>2000</v>
      </c>
      <c r="I161" s="6">
        <v>1560.94</v>
      </c>
      <c r="J161" s="6"/>
      <c r="K161" s="6"/>
      <c r="L161" s="6"/>
      <c r="M161" s="6">
        <f t="shared" si="15"/>
        <v>1560.94</v>
      </c>
      <c r="N161" s="4">
        <f t="shared" si="17"/>
        <v>0.78047</v>
      </c>
    </row>
    <row r="162" spans="1:14" ht="30" customHeight="1">
      <c r="A162" s="77"/>
      <c r="B162" s="132"/>
      <c r="C162" s="18" t="s">
        <v>298</v>
      </c>
      <c r="D162" s="3"/>
      <c r="E162" s="3"/>
      <c r="F162" s="3"/>
      <c r="G162" s="3"/>
      <c r="H162" s="6">
        <f t="shared" si="16"/>
        <v>0</v>
      </c>
      <c r="I162" s="6">
        <v>-60</v>
      </c>
      <c r="J162" s="6"/>
      <c r="K162" s="6"/>
      <c r="L162" s="6"/>
      <c r="M162" s="6">
        <f t="shared" si="15"/>
        <v>-60</v>
      </c>
      <c r="N162" s="4"/>
    </row>
    <row r="163" spans="1:14" ht="20.25" customHeight="1">
      <c r="A163" s="77"/>
      <c r="B163" s="132"/>
      <c r="C163" s="18" t="s">
        <v>86</v>
      </c>
      <c r="D163" s="3">
        <f>900000-600000</f>
        <v>300000</v>
      </c>
      <c r="E163" s="3"/>
      <c r="F163" s="3"/>
      <c r="G163" s="3"/>
      <c r="H163" s="6">
        <f t="shared" si="16"/>
        <v>300000</v>
      </c>
      <c r="I163" s="6">
        <v>490866.36</v>
      </c>
      <c r="J163" s="6"/>
      <c r="K163" s="6"/>
      <c r="L163" s="6"/>
      <c r="M163" s="6">
        <f aca="true" t="shared" si="18" ref="M163:M197">SUM(I163:L163)</f>
        <v>490866.36</v>
      </c>
      <c r="N163" s="4">
        <f t="shared" si="17"/>
        <v>1.6362212</v>
      </c>
    </row>
    <row r="164" spans="1:14" ht="9.75">
      <c r="A164" s="77"/>
      <c r="B164" s="29" t="s">
        <v>143</v>
      </c>
      <c r="C164" s="25"/>
      <c r="D164" s="5">
        <f>SUM(D151:D163)</f>
        <v>34810200</v>
      </c>
      <c r="E164" s="5">
        <f>SUM(E151:E163)</f>
        <v>0</v>
      </c>
      <c r="F164" s="5">
        <f>SUM(F151:F163)</f>
        <v>0</v>
      </c>
      <c r="G164" s="5">
        <f>SUM(G151:G163)</f>
        <v>0</v>
      </c>
      <c r="H164" s="5">
        <f t="shared" si="16"/>
        <v>34810200</v>
      </c>
      <c r="I164" s="5">
        <f>SUM(I151:I163)</f>
        <v>47119338.26</v>
      </c>
      <c r="J164" s="5">
        <f>SUM(J151:J163)</f>
        <v>0</v>
      </c>
      <c r="K164" s="5">
        <f>SUM(K151:K163)</f>
        <v>0</v>
      </c>
      <c r="L164" s="5">
        <f>SUM(L151:L163)</f>
        <v>0</v>
      </c>
      <c r="M164" s="5">
        <f t="shared" si="18"/>
        <v>47119338.26</v>
      </c>
      <c r="N164" s="24">
        <f t="shared" si="17"/>
        <v>1.3536072260429415</v>
      </c>
    </row>
    <row r="165" spans="1:14" ht="9.75" customHeight="1">
      <c r="A165" s="77"/>
      <c r="B165" s="124" t="s">
        <v>68</v>
      </c>
      <c r="C165" s="14" t="s">
        <v>98</v>
      </c>
      <c r="D165" s="3">
        <v>4738000</v>
      </c>
      <c r="E165" s="3"/>
      <c r="F165" s="3"/>
      <c r="G165" s="3"/>
      <c r="H165" s="6">
        <f t="shared" si="16"/>
        <v>4738000</v>
      </c>
      <c r="I165" s="6">
        <v>5418554.57</v>
      </c>
      <c r="J165" s="6"/>
      <c r="K165" s="6"/>
      <c r="L165" s="6"/>
      <c r="M165" s="6">
        <f t="shared" si="18"/>
        <v>5418554.57</v>
      </c>
      <c r="N165" s="4">
        <f t="shared" si="17"/>
        <v>1.1436375200506543</v>
      </c>
    </row>
    <row r="166" spans="1:14" ht="9" customHeight="1">
      <c r="A166" s="77"/>
      <c r="B166" s="132"/>
      <c r="C166" s="15" t="s">
        <v>81</v>
      </c>
      <c r="D166" s="3"/>
      <c r="E166" s="3">
        <f>4500000+300000+250000</f>
        <v>5050000</v>
      </c>
      <c r="F166" s="3"/>
      <c r="G166" s="3"/>
      <c r="H166" s="6">
        <f t="shared" si="16"/>
        <v>5050000</v>
      </c>
      <c r="I166" s="6"/>
      <c r="J166" s="6">
        <v>5636395.34</v>
      </c>
      <c r="K166" s="6"/>
      <c r="L166" s="6"/>
      <c r="M166" s="6">
        <f t="shared" si="18"/>
        <v>5636395.34</v>
      </c>
      <c r="N166" s="4">
        <f t="shared" si="17"/>
        <v>1.116117889108911</v>
      </c>
    </row>
    <row r="167" spans="1:14" ht="21" customHeight="1">
      <c r="A167" s="77"/>
      <c r="B167" s="132"/>
      <c r="C167" s="15" t="s">
        <v>84</v>
      </c>
      <c r="D167" s="3">
        <v>4180000</v>
      </c>
      <c r="E167" s="3"/>
      <c r="F167" s="3"/>
      <c r="G167" s="3"/>
      <c r="H167" s="6">
        <f aca="true" t="shared" si="19" ref="H167:H201">SUM(D167:G167)</f>
        <v>4180000</v>
      </c>
      <c r="I167" s="6">
        <v>4172723.29</v>
      </c>
      <c r="J167" s="6"/>
      <c r="K167" s="6"/>
      <c r="L167" s="6"/>
      <c r="M167" s="6">
        <f t="shared" si="18"/>
        <v>4172723.29</v>
      </c>
      <c r="N167" s="4">
        <f t="shared" si="17"/>
        <v>0.9982591602870814</v>
      </c>
    </row>
    <row r="168" spans="1:14" ht="9.75" customHeight="1" hidden="1">
      <c r="A168" s="77"/>
      <c r="B168" s="132"/>
      <c r="C168" s="15" t="s">
        <v>71</v>
      </c>
      <c r="D168" s="3"/>
      <c r="E168" s="3"/>
      <c r="F168" s="3"/>
      <c r="G168" s="3"/>
      <c r="H168" s="6">
        <f t="shared" si="19"/>
        <v>0</v>
      </c>
      <c r="I168" s="6"/>
      <c r="J168" s="6"/>
      <c r="K168" s="6"/>
      <c r="L168" s="6"/>
      <c r="M168" s="6">
        <f t="shared" si="18"/>
        <v>0</v>
      </c>
      <c r="N168" s="4"/>
    </row>
    <row r="169" spans="1:14" ht="30" customHeight="1">
      <c r="A169" s="77"/>
      <c r="B169" s="132"/>
      <c r="C169" s="18" t="s">
        <v>298</v>
      </c>
      <c r="D169" s="3"/>
      <c r="E169" s="3"/>
      <c r="F169" s="3"/>
      <c r="G169" s="3"/>
      <c r="H169" s="6">
        <f t="shared" si="19"/>
        <v>0</v>
      </c>
      <c r="I169" s="6">
        <v>-349</v>
      </c>
      <c r="J169" s="6"/>
      <c r="K169" s="6"/>
      <c r="L169" s="6"/>
      <c r="M169" s="6">
        <f t="shared" si="18"/>
        <v>-349</v>
      </c>
      <c r="N169" s="4"/>
    </row>
    <row r="170" spans="1:14" ht="21" customHeight="1">
      <c r="A170" s="77"/>
      <c r="B170" s="104"/>
      <c r="C170" s="18" t="s">
        <v>86</v>
      </c>
      <c r="D170" s="3">
        <v>40000</v>
      </c>
      <c r="E170" s="3"/>
      <c r="F170" s="3"/>
      <c r="G170" s="3"/>
      <c r="H170" s="6">
        <f t="shared" si="19"/>
        <v>40000</v>
      </c>
      <c r="I170" s="6">
        <v>7989.35</v>
      </c>
      <c r="J170" s="8"/>
      <c r="K170" s="8"/>
      <c r="L170" s="8"/>
      <c r="M170" s="6">
        <f t="shared" si="18"/>
        <v>7989.35</v>
      </c>
      <c r="N170" s="4">
        <f aca="true" t="shared" si="20" ref="N170:N204">M170/H170</f>
        <v>0.19973375000000002</v>
      </c>
    </row>
    <row r="171" spans="1:14" ht="12" customHeight="1">
      <c r="A171" s="77"/>
      <c r="B171" s="29" t="s">
        <v>144</v>
      </c>
      <c r="C171" s="25"/>
      <c r="D171" s="5">
        <f>SUM(D165:D170)</f>
        <v>8958000</v>
      </c>
      <c r="E171" s="5">
        <f>SUM(E165:E170)</f>
        <v>5050000</v>
      </c>
      <c r="F171" s="5">
        <f>SUM(F165:F170)</f>
        <v>0</v>
      </c>
      <c r="G171" s="5">
        <f>SUM(G165:G170)</f>
        <v>0</v>
      </c>
      <c r="H171" s="5">
        <f t="shared" si="19"/>
        <v>14008000</v>
      </c>
      <c r="I171" s="5">
        <f>SUM(I165:I170)</f>
        <v>9598918.209999999</v>
      </c>
      <c r="J171" s="5">
        <f>SUM(J165:J170)</f>
        <v>5636395.34</v>
      </c>
      <c r="K171" s="5">
        <f>SUM(K165:K170)</f>
        <v>0</v>
      </c>
      <c r="L171" s="5">
        <f>SUM(L165:L170)</f>
        <v>0</v>
      </c>
      <c r="M171" s="5">
        <f t="shared" si="18"/>
        <v>15235313.549999999</v>
      </c>
      <c r="N171" s="24">
        <f t="shared" si="20"/>
        <v>1.0876151877498572</v>
      </c>
    </row>
    <row r="172" spans="1:14" ht="21" customHeight="1">
      <c r="A172" s="77"/>
      <c r="B172" s="122" t="s">
        <v>31</v>
      </c>
      <c r="C172" s="14" t="s">
        <v>99</v>
      </c>
      <c r="D172" s="3">
        <f>158895170+1494462</f>
        <v>160389632</v>
      </c>
      <c r="E172" s="3"/>
      <c r="F172" s="3"/>
      <c r="G172" s="3"/>
      <c r="H172" s="6">
        <f t="shared" si="19"/>
        <v>160389632</v>
      </c>
      <c r="I172" s="6">
        <f>165392284+830786</f>
        <v>166223070</v>
      </c>
      <c r="J172" s="8"/>
      <c r="K172" s="8"/>
      <c r="L172" s="8"/>
      <c r="M172" s="6">
        <f t="shared" si="18"/>
        <v>166223070</v>
      </c>
      <c r="N172" s="4">
        <f t="shared" si="20"/>
        <v>1.0363704182574593</v>
      </c>
    </row>
    <row r="173" spans="1:14" ht="20.25" customHeight="1">
      <c r="A173" s="77"/>
      <c r="B173" s="123"/>
      <c r="C173" s="18" t="s">
        <v>100</v>
      </c>
      <c r="D173" s="3">
        <v>10930000</v>
      </c>
      <c r="E173" s="3"/>
      <c r="F173" s="3"/>
      <c r="G173" s="3"/>
      <c r="H173" s="6">
        <f t="shared" si="19"/>
        <v>10930000</v>
      </c>
      <c r="I173" s="6">
        <v>16472144.83</v>
      </c>
      <c r="J173" s="6"/>
      <c r="K173" s="6"/>
      <c r="L173" s="6"/>
      <c r="M173" s="6">
        <f t="shared" si="18"/>
        <v>16472144.83</v>
      </c>
      <c r="N173" s="4">
        <f t="shared" si="20"/>
        <v>1.5070580814272645</v>
      </c>
    </row>
    <row r="174" spans="1:14" ht="28.5" customHeight="1">
      <c r="A174" s="77"/>
      <c r="B174" s="126"/>
      <c r="C174" s="18" t="s">
        <v>298</v>
      </c>
      <c r="D174" s="3"/>
      <c r="E174" s="3"/>
      <c r="F174" s="3"/>
      <c r="G174" s="3"/>
      <c r="H174" s="6">
        <f t="shared" si="19"/>
        <v>0</v>
      </c>
      <c r="I174" s="6">
        <v>108.73</v>
      </c>
      <c r="J174" s="6"/>
      <c r="K174" s="6"/>
      <c r="L174" s="6"/>
      <c r="M174" s="6">
        <f t="shared" si="18"/>
        <v>108.73</v>
      </c>
      <c r="N174" s="4"/>
    </row>
    <row r="175" spans="1:14" ht="12" customHeight="1">
      <c r="A175" s="77"/>
      <c r="B175" s="29" t="s">
        <v>145</v>
      </c>
      <c r="C175" s="25"/>
      <c r="D175" s="5">
        <f>SUM(D172:D174)</f>
        <v>171319632</v>
      </c>
      <c r="E175" s="5">
        <f>SUM(E172:E174)</f>
        <v>0</v>
      </c>
      <c r="F175" s="5">
        <f>SUM(F172:F174)</f>
        <v>0</v>
      </c>
      <c r="G175" s="5">
        <f>SUM(G172:G174)</f>
        <v>0</v>
      </c>
      <c r="H175" s="5">
        <f t="shared" si="19"/>
        <v>171319632</v>
      </c>
      <c r="I175" s="5">
        <f>SUM(I172:I174)</f>
        <v>182695323.56</v>
      </c>
      <c r="J175" s="5">
        <f>SUM(J172:J174)</f>
        <v>0</v>
      </c>
      <c r="K175" s="5">
        <f>SUM(K172:K174)</f>
        <v>0</v>
      </c>
      <c r="L175" s="5">
        <f>SUM(L172:L174)</f>
        <v>0</v>
      </c>
      <c r="M175" s="5">
        <f t="shared" si="18"/>
        <v>182695323.56</v>
      </c>
      <c r="N175" s="24">
        <f t="shared" si="20"/>
        <v>1.0664003968908828</v>
      </c>
    </row>
    <row r="176" spans="1:14" ht="19.5" customHeight="1">
      <c r="A176" s="77"/>
      <c r="B176" s="134" t="s">
        <v>32</v>
      </c>
      <c r="C176" s="14" t="s">
        <v>99</v>
      </c>
      <c r="D176" s="3"/>
      <c r="E176" s="3">
        <f>45303908+426100</f>
        <v>45730008</v>
      </c>
      <c r="F176" s="3"/>
      <c r="G176" s="3"/>
      <c r="H176" s="6">
        <f t="shared" si="19"/>
        <v>45730008</v>
      </c>
      <c r="I176" s="6"/>
      <c r="J176" s="6">
        <f>47156354+236872</f>
        <v>47393226</v>
      </c>
      <c r="K176" s="6"/>
      <c r="L176" s="6"/>
      <c r="M176" s="6">
        <f t="shared" si="18"/>
        <v>47393226</v>
      </c>
      <c r="N176" s="4">
        <f t="shared" si="20"/>
        <v>1.0363703850653163</v>
      </c>
    </row>
    <row r="177" spans="1:14" ht="20.25" customHeight="1">
      <c r="A177" s="77"/>
      <c r="B177" s="134"/>
      <c r="C177" s="18" t="s">
        <v>100</v>
      </c>
      <c r="D177" s="3"/>
      <c r="E177" s="3">
        <v>2670000</v>
      </c>
      <c r="F177" s="3"/>
      <c r="G177" s="3"/>
      <c r="H177" s="6">
        <f t="shared" si="19"/>
        <v>2670000</v>
      </c>
      <c r="I177" s="6"/>
      <c r="J177" s="6">
        <v>3471637.54</v>
      </c>
      <c r="K177" s="6"/>
      <c r="L177" s="6"/>
      <c r="M177" s="6">
        <f t="shared" si="18"/>
        <v>3471637.54</v>
      </c>
      <c r="N177" s="4">
        <f t="shared" si="20"/>
        <v>1.3002387790262173</v>
      </c>
    </row>
    <row r="178" spans="1:14" ht="30" customHeight="1">
      <c r="A178" s="77"/>
      <c r="B178" s="134"/>
      <c r="C178" s="18" t="s">
        <v>298</v>
      </c>
      <c r="D178" s="3"/>
      <c r="E178" s="3"/>
      <c r="F178" s="3"/>
      <c r="G178" s="3"/>
      <c r="H178" s="6">
        <f t="shared" si="19"/>
        <v>0</v>
      </c>
      <c r="I178" s="6"/>
      <c r="J178" s="6">
        <v>22.71</v>
      </c>
      <c r="K178" s="6"/>
      <c r="L178" s="6"/>
      <c r="M178" s="6">
        <f t="shared" si="18"/>
        <v>22.71</v>
      </c>
      <c r="N178" s="4"/>
    </row>
    <row r="179" spans="1:14" ht="9.75">
      <c r="A179" s="77"/>
      <c r="B179" s="33" t="s">
        <v>146</v>
      </c>
      <c r="C179" s="30"/>
      <c r="D179" s="5">
        <f>SUM(D176:D178)</f>
        <v>0</v>
      </c>
      <c r="E179" s="5">
        <f>SUM(E176:E178)</f>
        <v>48400008</v>
      </c>
      <c r="F179" s="5">
        <f>SUM(F176:F178)</f>
        <v>0</v>
      </c>
      <c r="G179" s="5">
        <f>SUM(G176:G178)</f>
        <v>0</v>
      </c>
      <c r="H179" s="5">
        <f t="shared" si="19"/>
        <v>48400008</v>
      </c>
      <c r="I179" s="5">
        <f>SUM(I176:I178)</f>
        <v>0</v>
      </c>
      <c r="J179" s="5">
        <f>SUM(J176:J178)</f>
        <v>50864886.25</v>
      </c>
      <c r="K179" s="5">
        <f>SUM(K176:K178)</f>
        <v>0</v>
      </c>
      <c r="L179" s="5">
        <f>SUM(L176:L178)</f>
        <v>0</v>
      </c>
      <c r="M179" s="5">
        <f t="shared" si="18"/>
        <v>50864886.25</v>
      </c>
      <c r="N179" s="24">
        <f t="shared" si="20"/>
        <v>1.0509272281525244</v>
      </c>
    </row>
    <row r="180" spans="1:14" ht="12" customHeight="1">
      <c r="A180" s="22" t="s">
        <v>147</v>
      </c>
      <c r="B180" s="34"/>
      <c r="C180" s="20"/>
      <c r="D180" s="21">
        <f>SUM(D179,D175,D171,D164,D150,D142)</f>
        <v>306815232</v>
      </c>
      <c r="E180" s="21">
        <f>SUM(E179,E175,E171,E164,E150,E142)</f>
        <v>53450008</v>
      </c>
      <c r="F180" s="21">
        <f>SUM(F179,F175,F171,F164,F150,F142)</f>
        <v>0</v>
      </c>
      <c r="G180" s="21">
        <f>SUM(G179,G175,G171,G164,G150,G142)</f>
        <v>0</v>
      </c>
      <c r="H180" s="21">
        <f t="shared" si="19"/>
        <v>360265240</v>
      </c>
      <c r="I180" s="21">
        <f>SUM(I179,I175,I171,I164,I150,I142)</f>
        <v>326670905.08</v>
      </c>
      <c r="J180" s="21">
        <f>SUM(J179,J175,J171,J164,J150,J142)</f>
        <v>56501281.59</v>
      </c>
      <c r="K180" s="21">
        <f>SUM(K179,K175,K171,K164,K150,K142)</f>
        <v>0</v>
      </c>
      <c r="L180" s="21">
        <f>SUM(L179,L175,L171,L164,L150,L142)</f>
        <v>0</v>
      </c>
      <c r="M180" s="21">
        <f t="shared" si="18"/>
        <v>383172186.66999996</v>
      </c>
      <c r="N180" s="26">
        <f t="shared" si="20"/>
        <v>1.0635835604622859</v>
      </c>
    </row>
    <row r="181" spans="1:14" ht="69" customHeight="1">
      <c r="A181" s="62" t="s">
        <v>33</v>
      </c>
      <c r="B181" s="19" t="s">
        <v>34</v>
      </c>
      <c r="C181" s="23" t="s">
        <v>148</v>
      </c>
      <c r="D181" s="3">
        <f>70256679+1061516+29500+52794+353052</f>
        <v>71753541</v>
      </c>
      <c r="E181" s="3">
        <f>62042698-693454+39600+398728</f>
        <v>61787572</v>
      </c>
      <c r="F181" s="3"/>
      <c r="G181" s="3"/>
      <c r="H181" s="6">
        <f t="shared" si="19"/>
        <v>133541113</v>
      </c>
      <c r="I181" s="6">
        <v>71753541</v>
      </c>
      <c r="J181" s="6">
        <v>61787572</v>
      </c>
      <c r="K181" s="8"/>
      <c r="L181" s="8"/>
      <c r="M181" s="6">
        <f t="shared" si="18"/>
        <v>133541113</v>
      </c>
      <c r="N181" s="4">
        <f t="shared" si="20"/>
        <v>1</v>
      </c>
    </row>
    <row r="182" spans="1:14" ht="10.5" customHeight="1">
      <c r="A182" s="77"/>
      <c r="B182" s="29" t="s">
        <v>149</v>
      </c>
      <c r="C182" s="25"/>
      <c r="D182" s="5">
        <f>SUM(D181)</f>
        <v>71753541</v>
      </c>
      <c r="E182" s="5">
        <f>SUM(E181)</f>
        <v>61787572</v>
      </c>
      <c r="F182" s="5">
        <f>SUM(F181)</f>
        <v>0</v>
      </c>
      <c r="G182" s="5">
        <f>SUM(G181)</f>
        <v>0</v>
      </c>
      <c r="H182" s="5">
        <f t="shared" si="19"/>
        <v>133541113</v>
      </c>
      <c r="I182" s="5">
        <f>SUM(I181)</f>
        <v>71753541</v>
      </c>
      <c r="J182" s="5">
        <f>SUM(J181)</f>
        <v>61787572</v>
      </c>
      <c r="K182" s="5">
        <f>SUM(K181)</f>
        <v>0</v>
      </c>
      <c r="L182" s="5">
        <f>SUM(L181)</f>
        <v>0</v>
      </c>
      <c r="M182" s="5">
        <f t="shared" si="18"/>
        <v>133541113</v>
      </c>
      <c r="N182" s="24">
        <f t="shared" si="20"/>
        <v>1</v>
      </c>
    </row>
    <row r="183" spans="1:14" s="9" customFormat="1" ht="21" customHeight="1" hidden="1">
      <c r="A183" s="81"/>
      <c r="B183" s="122" t="s">
        <v>254</v>
      </c>
      <c r="C183" s="15" t="s">
        <v>282</v>
      </c>
      <c r="D183" s="12"/>
      <c r="E183" s="12"/>
      <c r="F183" s="12"/>
      <c r="G183" s="12"/>
      <c r="H183" s="6">
        <f t="shared" si="19"/>
        <v>0</v>
      </c>
      <c r="I183" s="12"/>
      <c r="J183" s="12"/>
      <c r="K183" s="12"/>
      <c r="L183" s="12"/>
      <c r="M183" s="6">
        <f t="shared" si="18"/>
        <v>0</v>
      </c>
      <c r="N183" s="4" t="e">
        <f t="shared" si="20"/>
        <v>#DIV/0!</v>
      </c>
    </row>
    <row r="184" spans="1:14" ht="21" customHeight="1" hidden="1">
      <c r="A184" s="62"/>
      <c r="B184" s="126"/>
      <c r="C184" s="23" t="s">
        <v>256</v>
      </c>
      <c r="D184" s="3"/>
      <c r="E184" s="3"/>
      <c r="F184" s="3"/>
      <c r="G184" s="3"/>
      <c r="H184" s="6">
        <f t="shared" si="19"/>
        <v>0</v>
      </c>
      <c r="I184" s="6"/>
      <c r="J184" s="6"/>
      <c r="K184" s="8"/>
      <c r="L184" s="8"/>
      <c r="M184" s="6">
        <f t="shared" si="18"/>
        <v>0</v>
      </c>
      <c r="N184" s="4" t="e">
        <f t="shared" si="20"/>
        <v>#DIV/0!</v>
      </c>
    </row>
    <row r="185" spans="1:14" ht="10.5" customHeight="1" hidden="1">
      <c r="A185" s="77"/>
      <c r="B185" s="131" t="s">
        <v>255</v>
      </c>
      <c r="C185" s="131"/>
      <c r="D185" s="5">
        <f>SUM(D183:D184)</f>
        <v>0</v>
      </c>
      <c r="E185" s="5">
        <f>SUM(E183:E184)</f>
        <v>0</v>
      </c>
      <c r="F185" s="5">
        <f>SUM(F183:F184)</f>
        <v>0</v>
      </c>
      <c r="G185" s="5">
        <f>SUM(G183:G184)</f>
        <v>0</v>
      </c>
      <c r="H185" s="5">
        <f t="shared" si="19"/>
        <v>0</v>
      </c>
      <c r="I185" s="12">
        <f>SUM(I183:I184)</f>
        <v>0</v>
      </c>
      <c r="J185" s="12">
        <f>SUM(J183:J184)</f>
        <v>0</v>
      </c>
      <c r="K185" s="12">
        <f>SUM(K183:K184)</f>
        <v>0</v>
      </c>
      <c r="L185" s="12">
        <f>SUM(L183:L184)</f>
        <v>0</v>
      </c>
      <c r="M185" s="12">
        <f t="shared" si="18"/>
        <v>0</v>
      </c>
      <c r="N185" s="24" t="e">
        <f t="shared" si="20"/>
        <v>#DIV/0!</v>
      </c>
    </row>
    <row r="186" spans="1:14" ht="11.25" customHeight="1">
      <c r="A186" s="77"/>
      <c r="B186" s="122" t="s">
        <v>35</v>
      </c>
      <c r="C186" s="15" t="s">
        <v>72</v>
      </c>
      <c r="D186" s="3">
        <f>700000+1665000</f>
        <v>2365000</v>
      </c>
      <c r="E186" s="3"/>
      <c r="F186" s="3"/>
      <c r="G186" s="3"/>
      <c r="H186" s="6">
        <f t="shared" si="19"/>
        <v>2365000</v>
      </c>
      <c r="I186" s="6">
        <v>3978286.4</v>
      </c>
      <c r="J186" s="6">
        <v>342.2</v>
      </c>
      <c r="K186" s="6"/>
      <c r="L186" s="6"/>
      <c r="M186" s="6">
        <f t="shared" si="18"/>
        <v>3978628.6</v>
      </c>
      <c r="N186" s="4">
        <f t="shared" si="20"/>
        <v>1.6822953911205074</v>
      </c>
    </row>
    <row r="187" spans="1:14" ht="11.25" customHeight="1" hidden="1">
      <c r="A187" s="77"/>
      <c r="B187" s="123"/>
      <c r="C187" s="15" t="s">
        <v>308</v>
      </c>
      <c r="D187" s="3"/>
      <c r="E187" s="3"/>
      <c r="F187" s="3"/>
      <c r="G187" s="3"/>
      <c r="H187" s="6">
        <f t="shared" si="19"/>
        <v>0</v>
      </c>
      <c r="I187" s="6"/>
      <c r="J187" s="6"/>
      <c r="K187" s="6"/>
      <c r="L187" s="6"/>
      <c r="M187" s="6">
        <f t="shared" si="18"/>
        <v>0</v>
      </c>
      <c r="N187" s="4" t="e">
        <f t="shared" si="20"/>
        <v>#DIV/0!</v>
      </c>
    </row>
    <row r="188" spans="1:14" ht="9.75" customHeight="1">
      <c r="A188" s="77"/>
      <c r="B188" s="123"/>
      <c r="C188" s="15" t="s">
        <v>307</v>
      </c>
      <c r="D188" s="3"/>
      <c r="E188" s="3"/>
      <c r="F188" s="3"/>
      <c r="G188" s="3"/>
      <c r="H188" s="6">
        <f t="shared" si="19"/>
        <v>0</v>
      </c>
      <c r="I188" s="6">
        <v>568.28</v>
      </c>
      <c r="J188" s="6"/>
      <c r="K188" s="6"/>
      <c r="L188" s="6"/>
      <c r="M188" s="6">
        <f t="shared" si="18"/>
        <v>568.28</v>
      </c>
      <c r="N188" s="4"/>
    </row>
    <row r="189" spans="1:14" ht="39" customHeight="1">
      <c r="A189" s="77"/>
      <c r="B189" s="126"/>
      <c r="C189" s="15" t="s">
        <v>279</v>
      </c>
      <c r="D189" s="3">
        <v>5046854</v>
      </c>
      <c r="E189" s="3"/>
      <c r="F189" s="3"/>
      <c r="G189" s="3"/>
      <c r="H189" s="6">
        <f t="shared" si="19"/>
        <v>5046854</v>
      </c>
      <c r="I189" s="6">
        <v>5046854</v>
      </c>
      <c r="J189" s="6"/>
      <c r="K189" s="6"/>
      <c r="L189" s="6"/>
      <c r="M189" s="6">
        <f t="shared" si="18"/>
        <v>5046854</v>
      </c>
      <c r="N189" s="4">
        <f t="shared" si="20"/>
        <v>1</v>
      </c>
    </row>
    <row r="190" spans="1:14" ht="9.75">
      <c r="A190" s="77"/>
      <c r="B190" s="29" t="s">
        <v>150</v>
      </c>
      <c r="C190" s="25"/>
      <c r="D190" s="5">
        <f>SUM(D186:D189)</f>
        <v>7411854</v>
      </c>
      <c r="E190" s="5">
        <f>SUM(E186:E189)</f>
        <v>0</v>
      </c>
      <c r="F190" s="5">
        <f>SUM(F186:F189)</f>
        <v>0</v>
      </c>
      <c r="G190" s="5">
        <f>SUM(G186:G189)</f>
        <v>0</v>
      </c>
      <c r="H190" s="5">
        <f t="shared" si="19"/>
        <v>7411854</v>
      </c>
      <c r="I190" s="5">
        <f>SUM(I186:I189)</f>
        <v>9025708.68</v>
      </c>
      <c r="J190" s="5">
        <f>SUM(J186:J189)</f>
        <v>342.2</v>
      </c>
      <c r="K190" s="5">
        <f>SUM(K186:K189)</f>
        <v>0</v>
      </c>
      <c r="L190" s="5">
        <f>SUM(L186:L189)</f>
        <v>0</v>
      </c>
      <c r="M190" s="5">
        <f t="shared" si="18"/>
        <v>9026050.879999999</v>
      </c>
      <c r="N190" s="24">
        <f t="shared" si="20"/>
        <v>1.2177858441356237</v>
      </c>
    </row>
    <row r="191" spans="1:14" s="9" customFormat="1" ht="9.75" customHeight="1" hidden="1">
      <c r="A191" s="78"/>
      <c r="B191" s="15" t="s">
        <v>201</v>
      </c>
      <c r="C191" s="43" t="s">
        <v>71</v>
      </c>
      <c r="D191" s="12"/>
      <c r="E191" s="12"/>
      <c r="F191" s="12"/>
      <c r="G191" s="12"/>
      <c r="H191" s="6">
        <f t="shared" si="19"/>
        <v>0</v>
      </c>
      <c r="I191" s="6"/>
      <c r="J191" s="12"/>
      <c r="K191" s="12"/>
      <c r="L191" s="12"/>
      <c r="M191" s="6">
        <f t="shared" si="18"/>
        <v>0</v>
      </c>
      <c r="N191" s="4" t="e">
        <f t="shared" si="20"/>
        <v>#DIV/0!</v>
      </c>
    </row>
    <row r="192" spans="1:14" s="9" customFormat="1" ht="9.75" hidden="1">
      <c r="A192" s="78"/>
      <c r="B192" s="15"/>
      <c r="C192" s="15" t="s">
        <v>72</v>
      </c>
      <c r="D192" s="12"/>
      <c r="E192" s="12"/>
      <c r="F192" s="12"/>
      <c r="G192" s="12"/>
      <c r="H192" s="6">
        <f t="shared" si="19"/>
        <v>0</v>
      </c>
      <c r="I192" s="6"/>
      <c r="J192" s="12"/>
      <c r="K192" s="12"/>
      <c r="L192" s="12"/>
      <c r="M192" s="6">
        <f t="shared" si="18"/>
        <v>0</v>
      </c>
      <c r="N192" s="4" t="e">
        <f t="shared" si="20"/>
        <v>#DIV/0!</v>
      </c>
    </row>
    <row r="193" spans="1:14" ht="19.5" customHeight="1">
      <c r="A193" s="77"/>
      <c r="B193" s="15" t="s">
        <v>201</v>
      </c>
      <c r="C193" s="82" t="s">
        <v>203</v>
      </c>
      <c r="D193" s="3"/>
      <c r="E193" s="51"/>
      <c r="F193" s="51"/>
      <c r="G193" s="51"/>
      <c r="H193" s="6">
        <f t="shared" si="19"/>
        <v>0</v>
      </c>
      <c r="I193" s="6">
        <v>2589.65</v>
      </c>
      <c r="J193" s="6"/>
      <c r="K193" s="6"/>
      <c r="L193" s="6"/>
      <c r="M193" s="6">
        <f t="shared" si="18"/>
        <v>2589.65</v>
      </c>
      <c r="N193" s="4"/>
    </row>
    <row r="194" spans="1:14" ht="9.75">
      <c r="A194" s="77"/>
      <c r="B194" s="29" t="s">
        <v>202</v>
      </c>
      <c r="C194" s="25"/>
      <c r="D194" s="5">
        <f>SUM(D193)</f>
        <v>0</v>
      </c>
      <c r="E194" s="5">
        <f>SUM(E193)</f>
        <v>0</v>
      </c>
      <c r="F194" s="5">
        <f>SUM(F193)</f>
        <v>0</v>
      </c>
      <c r="G194" s="5">
        <f>SUM(G193)</f>
        <v>0</v>
      </c>
      <c r="H194" s="5">
        <f t="shared" si="19"/>
        <v>0</v>
      </c>
      <c r="I194" s="5">
        <f>SUM(I191:I193)</f>
        <v>2589.65</v>
      </c>
      <c r="J194" s="5">
        <f>SUM(J191:J193)</f>
        <v>0</v>
      </c>
      <c r="K194" s="5">
        <f>SUM(K191:K193)</f>
        <v>0</v>
      </c>
      <c r="L194" s="5">
        <f>SUM(L191:L193)</f>
        <v>0</v>
      </c>
      <c r="M194" s="5">
        <f t="shared" si="18"/>
        <v>2589.65</v>
      </c>
      <c r="N194" s="24"/>
    </row>
    <row r="195" spans="1:14" s="9" customFormat="1" ht="9.75" customHeight="1">
      <c r="A195" s="78"/>
      <c r="B195" s="134" t="s">
        <v>151</v>
      </c>
      <c r="C195" s="15" t="s">
        <v>74</v>
      </c>
      <c r="D195" s="12"/>
      <c r="E195" s="12"/>
      <c r="F195" s="12"/>
      <c r="G195" s="12"/>
      <c r="H195" s="6">
        <f t="shared" si="19"/>
        <v>0</v>
      </c>
      <c r="I195" s="12"/>
      <c r="J195" s="69">
        <v>1.3</v>
      </c>
      <c r="K195" s="12"/>
      <c r="L195" s="12"/>
      <c r="M195" s="6">
        <f t="shared" si="18"/>
        <v>1.3</v>
      </c>
      <c r="N195" s="4"/>
    </row>
    <row r="196" spans="1:14" ht="38.25" customHeight="1">
      <c r="A196" s="77"/>
      <c r="B196" s="134"/>
      <c r="C196" s="23" t="s">
        <v>148</v>
      </c>
      <c r="D196" s="3"/>
      <c r="E196" s="3">
        <f>1809347-635</f>
        <v>1808712</v>
      </c>
      <c r="F196" s="3"/>
      <c r="G196" s="3"/>
      <c r="H196" s="6">
        <f t="shared" si="19"/>
        <v>1808712</v>
      </c>
      <c r="I196" s="6"/>
      <c r="J196" s="6">
        <v>1808712</v>
      </c>
      <c r="K196" s="6"/>
      <c r="L196" s="6"/>
      <c r="M196" s="6">
        <f t="shared" si="18"/>
        <v>1808712</v>
      </c>
      <c r="N196" s="4">
        <f t="shared" si="20"/>
        <v>1</v>
      </c>
    </row>
    <row r="197" spans="1:14" ht="9.75">
      <c r="A197" s="77"/>
      <c r="B197" s="33" t="s">
        <v>152</v>
      </c>
      <c r="C197" s="30"/>
      <c r="D197" s="5">
        <f>SUM(D195:D196)</f>
        <v>0</v>
      </c>
      <c r="E197" s="5">
        <f>SUM(E195:E196)</f>
        <v>1808712</v>
      </c>
      <c r="F197" s="5">
        <f>SUM(F195:F196)</f>
        <v>0</v>
      </c>
      <c r="G197" s="5">
        <f>SUM(G195:G196)</f>
        <v>0</v>
      </c>
      <c r="H197" s="5">
        <f t="shared" si="19"/>
        <v>1808712</v>
      </c>
      <c r="I197" s="5">
        <f>SUM(I195:I196)</f>
        <v>0</v>
      </c>
      <c r="J197" s="5">
        <f>SUM(J195:J196)</f>
        <v>1808713.3</v>
      </c>
      <c r="K197" s="5">
        <f>SUM(K195:K196)</f>
        <v>0</v>
      </c>
      <c r="L197" s="5">
        <f>SUM(L195:L196)</f>
        <v>0</v>
      </c>
      <c r="M197" s="5">
        <f t="shared" si="18"/>
        <v>1808713.3</v>
      </c>
      <c r="N197" s="24">
        <f t="shared" si="20"/>
        <v>1.0000007187435036</v>
      </c>
    </row>
    <row r="198" spans="1:14" ht="11.25">
      <c r="A198" s="31" t="s">
        <v>36</v>
      </c>
      <c r="B198" s="32"/>
      <c r="C198" s="20"/>
      <c r="D198" s="21">
        <f>SUM(D197,D194,D182,D185,D190)</f>
        <v>79165395</v>
      </c>
      <c r="E198" s="21">
        <f>SUM(E197,E194,E182,E185,E190)</f>
        <v>63596284</v>
      </c>
      <c r="F198" s="21">
        <f>SUM(F197,F194,F182,F185,F190)</f>
        <v>0</v>
      </c>
      <c r="G198" s="21">
        <f>SUM(G197,G194,G182,G185,G190)</f>
        <v>0</v>
      </c>
      <c r="H198" s="21">
        <f t="shared" si="19"/>
        <v>142761679</v>
      </c>
      <c r="I198" s="21">
        <f>SUM(I197,I194,I190,I185,I182)</f>
        <v>80781839.33</v>
      </c>
      <c r="J198" s="21">
        <f>SUM(J197,J194,J190,J185,J182)</f>
        <v>63596627.5</v>
      </c>
      <c r="K198" s="21">
        <f>SUM(K197,K194,K190,K185,K182)</f>
        <v>0</v>
      </c>
      <c r="L198" s="21">
        <f>SUM(L197,L194,L190,L185,L182)</f>
        <v>0</v>
      </c>
      <c r="M198" s="21">
        <f aca="true" t="shared" si="21" ref="M198:M229">SUM(I198:L198)</f>
        <v>144378466.82999998</v>
      </c>
      <c r="N198" s="26">
        <f t="shared" si="20"/>
        <v>1.0113250827625808</v>
      </c>
    </row>
    <row r="199" spans="1:14" ht="11.25" customHeight="1" hidden="1">
      <c r="A199" s="79" t="s">
        <v>37</v>
      </c>
      <c r="B199" s="18" t="s">
        <v>38</v>
      </c>
      <c r="C199" s="15" t="s">
        <v>71</v>
      </c>
      <c r="D199" s="42"/>
      <c r="E199" s="42"/>
      <c r="F199" s="42"/>
      <c r="G199" s="42"/>
      <c r="H199" s="6">
        <f t="shared" si="19"/>
        <v>0</v>
      </c>
      <c r="I199" s="6"/>
      <c r="J199" s="42"/>
      <c r="K199" s="42"/>
      <c r="L199" s="42"/>
      <c r="M199" s="6">
        <f t="shared" si="21"/>
        <v>0</v>
      </c>
      <c r="N199" s="4" t="e">
        <f t="shared" si="20"/>
        <v>#DIV/0!</v>
      </c>
    </row>
    <row r="200" spans="1:14" ht="60" customHeight="1">
      <c r="A200" s="79" t="s">
        <v>37</v>
      </c>
      <c r="B200" s="18" t="s">
        <v>38</v>
      </c>
      <c r="C200" s="15" t="s">
        <v>104</v>
      </c>
      <c r="D200" s="3">
        <f>96488+7506+5371</f>
        <v>109365</v>
      </c>
      <c r="E200" s="3"/>
      <c r="F200" s="3"/>
      <c r="G200" s="3"/>
      <c r="H200" s="6">
        <f t="shared" si="19"/>
        <v>109365</v>
      </c>
      <c r="I200" s="6">
        <v>117426.02</v>
      </c>
      <c r="J200" s="6"/>
      <c r="K200" s="6"/>
      <c r="L200" s="6"/>
      <c r="M200" s="6">
        <f t="shared" si="21"/>
        <v>117426.02</v>
      </c>
      <c r="N200" s="7">
        <f t="shared" si="20"/>
        <v>1.0737074932565263</v>
      </c>
    </row>
    <row r="201" spans="1:14" ht="10.5" customHeight="1" hidden="1">
      <c r="A201" s="62"/>
      <c r="B201" s="23"/>
      <c r="C201" s="15" t="s">
        <v>190</v>
      </c>
      <c r="D201" s="3"/>
      <c r="E201" s="3"/>
      <c r="F201" s="3"/>
      <c r="G201" s="3"/>
      <c r="H201" s="6">
        <f t="shared" si="19"/>
        <v>0</v>
      </c>
      <c r="I201" s="6"/>
      <c r="J201" s="6"/>
      <c r="K201" s="6"/>
      <c r="L201" s="6"/>
      <c r="M201" s="6">
        <f t="shared" si="21"/>
        <v>0</v>
      </c>
      <c r="N201" s="7" t="e">
        <f t="shared" si="20"/>
        <v>#DIV/0!</v>
      </c>
    </row>
    <row r="202" spans="1:14" ht="9" customHeight="1">
      <c r="A202" s="62"/>
      <c r="B202" s="23"/>
      <c r="C202" s="15" t="s">
        <v>72</v>
      </c>
      <c r="D202" s="3">
        <v>241875</v>
      </c>
      <c r="E202" s="3"/>
      <c r="F202" s="3"/>
      <c r="G202" s="3"/>
      <c r="H202" s="6">
        <f>SUM(D202:G202)</f>
        <v>241875</v>
      </c>
      <c r="I202" s="6">
        <v>346354.37</v>
      </c>
      <c r="J202" s="6"/>
      <c r="K202" s="6"/>
      <c r="L202" s="6"/>
      <c r="M202" s="6">
        <f t="shared" si="21"/>
        <v>346354.37</v>
      </c>
      <c r="N202" s="7">
        <f t="shared" si="20"/>
        <v>1.4319560516795866</v>
      </c>
    </row>
    <row r="203" spans="1:14" ht="10.5" customHeight="1">
      <c r="A203" s="62"/>
      <c r="B203" s="23"/>
      <c r="C203" s="15" t="s">
        <v>307</v>
      </c>
      <c r="D203" s="3"/>
      <c r="E203" s="3"/>
      <c r="F203" s="3"/>
      <c r="G203" s="3"/>
      <c r="H203" s="6">
        <f>SUM(D203:G203)</f>
        <v>0</v>
      </c>
      <c r="I203" s="6">
        <v>121.1</v>
      </c>
      <c r="J203" s="6"/>
      <c r="K203" s="6"/>
      <c r="L203" s="6"/>
      <c r="M203" s="6">
        <f t="shared" si="21"/>
        <v>121.1</v>
      </c>
      <c r="N203" s="7"/>
    </row>
    <row r="204" spans="1:14" ht="19.5" customHeight="1" hidden="1">
      <c r="A204" s="62"/>
      <c r="B204" s="23"/>
      <c r="C204" s="15" t="s">
        <v>204</v>
      </c>
      <c r="D204" s="3"/>
      <c r="E204" s="3"/>
      <c r="F204" s="3"/>
      <c r="G204" s="3"/>
      <c r="H204" s="6">
        <f aca="true" t="shared" si="22" ref="H204:H267">SUM(D204:G204)</f>
        <v>0</v>
      </c>
      <c r="I204" s="6"/>
      <c r="J204" s="6"/>
      <c r="K204" s="6"/>
      <c r="L204" s="6"/>
      <c r="M204" s="6">
        <f t="shared" si="21"/>
        <v>0</v>
      </c>
      <c r="N204" s="7" t="e">
        <f t="shared" si="20"/>
        <v>#DIV/0!</v>
      </c>
    </row>
    <row r="205" spans="1:14" ht="11.25" customHeight="1">
      <c r="A205" s="62"/>
      <c r="B205" s="23"/>
      <c r="C205" s="15" t="s">
        <v>74</v>
      </c>
      <c r="D205" s="3">
        <v>1967406</v>
      </c>
      <c r="E205" s="3"/>
      <c r="F205" s="3"/>
      <c r="G205" s="3"/>
      <c r="H205" s="6">
        <f t="shared" si="22"/>
        <v>1967406</v>
      </c>
      <c r="I205" s="6">
        <v>1988799.95</v>
      </c>
      <c r="J205" s="6"/>
      <c r="K205" s="6"/>
      <c r="L205" s="6"/>
      <c r="M205" s="6">
        <f t="shared" si="21"/>
        <v>1988799.95</v>
      </c>
      <c r="N205" s="7">
        <f>M205/H205</f>
        <v>1.0108741917021702</v>
      </c>
    </row>
    <row r="206" spans="1:14" ht="39" customHeight="1">
      <c r="A206" s="62"/>
      <c r="B206" s="23"/>
      <c r="C206" s="15" t="s">
        <v>101</v>
      </c>
      <c r="D206" s="3">
        <f>18397+127194</f>
        <v>145591</v>
      </c>
      <c r="E206" s="3"/>
      <c r="F206" s="3"/>
      <c r="G206" s="3"/>
      <c r="H206" s="6">
        <f t="shared" si="22"/>
        <v>145591</v>
      </c>
      <c r="I206" s="6">
        <v>77383.77</v>
      </c>
      <c r="J206" s="6"/>
      <c r="K206" s="6"/>
      <c r="L206" s="6"/>
      <c r="M206" s="6">
        <f t="shared" si="21"/>
        <v>77383.77</v>
      </c>
      <c r="N206" s="7">
        <f>M206/H206</f>
        <v>0.5315147914362839</v>
      </c>
    </row>
    <row r="207" spans="1:14" ht="21" customHeight="1" hidden="1">
      <c r="A207" s="62"/>
      <c r="B207" s="23"/>
      <c r="C207" s="15" t="s">
        <v>299</v>
      </c>
      <c r="D207" s="3"/>
      <c r="E207" s="3"/>
      <c r="F207" s="3"/>
      <c r="G207" s="3"/>
      <c r="H207" s="6">
        <f t="shared" si="22"/>
        <v>0</v>
      </c>
      <c r="I207" s="6"/>
      <c r="J207" s="6"/>
      <c r="K207" s="6"/>
      <c r="L207" s="6"/>
      <c r="M207" s="6">
        <f t="shared" si="21"/>
        <v>0</v>
      </c>
      <c r="N207" s="7"/>
    </row>
    <row r="208" spans="1:14" ht="21" customHeight="1" hidden="1">
      <c r="A208" s="62"/>
      <c r="B208" s="23"/>
      <c r="C208" s="15" t="s">
        <v>200</v>
      </c>
      <c r="D208" s="3"/>
      <c r="E208" s="3"/>
      <c r="F208" s="3"/>
      <c r="G208" s="3"/>
      <c r="H208" s="6">
        <f t="shared" si="22"/>
        <v>0</v>
      </c>
      <c r="I208" s="6"/>
      <c r="J208" s="6"/>
      <c r="K208" s="6"/>
      <c r="L208" s="6"/>
      <c r="M208" s="6">
        <f t="shared" si="21"/>
        <v>0</v>
      </c>
      <c r="N208" s="7"/>
    </row>
    <row r="209" spans="1:14" ht="48.75" customHeight="1">
      <c r="A209" s="62"/>
      <c r="B209" s="14"/>
      <c r="C209" s="15" t="s">
        <v>306</v>
      </c>
      <c r="D209" s="3">
        <f>6277+28829+10438</f>
        <v>45544</v>
      </c>
      <c r="E209" s="3"/>
      <c r="F209" s="3"/>
      <c r="G209" s="3"/>
      <c r="H209" s="6">
        <f t="shared" si="22"/>
        <v>45544</v>
      </c>
      <c r="I209" s="6">
        <v>29628.65</v>
      </c>
      <c r="J209" s="6"/>
      <c r="K209" s="6"/>
      <c r="L209" s="6"/>
      <c r="M209" s="6">
        <f t="shared" si="21"/>
        <v>29628.65</v>
      </c>
      <c r="N209" s="7">
        <f>M209/H209</f>
        <v>0.6505500175654313</v>
      </c>
    </row>
    <row r="210" spans="1:14" ht="9.75">
      <c r="A210" s="77"/>
      <c r="B210" s="29" t="s">
        <v>153</v>
      </c>
      <c r="C210" s="25"/>
      <c r="D210" s="5">
        <f>SUM(D199:D209)</f>
        <v>2509781</v>
      </c>
      <c r="E210" s="5">
        <f>SUM(E199:E209)</f>
        <v>0</v>
      </c>
      <c r="F210" s="5">
        <f>SUM(F199:F209)</f>
        <v>0</v>
      </c>
      <c r="G210" s="5">
        <f>SUM(G199:G209)</f>
        <v>0</v>
      </c>
      <c r="H210" s="5">
        <f t="shared" si="22"/>
        <v>2509781</v>
      </c>
      <c r="I210" s="5">
        <f>SUM(I199:I209)</f>
        <v>2559713.86</v>
      </c>
      <c r="J210" s="5">
        <f>SUM(J199:J209)</f>
        <v>0</v>
      </c>
      <c r="K210" s="5">
        <f>SUM(K199:K209)</f>
        <v>0</v>
      </c>
      <c r="L210" s="5">
        <f>SUM(L199:L209)</f>
        <v>0</v>
      </c>
      <c r="M210" s="5">
        <f t="shared" si="21"/>
        <v>2559713.86</v>
      </c>
      <c r="N210" s="24">
        <f>M210/H210</f>
        <v>1.0198953056063458</v>
      </c>
    </row>
    <row r="211" spans="1:14" ht="48.75" customHeight="1">
      <c r="A211" s="77"/>
      <c r="B211" s="122" t="s">
        <v>39</v>
      </c>
      <c r="C211" s="15" t="s">
        <v>104</v>
      </c>
      <c r="D211" s="3"/>
      <c r="E211" s="3"/>
      <c r="F211" s="3"/>
      <c r="G211" s="3"/>
      <c r="H211" s="6">
        <f t="shared" si="22"/>
        <v>0</v>
      </c>
      <c r="I211" s="12"/>
      <c r="J211" s="6">
        <v>1120.32</v>
      </c>
      <c r="K211" s="12"/>
      <c r="L211" s="12"/>
      <c r="M211" s="6">
        <f t="shared" si="21"/>
        <v>1120.32</v>
      </c>
      <c r="N211" s="7"/>
    </row>
    <row r="212" spans="1:14" ht="9.75" hidden="1">
      <c r="A212" s="77"/>
      <c r="B212" s="123"/>
      <c r="C212" s="15" t="s">
        <v>190</v>
      </c>
      <c r="D212" s="3"/>
      <c r="E212" s="3"/>
      <c r="F212" s="3"/>
      <c r="G212" s="3"/>
      <c r="H212" s="6">
        <f t="shared" si="22"/>
        <v>0</v>
      </c>
      <c r="I212" s="12"/>
      <c r="J212" s="12"/>
      <c r="K212" s="12"/>
      <c r="L212" s="12"/>
      <c r="M212" s="6">
        <f t="shared" si="21"/>
        <v>0</v>
      </c>
      <c r="N212" s="7" t="e">
        <f>M212/H212</f>
        <v>#DIV/0!</v>
      </c>
    </row>
    <row r="213" spans="1:14" ht="11.25" customHeight="1">
      <c r="A213" s="77"/>
      <c r="B213" s="123"/>
      <c r="C213" s="15" t="s">
        <v>72</v>
      </c>
      <c r="D213" s="3"/>
      <c r="E213" s="3"/>
      <c r="F213" s="3"/>
      <c r="G213" s="3"/>
      <c r="H213" s="6">
        <f t="shared" si="22"/>
        <v>0</v>
      </c>
      <c r="I213" s="12"/>
      <c r="J213" s="6">
        <v>1920.76</v>
      </c>
      <c r="K213" s="12"/>
      <c r="L213" s="12"/>
      <c r="M213" s="6">
        <f t="shared" si="21"/>
        <v>1920.76</v>
      </c>
      <c r="N213" s="7"/>
    </row>
    <row r="214" spans="1:14" ht="19.5" hidden="1">
      <c r="A214" s="77"/>
      <c r="B214" s="126"/>
      <c r="C214" s="15" t="s">
        <v>200</v>
      </c>
      <c r="D214" s="3"/>
      <c r="E214" s="3"/>
      <c r="F214" s="3"/>
      <c r="G214" s="3"/>
      <c r="H214" s="6">
        <f t="shared" si="22"/>
        <v>0</v>
      </c>
      <c r="I214" s="12"/>
      <c r="J214" s="6"/>
      <c r="K214" s="12"/>
      <c r="L214" s="12"/>
      <c r="M214" s="6">
        <f t="shared" si="21"/>
        <v>0</v>
      </c>
      <c r="N214" s="4"/>
    </row>
    <row r="215" spans="1:14" ht="9.75">
      <c r="A215" s="77"/>
      <c r="B215" s="29" t="s">
        <v>154</v>
      </c>
      <c r="C215" s="25"/>
      <c r="D215" s="5">
        <f>SUM(D211:D214)</f>
        <v>0</v>
      </c>
      <c r="E215" s="5">
        <f>SUM(E211:E214)</f>
        <v>0</v>
      </c>
      <c r="F215" s="5">
        <f>SUM(F211:F214)</f>
        <v>0</v>
      </c>
      <c r="G215" s="5">
        <f>SUM(G211:G214)</f>
        <v>0</v>
      </c>
      <c r="H215" s="5">
        <f t="shared" si="22"/>
        <v>0</v>
      </c>
      <c r="I215" s="5">
        <f>SUM(I211:I214)</f>
        <v>0</v>
      </c>
      <c r="J215" s="5">
        <f>SUM(J211:J214)</f>
        <v>3041.08</v>
      </c>
      <c r="K215" s="5">
        <f>SUM(K211:K214)</f>
        <v>0</v>
      </c>
      <c r="L215" s="5">
        <f>SUM(L211:L214)</f>
        <v>0</v>
      </c>
      <c r="M215" s="5">
        <f t="shared" si="21"/>
        <v>3041.08</v>
      </c>
      <c r="N215" s="24"/>
    </row>
    <row r="216" spans="1:14" ht="48.75" customHeight="1">
      <c r="A216" s="77"/>
      <c r="B216" s="122" t="s">
        <v>205</v>
      </c>
      <c r="C216" s="15" t="s">
        <v>104</v>
      </c>
      <c r="D216" s="3">
        <f>736+18893+6868+16618</f>
        <v>43115</v>
      </c>
      <c r="E216" s="3"/>
      <c r="F216" s="3"/>
      <c r="G216" s="3"/>
      <c r="H216" s="6">
        <f t="shared" si="22"/>
        <v>43115</v>
      </c>
      <c r="I216" s="6">
        <v>85296.64</v>
      </c>
      <c r="J216" s="12"/>
      <c r="K216" s="12"/>
      <c r="L216" s="12"/>
      <c r="M216" s="6">
        <f t="shared" si="21"/>
        <v>85296.64</v>
      </c>
      <c r="N216" s="4">
        <f aca="true" t="shared" si="23" ref="N216:N246">M216/H216</f>
        <v>1.9783518497042791</v>
      </c>
    </row>
    <row r="217" spans="1:14" ht="9.75" customHeight="1">
      <c r="A217" s="77"/>
      <c r="B217" s="123"/>
      <c r="C217" s="15" t="s">
        <v>72</v>
      </c>
      <c r="D217" s="3"/>
      <c r="E217" s="3"/>
      <c r="F217" s="3"/>
      <c r="G217" s="3"/>
      <c r="H217" s="6">
        <f t="shared" si="22"/>
        <v>0</v>
      </c>
      <c r="I217" s="6">
        <v>21894.19</v>
      </c>
      <c r="J217" s="12"/>
      <c r="K217" s="12"/>
      <c r="L217" s="12"/>
      <c r="M217" s="6">
        <f t="shared" si="21"/>
        <v>21894.19</v>
      </c>
      <c r="N217" s="4"/>
    </row>
    <row r="218" spans="1:14" ht="9.75" customHeight="1">
      <c r="A218" s="77"/>
      <c r="B218" s="123"/>
      <c r="C218" s="15" t="s">
        <v>307</v>
      </c>
      <c r="D218" s="3"/>
      <c r="E218" s="3"/>
      <c r="F218" s="3"/>
      <c r="G218" s="3"/>
      <c r="H218" s="6">
        <f t="shared" si="22"/>
        <v>0</v>
      </c>
      <c r="I218" s="6">
        <v>152.51</v>
      </c>
      <c r="J218" s="12"/>
      <c r="K218" s="12"/>
      <c r="L218" s="12"/>
      <c r="M218" s="6">
        <f t="shared" si="21"/>
        <v>152.51</v>
      </c>
      <c r="N218" s="4"/>
    </row>
    <row r="219" spans="1:14" ht="9.75" customHeight="1">
      <c r="A219" s="77"/>
      <c r="B219" s="123"/>
      <c r="C219" s="15" t="s">
        <v>74</v>
      </c>
      <c r="D219" s="3"/>
      <c r="E219" s="3"/>
      <c r="F219" s="3"/>
      <c r="G219" s="3"/>
      <c r="H219" s="6">
        <f t="shared" si="22"/>
        <v>0</v>
      </c>
      <c r="I219" s="6">
        <v>290.44</v>
      </c>
      <c r="J219" s="12"/>
      <c r="K219" s="12"/>
      <c r="L219" s="12"/>
      <c r="M219" s="6">
        <f t="shared" si="21"/>
        <v>290.44</v>
      </c>
      <c r="N219" s="4"/>
    </row>
    <row r="220" spans="1:14" ht="9.75" customHeight="1" hidden="1">
      <c r="A220" s="77"/>
      <c r="B220" s="123"/>
      <c r="C220" s="15" t="s">
        <v>315</v>
      </c>
      <c r="D220" s="3"/>
      <c r="E220" s="3"/>
      <c r="F220" s="3"/>
      <c r="G220" s="3"/>
      <c r="H220" s="6">
        <f t="shared" si="22"/>
        <v>0</v>
      </c>
      <c r="J220" s="12"/>
      <c r="K220" s="12"/>
      <c r="L220" s="12"/>
      <c r="M220" s="6">
        <f t="shared" si="21"/>
        <v>0</v>
      </c>
      <c r="N220" s="4" t="e">
        <f t="shared" si="23"/>
        <v>#DIV/0!</v>
      </c>
    </row>
    <row r="221" spans="1:14" ht="49.5" customHeight="1">
      <c r="A221" s="77"/>
      <c r="B221" s="123"/>
      <c r="C221" s="15" t="s">
        <v>230</v>
      </c>
      <c r="D221" s="3">
        <v>78420</v>
      </c>
      <c r="E221" s="3"/>
      <c r="F221" s="3"/>
      <c r="G221" s="3"/>
      <c r="H221" s="6">
        <f t="shared" si="22"/>
        <v>78420</v>
      </c>
      <c r="I221" s="6">
        <v>56368.5</v>
      </c>
      <c r="J221" s="12"/>
      <c r="K221" s="12"/>
      <c r="L221" s="12"/>
      <c r="M221" s="6">
        <f t="shared" si="21"/>
        <v>56368.5</v>
      </c>
      <c r="N221" s="4">
        <f t="shared" si="23"/>
        <v>0.7188026013771996</v>
      </c>
    </row>
    <row r="222" spans="1:14" ht="39" customHeight="1" hidden="1">
      <c r="A222" s="77"/>
      <c r="B222" s="123"/>
      <c r="C222" s="15" t="s">
        <v>83</v>
      </c>
      <c r="D222" s="3"/>
      <c r="E222" s="3"/>
      <c r="F222" s="3"/>
      <c r="G222" s="3"/>
      <c r="H222" s="6">
        <f t="shared" si="22"/>
        <v>0</v>
      </c>
      <c r="I222" s="6"/>
      <c r="J222" s="6"/>
      <c r="K222" s="12"/>
      <c r="L222" s="12"/>
      <c r="M222" s="6">
        <f t="shared" si="21"/>
        <v>0</v>
      </c>
      <c r="N222" s="4" t="e">
        <f t="shared" si="23"/>
        <v>#DIV/0!</v>
      </c>
    </row>
    <row r="223" spans="1:14" ht="29.25" customHeight="1" hidden="1">
      <c r="A223" s="77"/>
      <c r="B223" s="123"/>
      <c r="C223" s="15" t="s">
        <v>207</v>
      </c>
      <c r="D223" s="3"/>
      <c r="E223" s="3"/>
      <c r="F223" s="3"/>
      <c r="G223" s="3"/>
      <c r="H223" s="6">
        <f t="shared" si="22"/>
        <v>0</v>
      </c>
      <c r="I223" s="6"/>
      <c r="J223" s="12"/>
      <c r="K223" s="12"/>
      <c r="L223" s="12"/>
      <c r="M223" s="6">
        <f t="shared" si="21"/>
        <v>0</v>
      </c>
      <c r="N223" s="4" t="e">
        <f t="shared" si="23"/>
        <v>#DIV/0!</v>
      </c>
    </row>
    <row r="224" spans="1:14" ht="48" customHeight="1">
      <c r="A224" s="77"/>
      <c r="B224" s="126"/>
      <c r="C224" s="15" t="s">
        <v>306</v>
      </c>
      <c r="D224" s="3">
        <f>3601+12418-3601</f>
        <v>12418</v>
      </c>
      <c r="E224" s="3"/>
      <c r="F224" s="3"/>
      <c r="G224" s="3"/>
      <c r="H224" s="6">
        <f t="shared" si="22"/>
        <v>12418</v>
      </c>
      <c r="I224" s="6">
        <v>11915.55</v>
      </c>
      <c r="J224" s="12"/>
      <c r="K224" s="12"/>
      <c r="L224" s="12"/>
      <c r="M224" s="6">
        <f t="shared" si="21"/>
        <v>11915.55</v>
      </c>
      <c r="N224" s="4">
        <f t="shared" si="23"/>
        <v>0.9595385730391367</v>
      </c>
    </row>
    <row r="225" spans="1:14" ht="9.75" customHeight="1">
      <c r="A225" s="77"/>
      <c r="B225" s="29" t="s">
        <v>206</v>
      </c>
      <c r="C225" s="25"/>
      <c r="D225" s="5">
        <f>SUM(D216:D224)</f>
        <v>133953</v>
      </c>
      <c r="E225" s="5">
        <f>SUM(E216:E224)</f>
        <v>0</v>
      </c>
      <c r="F225" s="5">
        <f>SUM(F216:F224)</f>
        <v>0</v>
      </c>
      <c r="G225" s="5">
        <f>SUM(G216:G224)</f>
        <v>0</v>
      </c>
      <c r="H225" s="5">
        <f t="shared" si="22"/>
        <v>133953</v>
      </c>
      <c r="I225" s="5">
        <f>SUM(I216:I224)</f>
        <v>175917.83</v>
      </c>
      <c r="J225" s="5">
        <f>SUM(J216:J224)</f>
        <v>0</v>
      </c>
      <c r="K225" s="5">
        <f>SUM(K216:K224)</f>
        <v>0</v>
      </c>
      <c r="L225" s="5">
        <f>SUM(L216:L224)</f>
        <v>0</v>
      </c>
      <c r="M225" s="5">
        <f t="shared" si="21"/>
        <v>175917.83</v>
      </c>
      <c r="N225" s="24">
        <f t="shared" si="23"/>
        <v>1.3132802550148186</v>
      </c>
    </row>
    <row r="226" spans="1:14" s="9" customFormat="1" ht="10.5" customHeight="1">
      <c r="A226" s="78"/>
      <c r="B226" s="122" t="s">
        <v>40</v>
      </c>
      <c r="C226" s="15" t="s">
        <v>71</v>
      </c>
      <c r="D226" s="12"/>
      <c r="E226" s="12"/>
      <c r="F226" s="12"/>
      <c r="G226" s="12"/>
      <c r="H226" s="6">
        <f t="shared" si="22"/>
        <v>0</v>
      </c>
      <c r="I226" s="69">
        <v>879.31</v>
      </c>
      <c r="J226" s="12"/>
      <c r="K226" s="12"/>
      <c r="L226" s="12"/>
      <c r="M226" s="6">
        <f t="shared" si="21"/>
        <v>879.31</v>
      </c>
      <c r="N226" s="4"/>
    </row>
    <row r="227" spans="1:14" ht="60" customHeight="1">
      <c r="A227" s="77"/>
      <c r="B227" s="123"/>
      <c r="C227" s="23" t="s">
        <v>104</v>
      </c>
      <c r="D227" s="3">
        <f>8095+9514</f>
        <v>17609</v>
      </c>
      <c r="E227" s="3"/>
      <c r="F227" s="3"/>
      <c r="G227" s="3"/>
      <c r="H227" s="6">
        <f t="shared" si="22"/>
        <v>17609</v>
      </c>
      <c r="I227" s="6">
        <v>19716.62</v>
      </c>
      <c r="J227" s="6"/>
      <c r="K227" s="6"/>
      <c r="L227" s="6"/>
      <c r="M227" s="6">
        <f t="shared" si="21"/>
        <v>19716.62</v>
      </c>
      <c r="N227" s="4">
        <f t="shared" si="23"/>
        <v>1.1196899312851383</v>
      </c>
    </row>
    <row r="228" spans="1:14" ht="9" customHeight="1" hidden="1">
      <c r="A228" s="77"/>
      <c r="B228" s="123"/>
      <c r="C228" s="15" t="s">
        <v>190</v>
      </c>
      <c r="D228" s="3"/>
      <c r="E228" s="3"/>
      <c r="F228" s="3"/>
      <c r="G228" s="3"/>
      <c r="H228" s="6">
        <f t="shared" si="22"/>
        <v>0</v>
      </c>
      <c r="I228" s="6"/>
      <c r="J228" s="6"/>
      <c r="K228" s="6"/>
      <c r="L228" s="6"/>
      <c r="M228" s="6">
        <f t="shared" si="21"/>
        <v>0</v>
      </c>
      <c r="N228" s="4" t="e">
        <f t="shared" si="23"/>
        <v>#DIV/0!</v>
      </c>
    </row>
    <row r="229" spans="1:14" ht="10.5" customHeight="1">
      <c r="A229" s="77"/>
      <c r="B229" s="123"/>
      <c r="C229" s="15" t="s">
        <v>72</v>
      </c>
      <c r="D229" s="3"/>
      <c r="E229" s="3"/>
      <c r="F229" s="3"/>
      <c r="G229" s="3"/>
      <c r="H229" s="6">
        <f t="shared" si="22"/>
        <v>0</v>
      </c>
      <c r="I229" s="6">
        <v>28993.3</v>
      </c>
      <c r="J229" s="6"/>
      <c r="K229" s="6"/>
      <c r="L229" s="6"/>
      <c r="M229" s="6">
        <f t="shared" si="21"/>
        <v>28993.3</v>
      </c>
      <c r="N229" s="4"/>
    </row>
    <row r="230" spans="1:14" ht="10.5" customHeight="1">
      <c r="A230" s="77"/>
      <c r="B230" s="123"/>
      <c r="C230" s="15" t="s">
        <v>307</v>
      </c>
      <c r="D230" s="3"/>
      <c r="E230" s="3"/>
      <c r="F230" s="3"/>
      <c r="G230" s="3"/>
      <c r="H230" s="6">
        <f t="shared" si="22"/>
        <v>0</v>
      </c>
      <c r="I230" s="6">
        <v>24.03</v>
      </c>
      <c r="J230" s="6"/>
      <c r="K230" s="6"/>
      <c r="L230" s="6"/>
      <c r="M230" s="6">
        <f aca="true" t="shared" si="24" ref="M230:M255">SUM(I230:L230)</f>
        <v>24.03</v>
      </c>
      <c r="N230" s="4"/>
    </row>
    <row r="231" spans="1:14" ht="10.5" customHeight="1" hidden="1">
      <c r="A231" s="77"/>
      <c r="B231" s="123"/>
      <c r="C231" s="15" t="s">
        <v>204</v>
      </c>
      <c r="D231" s="3"/>
      <c r="E231" s="3"/>
      <c r="F231" s="3"/>
      <c r="G231" s="3"/>
      <c r="H231" s="6">
        <f t="shared" si="22"/>
        <v>0</v>
      </c>
      <c r="I231" s="6"/>
      <c r="J231" s="6"/>
      <c r="K231" s="6"/>
      <c r="L231" s="6"/>
      <c r="M231" s="6">
        <f t="shared" si="24"/>
        <v>0</v>
      </c>
      <c r="N231" s="4"/>
    </row>
    <row r="232" spans="1:14" ht="9" customHeight="1">
      <c r="A232" s="77"/>
      <c r="B232" s="123"/>
      <c r="C232" s="15" t="s">
        <v>74</v>
      </c>
      <c r="D232" s="3"/>
      <c r="E232" s="3"/>
      <c r="F232" s="3"/>
      <c r="G232" s="3"/>
      <c r="H232" s="6">
        <f t="shared" si="22"/>
        <v>0</v>
      </c>
      <c r="I232" s="6">
        <v>1054.05</v>
      </c>
      <c r="J232" s="6"/>
      <c r="K232" s="6"/>
      <c r="L232" s="6"/>
      <c r="M232" s="6">
        <f t="shared" si="24"/>
        <v>1054.05</v>
      </c>
      <c r="N232" s="4"/>
    </row>
    <row r="233" spans="1:14" ht="21" customHeight="1" hidden="1">
      <c r="A233" s="77"/>
      <c r="B233" s="123"/>
      <c r="C233" s="15" t="s">
        <v>200</v>
      </c>
      <c r="D233" s="3"/>
      <c r="E233" s="3"/>
      <c r="F233" s="3"/>
      <c r="G233" s="3"/>
      <c r="H233" s="6">
        <f t="shared" si="22"/>
        <v>0</v>
      </c>
      <c r="I233" s="6"/>
      <c r="J233" s="6"/>
      <c r="K233" s="6"/>
      <c r="L233" s="6"/>
      <c r="M233" s="6">
        <f t="shared" si="24"/>
        <v>0</v>
      </c>
      <c r="N233" s="4" t="e">
        <f t="shared" si="23"/>
        <v>#DIV/0!</v>
      </c>
    </row>
    <row r="234" spans="1:14" ht="51.75" customHeight="1">
      <c r="A234" s="77"/>
      <c r="B234" s="126"/>
      <c r="C234" s="15" t="s">
        <v>306</v>
      </c>
      <c r="D234" s="3">
        <v>17530</v>
      </c>
      <c r="E234" s="3"/>
      <c r="F234" s="3"/>
      <c r="G234" s="3"/>
      <c r="H234" s="6">
        <f t="shared" si="22"/>
        <v>17530</v>
      </c>
      <c r="I234" s="6">
        <v>16821.11</v>
      </c>
      <c r="J234" s="6"/>
      <c r="K234" s="6"/>
      <c r="L234" s="6"/>
      <c r="M234" s="6">
        <f t="shared" si="24"/>
        <v>16821.11</v>
      </c>
      <c r="N234" s="4">
        <f t="shared" si="23"/>
        <v>0.959561323445522</v>
      </c>
    </row>
    <row r="235" spans="1:14" ht="9" customHeight="1">
      <c r="A235" s="77"/>
      <c r="B235" s="29" t="s">
        <v>155</v>
      </c>
      <c r="C235" s="25"/>
      <c r="D235" s="5">
        <f>SUM(D226:D234)</f>
        <v>35139</v>
      </c>
      <c r="E235" s="5">
        <f>SUM(E226:E234)</f>
        <v>0</v>
      </c>
      <c r="F235" s="5">
        <f>SUM(F226:F234)</f>
        <v>0</v>
      </c>
      <c r="G235" s="5">
        <f>SUM(G226:G234)</f>
        <v>0</v>
      </c>
      <c r="H235" s="5">
        <f t="shared" si="22"/>
        <v>35139</v>
      </c>
      <c r="I235" s="5">
        <f>SUM(I226:I234)</f>
        <v>67488.42</v>
      </c>
      <c r="J235" s="5">
        <f>SUM(J226:J233)</f>
        <v>0</v>
      </c>
      <c r="K235" s="5">
        <f>SUM(K226:K233)</f>
        <v>0</v>
      </c>
      <c r="L235" s="5">
        <f>SUM(L226:L233)</f>
        <v>0</v>
      </c>
      <c r="M235" s="5">
        <f t="shared" si="24"/>
        <v>67488.42</v>
      </c>
      <c r="N235" s="24">
        <f t="shared" si="23"/>
        <v>1.9206129941091095</v>
      </c>
    </row>
    <row r="236" spans="1:14" ht="49.5" customHeight="1">
      <c r="A236" s="77"/>
      <c r="B236" s="122" t="s">
        <v>41</v>
      </c>
      <c r="C236" s="15" t="s">
        <v>104</v>
      </c>
      <c r="D236" s="3"/>
      <c r="E236" s="3">
        <f>11700+10004</f>
        <v>21704</v>
      </c>
      <c r="F236" s="3"/>
      <c r="G236" s="3"/>
      <c r="H236" s="6">
        <f t="shared" si="22"/>
        <v>21704</v>
      </c>
      <c r="I236" s="6"/>
      <c r="J236" s="6">
        <v>22547.33</v>
      </c>
      <c r="K236" s="6"/>
      <c r="L236" s="6"/>
      <c r="M236" s="6">
        <f t="shared" si="24"/>
        <v>22547.33</v>
      </c>
      <c r="N236" s="4">
        <f t="shared" si="23"/>
        <v>1.0388559712495393</v>
      </c>
    </row>
    <row r="237" spans="1:14" ht="9.75" customHeight="1" hidden="1">
      <c r="A237" s="77"/>
      <c r="B237" s="123"/>
      <c r="C237" s="15" t="s">
        <v>190</v>
      </c>
      <c r="D237" s="3"/>
      <c r="E237" s="3"/>
      <c r="F237" s="3"/>
      <c r="G237" s="3"/>
      <c r="H237" s="6">
        <f t="shared" si="22"/>
        <v>0</v>
      </c>
      <c r="I237" s="6"/>
      <c r="J237" s="6"/>
      <c r="K237" s="6"/>
      <c r="L237" s="6"/>
      <c r="M237" s="6">
        <f t="shared" si="24"/>
        <v>0</v>
      </c>
      <c r="N237" s="4" t="e">
        <f t="shared" si="23"/>
        <v>#DIV/0!</v>
      </c>
    </row>
    <row r="238" spans="1:14" ht="9.75">
      <c r="A238" s="77"/>
      <c r="B238" s="123"/>
      <c r="C238" s="15" t="s">
        <v>72</v>
      </c>
      <c r="D238" s="3"/>
      <c r="E238" s="3"/>
      <c r="F238" s="3"/>
      <c r="G238" s="3"/>
      <c r="H238" s="6">
        <f t="shared" si="22"/>
        <v>0</v>
      </c>
      <c r="I238" s="6"/>
      <c r="J238" s="6">
        <v>30714.4</v>
      </c>
      <c r="K238" s="6"/>
      <c r="L238" s="6"/>
      <c r="M238" s="6">
        <f t="shared" si="24"/>
        <v>30714.4</v>
      </c>
      <c r="N238" s="4"/>
    </row>
    <row r="239" spans="1:14" ht="9.75">
      <c r="A239" s="77"/>
      <c r="B239" s="123"/>
      <c r="C239" s="15" t="s">
        <v>307</v>
      </c>
      <c r="D239" s="3"/>
      <c r="E239" s="3"/>
      <c r="F239" s="3"/>
      <c r="G239" s="3"/>
      <c r="H239" s="6">
        <f t="shared" si="22"/>
        <v>0</v>
      </c>
      <c r="I239" s="6"/>
      <c r="J239" s="6">
        <v>347.46</v>
      </c>
      <c r="K239" s="6"/>
      <c r="L239" s="6"/>
      <c r="M239" s="6">
        <f t="shared" si="24"/>
        <v>347.46</v>
      </c>
      <c r="N239" s="4"/>
    </row>
    <row r="240" spans="1:14" ht="19.5" hidden="1">
      <c r="A240" s="77"/>
      <c r="B240" s="123"/>
      <c r="C240" s="15" t="s">
        <v>204</v>
      </c>
      <c r="D240" s="3"/>
      <c r="E240" s="3"/>
      <c r="F240" s="3"/>
      <c r="G240" s="3"/>
      <c r="H240" s="6">
        <f t="shared" si="22"/>
        <v>0</v>
      </c>
      <c r="I240" s="6"/>
      <c r="J240" s="6"/>
      <c r="K240" s="6"/>
      <c r="L240" s="6"/>
      <c r="M240" s="6">
        <f t="shared" si="24"/>
        <v>0</v>
      </c>
      <c r="N240" s="4"/>
    </row>
    <row r="241" spans="1:14" ht="9" customHeight="1">
      <c r="A241" s="77"/>
      <c r="B241" s="123"/>
      <c r="C241" s="15" t="s">
        <v>74</v>
      </c>
      <c r="D241" s="3"/>
      <c r="E241" s="3"/>
      <c r="F241" s="3"/>
      <c r="G241" s="3"/>
      <c r="H241" s="6">
        <f t="shared" si="22"/>
        <v>0</v>
      </c>
      <c r="I241" s="6"/>
      <c r="J241" s="6">
        <v>2528.58</v>
      </c>
      <c r="K241" s="6"/>
      <c r="L241" s="6"/>
      <c r="M241" s="6">
        <f t="shared" si="24"/>
        <v>2528.58</v>
      </c>
      <c r="N241" s="4"/>
    </row>
    <row r="242" spans="1:14" ht="20.25" customHeight="1" hidden="1">
      <c r="A242" s="77"/>
      <c r="B242" s="123"/>
      <c r="C242" s="15" t="s">
        <v>200</v>
      </c>
      <c r="D242" s="3"/>
      <c r="E242" s="3"/>
      <c r="F242" s="3"/>
      <c r="G242" s="3"/>
      <c r="H242" s="6">
        <f t="shared" si="22"/>
        <v>0</v>
      </c>
      <c r="I242" s="6"/>
      <c r="J242" s="6"/>
      <c r="K242" s="6"/>
      <c r="L242" s="6"/>
      <c r="M242" s="6">
        <f t="shared" si="24"/>
        <v>0</v>
      </c>
      <c r="N242" s="4" t="e">
        <f t="shared" si="23"/>
        <v>#DIV/0!</v>
      </c>
    </row>
    <row r="243" spans="1:14" ht="50.25" customHeight="1">
      <c r="A243" s="77"/>
      <c r="B243" s="126"/>
      <c r="C243" s="15" t="s">
        <v>306</v>
      </c>
      <c r="D243" s="3"/>
      <c r="E243" s="3">
        <f>12532+33518-8014</f>
        <v>38036</v>
      </c>
      <c r="F243" s="3"/>
      <c r="G243" s="3"/>
      <c r="H243" s="6">
        <f t="shared" si="22"/>
        <v>38036</v>
      </c>
      <c r="I243" s="6"/>
      <c r="J243" s="6">
        <v>35166.59</v>
      </c>
      <c r="K243" s="6"/>
      <c r="L243" s="6"/>
      <c r="M243" s="6">
        <f t="shared" si="24"/>
        <v>35166.59</v>
      </c>
      <c r="N243" s="4">
        <f t="shared" si="23"/>
        <v>0.9245606793563991</v>
      </c>
    </row>
    <row r="244" spans="1:14" ht="12" customHeight="1">
      <c r="A244" s="77"/>
      <c r="B244" s="29" t="s">
        <v>156</v>
      </c>
      <c r="C244" s="25"/>
      <c r="D244" s="5">
        <f>SUM(D236:D243)</f>
        <v>0</v>
      </c>
      <c r="E244" s="5">
        <f>SUM(E236:E243)</f>
        <v>59740</v>
      </c>
      <c r="F244" s="5">
        <f>SUM(F236:F243)</f>
        <v>0</v>
      </c>
      <c r="G244" s="5">
        <f>SUM(G236:G243)</f>
        <v>0</v>
      </c>
      <c r="H244" s="5">
        <f t="shared" si="22"/>
        <v>59740</v>
      </c>
      <c r="I244" s="5">
        <f>SUM(I236:I243)</f>
        <v>0</v>
      </c>
      <c r="J244" s="5">
        <f>SUM(J236:J243)</f>
        <v>91304.36</v>
      </c>
      <c r="K244" s="5">
        <f>SUM(K236:K243)</f>
        <v>0</v>
      </c>
      <c r="L244" s="5">
        <f>SUM(L236:L243)</f>
        <v>0</v>
      </c>
      <c r="M244" s="5">
        <f t="shared" si="24"/>
        <v>91304.36</v>
      </c>
      <c r="N244" s="24">
        <f t="shared" si="23"/>
        <v>1.5283622363575493</v>
      </c>
    </row>
    <row r="245" spans="1:14" s="9" customFormat="1" ht="11.25" customHeight="1" hidden="1">
      <c r="A245" s="78"/>
      <c r="B245" s="18" t="s">
        <v>157</v>
      </c>
      <c r="C245" s="15" t="s">
        <v>71</v>
      </c>
      <c r="D245" s="12"/>
      <c r="E245" s="12"/>
      <c r="F245" s="12"/>
      <c r="G245" s="12"/>
      <c r="H245" s="6">
        <f t="shared" si="22"/>
        <v>0</v>
      </c>
      <c r="I245" s="12"/>
      <c r="J245" s="12"/>
      <c r="K245" s="12"/>
      <c r="L245" s="12"/>
      <c r="M245" s="6">
        <f t="shared" si="24"/>
        <v>0</v>
      </c>
      <c r="N245" s="4" t="e">
        <f t="shared" si="23"/>
        <v>#DIV/0!</v>
      </c>
    </row>
    <row r="246" spans="1:14" ht="61.5" customHeight="1">
      <c r="A246" s="77"/>
      <c r="B246" s="122" t="s">
        <v>157</v>
      </c>
      <c r="C246" s="23" t="s">
        <v>104</v>
      </c>
      <c r="D246" s="6"/>
      <c r="E246" s="3">
        <f>4661</f>
        <v>4661</v>
      </c>
      <c r="F246" s="3"/>
      <c r="G246" s="3"/>
      <c r="H246" s="6">
        <f t="shared" si="22"/>
        <v>4661</v>
      </c>
      <c r="I246" s="6"/>
      <c r="J246" s="6">
        <f>12827.29-7.56</f>
        <v>12819.730000000001</v>
      </c>
      <c r="K246" s="6"/>
      <c r="L246" s="6"/>
      <c r="M246" s="6">
        <f t="shared" si="24"/>
        <v>12819.730000000001</v>
      </c>
      <c r="N246" s="4">
        <f t="shared" si="23"/>
        <v>2.750424801544733</v>
      </c>
    </row>
    <row r="247" spans="1:14" ht="9" customHeight="1" hidden="1">
      <c r="A247" s="77"/>
      <c r="B247" s="123"/>
      <c r="C247" s="15" t="s">
        <v>190</v>
      </c>
      <c r="D247" s="3"/>
      <c r="E247" s="3"/>
      <c r="F247" s="3"/>
      <c r="G247" s="3"/>
      <c r="H247" s="6">
        <f t="shared" si="22"/>
        <v>0</v>
      </c>
      <c r="I247" s="6"/>
      <c r="J247" s="6"/>
      <c r="K247" s="6"/>
      <c r="L247" s="6"/>
      <c r="M247" s="6">
        <f t="shared" si="24"/>
        <v>0</v>
      </c>
      <c r="N247" s="4" t="e">
        <f aca="true" t="shared" si="25" ref="N247:N266">M247/H247</f>
        <v>#DIV/0!</v>
      </c>
    </row>
    <row r="248" spans="1:14" ht="9" customHeight="1" hidden="1">
      <c r="A248" s="77"/>
      <c r="B248" s="123"/>
      <c r="C248" s="15" t="s">
        <v>232</v>
      </c>
      <c r="D248" s="3"/>
      <c r="E248" s="3"/>
      <c r="F248" s="3"/>
      <c r="G248" s="3"/>
      <c r="H248" s="6">
        <f t="shared" si="22"/>
        <v>0</v>
      </c>
      <c r="I248" s="6"/>
      <c r="J248" s="6"/>
      <c r="K248" s="6"/>
      <c r="L248" s="6"/>
      <c r="M248" s="6">
        <f t="shared" si="24"/>
        <v>0</v>
      </c>
      <c r="N248" s="4" t="e">
        <f t="shared" si="25"/>
        <v>#DIV/0!</v>
      </c>
    </row>
    <row r="249" spans="1:14" ht="19.5">
      <c r="A249" s="77"/>
      <c r="B249" s="123"/>
      <c r="C249" s="15" t="s">
        <v>161</v>
      </c>
      <c r="D249" s="3"/>
      <c r="E249" s="3">
        <v>2474</v>
      </c>
      <c r="F249" s="3"/>
      <c r="G249" s="3"/>
      <c r="H249" s="6">
        <f t="shared" si="22"/>
        <v>2474</v>
      </c>
      <c r="I249" s="6"/>
      <c r="J249" s="6">
        <v>2499.6</v>
      </c>
      <c r="K249" s="6"/>
      <c r="L249" s="6"/>
      <c r="M249" s="6">
        <f t="shared" si="24"/>
        <v>2499.6</v>
      </c>
      <c r="N249" s="4">
        <f t="shared" si="25"/>
        <v>1.0103476151980597</v>
      </c>
    </row>
    <row r="250" spans="1:14" ht="9.75">
      <c r="A250" s="77"/>
      <c r="B250" s="23"/>
      <c r="C250" s="15" t="s">
        <v>72</v>
      </c>
      <c r="D250" s="3"/>
      <c r="E250" s="3"/>
      <c r="F250" s="3"/>
      <c r="G250" s="3"/>
      <c r="H250" s="6">
        <f t="shared" si="22"/>
        <v>0</v>
      </c>
      <c r="I250" s="6"/>
      <c r="J250" s="6">
        <f>37450.01+7.56</f>
        <v>37457.57</v>
      </c>
      <c r="K250" s="6"/>
      <c r="L250" s="6"/>
      <c r="M250" s="6">
        <f t="shared" si="24"/>
        <v>37457.57</v>
      </c>
      <c r="N250" s="4"/>
    </row>
    <row r="251" spans="1:14" ht="9.75">
      <c r="A251" s="77"/>
      <c r="B251" s="23"/>
      <c r="C251" s="15" t="s">
        <v>307</v>
      </c>
      <c r="D251" s="3"/>
      <c r="E251" s="3"/>
      <c r="F251" s="3"/>
      <c r="G251" s="3"/>
      <c r="H251" s="6">
        <f t="shared" si="22"/>
        <v>0</v>
      </c>
      <c r="I251" s="6"/>
      <c r="J251" s="6">
        <v>149.76</v>
      </c>
      <c r="K251" s="6"/>
      <c r="L251" s="6"/>
      <c r="M251" s="6">
        <f t="shared" si="24"/>
        <v>149.76</v>
      </c>
      <c r="N251" s="4"/>
    </row>
    <row r="252" spans="1:14" ht="22.5" customHeight="1" hidden="1">
      <c r="A252" s="77"/>
      <c r="B252" s="23"/>
      <c r="C252" s="15" t="s">
        <v>204</v>
      </c>
      <c r="D252" s="3"/>
      <c r="E252" s="3"/>
      <c r="F252" s="3"/>
      <c r="G252" s="3"/>
      <c r="H252" s="6">
        <f t="shared" si="22"/>
        <v>0</v>
      </c>
      <c r="I252" s="6"/>
      <c r="J252" s="6"/>
      <c r="K252" s="6"/>
      <c r="L252" s="6"/>
      <c r="M252" s="6">
        <f t="shared" si="24"/>
        <v>0</v>
      </c>
      <c r="N252" s="4"/>
    </row>
    <row r="253" spans="1:14" ht="9.75" customHeight="1">
      <c r="A253" s="77"/>
      <c r="B253" s="23"/>
      <c r="C253" s="15" t="s">
        <v>74</v>
      </c>
      <c r="D253" s="3"/>
      <c r="E253" s="3"/>
      <c r="F253" s="3"/>
      <c r="G253" s="3"/>
      <c r="H253" s="6">
        <f t="shared" si="22"/>
        <v>0</v>
      </c>
      <c r="I253" s="6"/>
      <c r="J253" s="6">
        <v>5219.83</v>
      </c>
      <c r="K253" s="6"/>
      <c r="L253" s="6"/>
      <c r="M253" s="6">
        <f t="shared" si="24"/>
        <v>5219.83</v>
      </c>
      <c r="N253" s="4"/>
    </row>
    <row r="254" spans="1:14" ht="19.5" customHeight="1" hidden="1">
      <c r="A254" s="77"/>
      <c r="B254" s="23"/>
      <c r="C254" s="15" t="s">
        <v>200</v>
      </c>
      <c r="D254" s="3"/>
      <c r="E254" s="3"/>
      <c r="F254" s="3"/>
      <c r="G254" s="3"/>
      <c r="H254" s="6">
        <f t="shared" si="22"/>
        <v>0</v>
      </c>
      <c r="I254" s="6"/>
      <c r="J254" s="6"/>
      <c r="K254" s="6"/>
      <c r="L254" s="6"/>
      <c r="M254" s="6">
        <f t="shared" si="24"/>
        <v>0</v>
      </c>
      <c r="N254" s="4"/>
    </row>
    <row r="255" spans="1:14" ht="19.5" customHeight="1">
      <c r="A255" s="77"/>
      <c r="B255" s="23"/>
      <c r="C255" s="15" t="s">
        <v>189</v>
      </c>
      <c r="D255" s="3"/>
      <c r="E255" s="3"/>
      <c r="F255" s="3"/>
      <c r="G255" s="3"/>
      <c r="H255" s="6">
        <f t="shared" si="22"/>
        <v>0</v>
      </c>
      <c r="I255" s="6"/>
      <c r="J255" s="6">
        <v>-0.62</v>
      </c>
      <c r="K255" s="6"/>
      <c r="L255" s="6"/>
      <c r="M255" s="6">
        <f t="shared" si="24"/>
        <v>-0.62</v>
      </c>
      <c r="N255" s="4"/>
    </row>
    <row r="256" spans="1:14" ht="51" customHeight="1">
      <c r="A256" s="77"/>
      <c r="B256" s="14"/>
      <c r="C256" s="15" t="s">
        <v>306</v>
      </c>
      <c r="D256" s="3"/>
      <c r="E256" s="3">
        <f>2973+26358-2973</f>
        <v>26358</v>
      </c>
      <c r="F256" s="3"/>
      <c r="G256" s="3"/>
      <c r="H256" s="6">
        <f t="shared" si="22"/>
        <v>26358</v>
      </c>
      <c r="I256" s="6"/>
      <c r="J256" s="6">
        <v>25516.77</v>
      </c>
      <c r="K256" s="6"/>
      <c r="L256" s="6"/>
      <c r="M256" s="6">
        <f aca="true" t="shared" si="26" ref="M256:M288">SUM(I256:L256)</f>
        <v>25516.77</v>
      </c>
      <c r="N256" s="4">
        <f t="shared" si="25"/>
        <v>0.9680844525381288</v>
      </c>
    </row>
    <row r="257" spans="1:14" ht="11.25" customHeight="1">
      <c r="A257" s="77"/>
      <c r="B257" s="29" t="s">
        <v>158</v>
      </c>
      <c r="C257" s="25"/>
      <c r="D257" s="5">
        <f>SUM(D245:D256)</f>
        <v>0</v>
      </c>
      <c r="E257" s="5">
        <f>SUM(E245:E256)</f>
        <v>33493</v>
      </c>
      <c r="F257" s="5">
        <f>SUM(F245:F256)</f>
        <v>0</v>
      </c>
      <c r="G257" s="5">
        <f>SUM(G245:G256)</f>
        <v>0</v>
      </c>
      <c r="H257" s="5">
        <f t="shared" si="22"/>
        <v>33493</v>
      </c>
      <c r="I257" s="5">
        <f>SUM(I245:I256)</f>
        <v>0</v>
      </c>
      <c r="J257" s="5">
        <f>SUM(J245:J256)</f>
        <v>83662.64</v>
      </c>
      <c r="K257" s="5">
        <f>SUM(K245:K256)</f>
        <v>0</v>
      </c>
      <c r="L257" s="5">
        <f>SUM(L245:L256)</f>
        <v>0</v>
      </c>
      <c r="M257" s="5">
        <f t="shared" si="26"/>
        <v>83662.64</v>
      </c>
      <c r="N257" s="24">
        <f t="shared" si="25"/>
        <v>2.4979141910249902</v>
      </c>
    </row>
    <row r="258" spans="1:14" ht="60" customHeight="1" hidden="1">
      <c r="A258" s="77"/>
      <c r="B258" s="18" t="s">
        <v>42</v>
      </c>
      <c r="C258" s="23" t="s">
        <v>104</v>
      </c>
      <c r="D258" s="3"/>
      <c r="E258" s="3"/>
      <c r="F258" s="3"/>
      <c r="G258" s="3"/>
      <c r="H258" s="6">
        <f t="shared" si="22"/>
        <v>0</v>
      </c>
      <c r="I258" s="8"/>
      <c r="J258" s="6"/>
      <c r="K258" s="8"/>
      <c r="L258" s="8"/>
      <c r="M258" s="6">
        <f t="shared" si="26"/>
        <v>0</v>
      </c>
      <c r="N258" s="4" t="e">
        <f t="shared" si="25"/>
        <v>#DIV/0!</v>
      </c>
    </row>
    <row r="259" spans="1:14" ht="9.75" customHeight="1" hidden="1">
      <c r="A259" s="77"/>
      <c r="B259" s="23"/>
      <c r="C259" s="15" t="s">
        <v>190</v>
      </c>
      <c r="D259" s="3"/>
      <c r="E259" s="3">
        <f>150-150</f>
        <v>0</v>
      </c>
      <c r="F259" s="3"/>
      <c r="G259" s="3"/>
      <c r="H259" s="6">
        <f t="shared" si="22"/>
        <v>0</v>
      </c>
      <c r="I259" s="6"/>
      <c r="J259" s="6"/>
      <c r="K259" s="6"/>
      <c r="L259" s="6"/>
      <c r="M259" s="6">
        <f t="shared" si="26"/>
        <v>0</v>
      </c>
      <c r="N259" s="4" t="e">
        <f t="shared" si="25"/>
        <v>#DIV/0!</v>
      </c>
    </row>
    <row r="260" spans="1:14" ht="11.25" customHeight="1">
      <c r="A260" s="77"/>
      <c r="B260" s="122" t="s">
        <v>42</v>
      </c>
      <c r="C260" s="15" t="s">
        <v>72</v>
      </c>
      <c r="D260" s="3"/>
      <c r="E260" s="3"/>
      <c r="F260" s="3"/>
      <c r="G260" s="3"/>
      <c r="H260" s="6">
        <f t="shared" si="22"/>
        <v>0</v>
      </c>
      <c r="I260" s="6"/>
      <c r="J260" s="6">
        <v>2179.51</v>
      </c>
      <c r="K260" s="6"/>
      <c r="L260" s="6"/>
      <c r="M260" s="6">
        <f t="shared" si="26"/>
        <v>2179.51</v>
      </c>
      <c r="N260" s="4"/>
    </row>
    <row r="261" spans="1:14" ht="12" customHeight="1">
      <c r="A261" s="77"/>
      <c r="B261" s="126"/>
      <c r="C261" s="15" t="s">
        <v>74</v>
      </c>
      <c r="D261" s="3"/>
      <c r="E261" s="3"/>
      <c r="F261" s="3"/>
      <c r="G261" s="3"/>
      <c r="H261" s="6">
        <f t="shared" si="22"/>
        <v>0</v>
      </c>
      <c r="I261" s="6"/>
      <c r="J261" s="6">
        <v>341</v>
      </c>
      <c r="K261" s="6"/>
      <c r="L261" s="6"/>
      <c r="M261" s="6">
        <f t="shared" si="26"/>
        <v>341</v>
      </c>
      <c r="N261" s="4"/>
    </row>
    <row r="262" spans="1:14" ht="9.75" customHeight="1">
      <c r="A262" s="77"/>
      <c r="B262" s="29" t="s">
        <v>159</v>
      </c>
      <c r="C262" s="25"/>
      <c r="D262" s="5">
        <f>SUM(D258:D261)</f>
        <v>0</v>
      </c>
      <c r="E262" s="5">
        <f>SUM(E258:E261)</f>
        <v>0</v>
      </c>
      <c r="F262" s="5">
        <f>SUM(F258:F261)</f>
        <v>0</v>
      </c>
      <c r="G262" s="5">
        <f>SUM(G258:G261)</f>
        <v>0</v>
      </c>
      <c r="H262" s="5">
        <f t="shared" si="22"/>
        <v>0</v>
      </c>
      <c r="I262" s="5">
        <f>SUM(I258:I261)</f>
        <v>0</v>
      </c>
      <c r="J262" s="5">
        <f>SUM(J258:J261)</f>
        <v>2520.51</v>
      </c>
      <c r="K262" s="5">
        <f>SUM(K258:K261)</f>
        <v>0</v>
      </c>
      <c r="L262" s="5">
        <f>SUM(L258:L261)</f>
        <v>0</v>
      </c>
      <c r="M262" s="5">
        <f t="shared" si="26"/>
        <v>2520.51</v>
      </c>
      <c r="N262" s="24"/>
    </row>
    <row r="263" spans="1:14" s="9" customFormat="1" ht="10.5" customHeight="1" hidden="1">
      <c r="A263" s="78"/>
      <c r="B263" s="15" t="s">
        <v>43</v>
      </c>
      <c r="C263" s="15" t="s">
        <v>190</v>
      </c>
      <c r="D263" s="12"/>
      <c r="E263" s="12"/>
      <c r="F263" s="12"/>
      <c r="G263" s="12"/>
      <c r="H263" s="6">
        <f t="shared" si="22"/>
        <v>0</v>
      </c>
      <c r="I263" s="12"/>
      <c r="J263" s="12"/>
      <c r="K263" s="12"/>
      <c r="L263" s="12"/>
      <c r="M263" s="6">
        <f t="shared" si="26"/>
        <v>0</v>
      </c>
      <c r="N263" s="4" t="e">
        <f t="shared" si="25"/>
        <v>#DIV/0!</v>
      </c>
    </row>
    <row r="264" spans="1:14" ht="74.25" customHeight="1">
      <c r="A264" s="77"/>
      <c r="B264" s="15" t="s">
        <v>43</v>
      </c>
      <c r="C264" s="23" t="s">
        <v>83</v>
      </c>
      <c r="D264" s="3"/>
      <c r="E264" s="3">
        <v>507500</v>
      </c>
      <c r="F264" s="3"/>
      <c r="G264" s="3"/>
      <c r="H264" s="6">
        <f t="shared" si="22"/>
        <v>507500</v>
      </c>
      <c r="I264" s="6"/>
      <c r="J264" s="6">
        <v>39750</v>
      </c>
      <c r="K264" s="6"/>
      <c r="L264" s="6"/>
      <c r="M264" s="6">
        <f t="shared" si="26"/>
        <v>39750</v>
      </c>
      <c r="N264" s="4">
        <f t="shared" si="25"/>
        <v>0.07832512315270936</v>
      </c>
    </row>
    <row r="265" spans="1:14" ht="9.75" customHeight="1">
      <c r="A265" s="77"/>
      <c r="B265" s="29" t="s">
        <v>160</v>
      </c>
      <c r="C265" s="25"/>
      <c r="D265" s="5">
        <f>SUM(D263:D264)</f>
        <v>0</v>
      </c>
      <c r="E265" s="5">
        <f>SUM(E263:E264)</f>
        <v>507500</v>
      </c>
      <c r="F265" s="5">
        <f>SUM(F263:F264)</f>
        <v>0</v>
      </c>
      <c r="G265" s="5">
        <f>SUM(G263:G264)</f>
        <v>0</v>
      </c>
      <c r="H265" s="5">
        <f t="shared" si="22"/>
        <v>507500</v>
      </c>
      <c r="I265" s="5">
        <f>SUM(I263:I264)</f>
        <v>0</v>
      </c>
      <c r="J265" s="5">
        <f>SUM(J263:J264)</f>
        <v>39750</v>
      </c>
      <c r="K265" s="5">
        <f>SUM(K263:K264)</f>
        <v>0</v>
      </c>
      <c r="L265" s="5">
        <f>SUM(L263:L264)</f>
        <v>0</v>
      </c>
      <c r="M265" s="5">
        <f t="shared" si="26"/>
        <v>39750</v>
      </c>
      <c r="N265" s="24">
        <f t="shared" si="25"/>
        <v>0.07832512315270936</v>
      </c>
    </row>
    <row r="266" spans="1:14" ht="10.5" customHeight="1" hidden="1">
      <c r="A266" s="77"/>
      <c r="B266" s="18" t="s">
        <v>191</v>
      </c>
      <c r="C266" s="15" t="s">
        <v>190</v>
      </c>
      <c r="D266" s="3"/>
      <c r="E266" s="3"/>
      <c r="F266" s="3"/>
      <c r="G266" s="3"/>
      <c r="H266" s="6">
        <f t="shared" si="22"/>
        <v>0</v>
      </c>
      <c r="I266" s="6"/>
      <c r="J266" s="6"/>
      <c r="K266" s="6"/>
      <c r="L266" s="6"/>
      <c r="M266" s="6">
        <f t="shared" si="26"/>
        <v>0</v>
      </c>
      <c r="N266" s="4" t="e">
        <f t="shared" si="25"/>
        <v>#DIV/0!</v>
      </c>
    </row>
    <row r="267" spans="1:14" ht="9" customHeight="1">
      <c r="A267" s="77"/>
      <c r="B267" s="122" t="s">
        <v>191</v>
      </c>
      <c r="C267" s="15" t="s">
        <v>72</v>
      </c>
      <c r="D267" s="3"/>
      <c r="E267" s="3"/>
      <c r="F267" s="3"/>
      <c r="G267" s="3"/>
      <c r="H267" s="6">
        <f t="shared" si="22"/>
        <v>0</v>
      </c>
      <c r="I267" s="6"/>
      <c r="J267" s="6">
        <v>1276.32</v>
      </c>
      <c r="K267" s="6"/>
      <c r="L267" s="6"/>
      <c r="M267" s="6">
        <f t="shared" si="26"/>
        <v>1276.32</v>
      </c>
      <c r="N267" s="4"/>
    </row>
    <row r="268" spans="1:14" ht="21.75" customHeight="1">
      <c r="A268" s="77"/>
      <c r="B268" s="123"/>
      <c r="C268" s="15" t="s">
        <v>74</v>
      </c>
      <c r="D268" s="3"/>
      <c r="E268" s="3"/>
      <c r="F268" s="3"/>
      <c r="G268" s="3"/>
      <c r="H268" s="6">
        <f aca="true" t="shared" si="27" ref="H268:H332">SUM(D268:G268)</f>
        <v>0</v>
      </c>
      <c r="I268" s="6"/>
      <c r="J268" s="6">
        <v>92.1</v>
      </c>
      <c r="K268" s="6"/>
      <c r="L268" s="6"/>
      <c r="M268" s="6">
        <f t="shared" si="26"/>
        <v>92.1</v>
      </c>
      <c r="N268" s="4"/>
    </row>
    <row r="269" spans="1:14" ht="20.25" customHeight="1" hidden="1">
      <c r="A269" s="77"/>
      <c r="B269" s="14"/>
      <c r="C269" s="15" t="s">
        <v>200</v>
      </c>
      <c r="D269" s="3"/>
      <c r="E269" s="3"/>
      <c r="F269" s="3"/>
      <c r="G269" s="3"/>
      <c r="H269" s="6">
        <f t="shared" si="27"/>
        <v>0</v>
      </c>
      <c r="I269" s="6"/>
      <c r="J269" s="6"/>
      <c r="K269" s="6"/>
      <c r="L269" s="6"/>
      <c r="M269" s="6">
        <f t="shared" si="26"/>
        <v>0</v>
      </c>
      <c r="N269" s="4"/>
    </row>
    <row r="270" spans="1:14" ht="9.75" customHeight="1">
      <c r="A270" s="77"/>
      <c r="B270" s="29" t="s">
        <v>191</v>
      </c>
      <c r="C270" s="25"/>
      <c r="D270" s="5">
        <f>SUM(D266:D269)</f>
        <v>0</v>
      </c>
      <c r="E270" s="5">
        <f>SUM(E266:E269)</f>
        <v>0</v>
      </c>
      <c r="F270" s="5">
        <f>SUM(F266:F269)</f>
        <v>0</v>
      </c>
      <c r="G270" s="5">
        <f>SUM(G266:G269)</f>
        <v>0</v>
      </c>
      <c r="H270" s="5">
        <f t="shared" si="27"/>
        <v>0</v>
      </c>
      <c r="I270" s="5">
        <f>SUM(I266:I269)</f>
        <v>0</v>
      </c>
      <c r="J270" s="5">
        <f>SUM(J266:J269)</f>
        <v>1368.4199999999998</v>
      </c>
      <c r="K270" s="5">
        <f>SUM(K266:K269)</f>
        <v>0</v>
      </c>
      <c r="L270" s="5">
        <f>SUM(L266:L269)</f>
        <v>0</v>
      </c>
      <c r="M270" s="5">
        <f t="shared" si="26"/>
        <v>1368.4199999999998</v>
      </c>
      <c r="N270" s="24"/>
    </row>
    <row r="271" spans="1:14" ht="42" customHeight="1">
      <c r="A271" s="77"/>
      <c r="B271" s="19" t="s">
        <v>208</v>
      </c>
      <c r="C271" s="15" t="s">
        <v>74</v>
      </c>
      <c r="D271" s="3"/>
      <c r="E271" s="3"/>
      <c r="F271" s="3"/>
      <c r="G271" s="3"/>
      <c r="H271" s="6">
        <f t="shared" si="27"/>
        <v>0</v>
      </c>
      <c r="I271" s="6">
        <v>289.71</v>
      </c>
      <c r="J271" s="6"/>
      <c r="K271" s="6"/>
      <c r="L271" s="6"/>
      <c r="M271" s="6">
        <f t="shared" si="26"/>
        <v>289.71</v>
      </c>
      <c r="N271" s="4"/>
    </row>
    <row r="272" spans="1:14" ht="9.75" customHeight="1">
      <c r="A272" s="77"/>
      <c r="B272" s="29" t="s">
        <v>209</v>
      </c>
      <c r="C272" s="25"/>
      <c r="D272" s="5">
        <f>SUM(D271)</f>
        <v>0</v>
      </c>
      <c r="E272" s="5">
        <f>SUM(E271)</f>
        <v>0</v>
      </c>
      <c r="F272" s="5">
        <f>SUM(F271)</f>
        <v>0</v>
      </c>
      <c r="G272" s="5">
        <f>SUM(G271)</f>
        <v>0</v>
      </c>
      <c r="H272" s="5">
        <f t="shared" si="27"/>
        <v>0</v>
      </c>
      <c r="I272" s="5">
        <f>SUM(I271)</f>
        <v>289.71</v>
      </c>
      <c r="J272" s="5">
        <f>SUM(J271)</f>
        <v>0</v>
      </c>
      <c r="K272" s="5">
        <f>SUM(K271)</f>
        <v>0</v>
      </c>
      <c r="L272" s="5">
        <f>SUM(L271)</f>
        <v>0</v>
      </c>
      <c r="M272" s="5">
        <f t="shared" si="26"/>
        <v>289.71</v>
      </c>
      <c r="N272" s="24"/>
    </row>
    <row r="273" spans="1:14" s="9" customFormat="1" ht="11.25" customHeight="1">
      <c r="A273" s="98"/>
      <c r="B273" s="122" t="s">
        <v>210</v>
      </c>
      <c r="C273" s="15" t="s">
        <v>72</v>
      </c>
      <c r="D273" s="12"/>
      <c r="E273" s="12"/>
      <c r="F273" s="12"/>
      <c r="G273" s="12"/>
      <c r="H273" s="6">
        <f t="shared" si="27"/>
        <v>0</v>
      </c>
      <c r="I273" s="12">
        <v>1.95</v>
      </c>
      <c r="J273" s="12"/>
      <c r="K273" s="12"/>
      <c r="L273" s="12"/>
      <c r="M273" s="6">
        <f t="shared" si="26"/>
        <v>1.95</v>
      </c>
      <c r="N273" s="4"/>
    </row>
    <row r="274" spans="1:14" s="9" customFormat="1" ht="18" customHeight="1" hidden="1">
      <c r="A274" s="78"/>
      <c r="B274" s="123"/>
      <c r="C274" s="15" t="s">
        <v>74</v>
      </c>
      <c r="D274" s="12"/>
      <c r="E274" s="12"/>
      <c r="F274" s="12"/>
      <c r="G274" s="12"/>
      <c r="H274" s="6">
        <f t="shared" si="27"/>
        <v>0</v>
      </c>
      <c r="I274" s="12"/>
      <c r="J274" s="12"/>
      <c r="K274" s="12"/>
      <c r="L274" s="12"/>
      <c r="M274" s="6">
        <f t="shared" si="26"/>
        <v>0</v>
      </c>
      <c r="N274" s="4" t="e">
        <f>M274/H274</f>
        <v>#DIV/0!</v>
      </c>
    </row>
    <row r="275" spans="1:14" s="9" customFormat="1" ht="42" customHeight="1">
      <c r="A275" s="78"/>
      <c r="B275" s="123"/>
      <c r="C275" s="15" t="s">
        <v>101</v>
      </c>
      <c r="D275" s="12">
        <f>3544+18000+34034+99664+1966</f>
        <v>157208</v>
      </c>
      <c r="E275" s="12"/>
      <c r="F275" s="12"/>
      <c r="G275" s="12"/>
      <c r="H275" s="6">
        <f t="shared" si="27"/>
        <v>157208</v>
      </c>
      <c r="I275" s="6">
        <v>73359.04</v>
      </c>
      <c r="J275" s="12"/>
      <c r="K275" s="12"/>
      <c r="L275" s="12"/>
      <c r="M275" s="6">
        <f t="shared" si="26"/>
        <v>73359.04</v>
      </c>
      <c r="N275" s="4">
        <f>M275/H275</f>
        <v>0.4666368123759605</v>
      </c>
    </row>
    <row r="276" spans="1:14" s="9" customFormat="1" ht="51" customHeight="1">
      <c r="A276" s="78"/>
      <c r="B276" s="123"/>
      <c r="C276" s="15" t="s">
        <v>230</v>
      </c>
      <c r="D276" s="12"/>
      <c r="E276" s="12"/>
      <c r="F276" s="12"/>
      <c r="G276" s="12"/>
      <c r="H276" s="6">
        <f t="shared" si="27"/>
        <v>0</v>
      </c>
      <c r="I276" s="6">
        <v>1185</v>
      </c>
      <c r="J276" s="12"/>
      <c r="K276" s="12"/>
      <c r="L276" s="12"/>
      <c r="M276" s="6">
        <f t="shared" si="26"/>
        <v>1185</v>
      </c>
      <c r="N276" s="4"/>
    </row>
    <row r="277" spans="1:14" s="9" customFormat="1" ht="40.5" customHeight="1">
      <c r="A277" s="78"/>
      <c r="B277" s="126"/>
      <c r="C277" s="15" t="s">
        <v>212</v>
      </c>
      <c r="D277" s="12"/>
      <c r="E277" s="12"/>
      <c r="F277" s="12"/>
      <c r="G277" s="12"/>
      <c r="H277" s="6">
        <f t="shared" si="27"/>
        <v>0</v>
      </c>
      <c r="I277" s="6">
        <v>2018.84</v>
      </c>
      <c r="J277" s="12"/>
      <c r="K277" s="12"/>
      <c r="L277" s="12"/>
      <c r="M277" s="6">
        <f t="shared" si="26"/>
        <v>2018.84</v>
      </c>
      <c r="N277" s="4"/>
    </row>
    <row r="278" spans="1:14" ht="9.75">
      <c r="A278" s="77"/>
      <c r="B278" s="29" t="s">
        <v>211</v>
      </c>
      <c r="C278" s="25"/>
      <c r="D278" s="5">
        <f>SUM(D273:D277)</f>
        <v>157208</v>
      </c>
      <c r="E278" s="5">
        <f>SUM(E273:E277)</f>
        <v>0</v>
      </c>
      <c r="F278" s="5">
        <f>SUM(F273:F277)</f>
        <v>0</v>
      </c>
      <c r="G278" s="5">
        <f>SUM(G273:G277)</f>
        <v>0</v>
      </c>
      <c r="H278" s="5">
        <f t="shared" si="27"/>
        <v>157208</v>
      </c>
      <c r="I278" s="5">
        <f>SUM(I273:I277)</f>
        <v>76564.82999999999</v>
      </c>
      <c r="J278" s="5">
        <f>SUM(J273:J277)</f>
        <v>0</v>
      </c>
      <c r="K278" s="5">
        <f>SUM(K273:K277)</f>
        <v>0</v>
      </c>
      <c r="L278" s="5">
        <f>SUM(L273:L277)</f>
        <v>0</v>
      </c>
      <c r="M278" s="5">
        <f t="shared" si="26"/>
        <v>76564.82999999999</v>
      </c>
      <c r="N278" s="24">
        <f>M278/H278</f>
        <v>0.4870288407714619</v>
      </c>
    </row>
    <row r="279" spans="1:14" ht="31.5" customHeight="1">
      <c r="A279" s="77"/>
      <c r="B279" s="19" t="s">
        <v>300</v>
      </c>
      <c r="C279" s="15" t="s">
        <v>299</v>
      </c>
      <c r="D279" s="3"/>
      <c r="E279" s="3"/>
      <c r="F279" s="3"/>
      <c r="G279" s="3"/>
      <c r="H279" s="6">
        <f t="shared" si="27"/>
        <v>0</v>
      </c>
      <c r="I279" s="6">
        <v>17035.24</v>
      </c>
      <c r="J279" s="6"/>
      <c r="K279" s="6"/>
      <c r="L279" s="6"/>
      <c r="M279" s="6">
        <f t="shared" si="26"/>
        <v>17035.24</v>
      </c>
      <c r="N279" s="4"/>
    </row>
    <row r="280" spans="1:14" ht="9.75" customHeight="1">
      <c r="A280" s="77"/>
      <c r="B280" s="29" t="s">
        <v>301</v>
      </c>
      <c r="C280" s="25"/>
      <c r="D280" s="5">
        <f>SUM(D279)</f>
        <v>0</v>
      </c>
      <c r="E280" s="5">
        <f>SUM(E279)</f>
        <v>0</v>
      </c>
      <c r="F280" s="5">
        <f>SUM(F279)</f>
        <v>0</v>
      </c>
      <c r="G280" s="5">
        <f>SUM(G279)</f>
        <v>0</v>
      </c>
      <c r="H280" s="5">
        <f t="shared" si="27"/>
        <v>0</v>
      </c>
      <c r="I280" s="5">
        <f>SUM(I279)</f>
        <v>17035.24</v>
      </c>
      <c r="J280" s="5">
        <f>SUM(J279)</f>
        <v>0</v>
      </c>
      <c r="K280" s="5">
        <f>SUM(K279)</f>
        <v>0</v>
      </c>
      <c r="L280" s="5">
        <f>SUM(L279)</f>
        <v>0</v>
      </c>
      <c r="M280" s="5">
        <f t="shared" si="26"/>
        <v>17035.24</v>
      </c>
      <c r="N280" s="24"/>
    </row>
    <row r="281" spans="1:14" ht="11.25">
      <c r="A281" s="22" t="s">
        <v>44</v>
      </c>
      <c r="B281" s="34"/>
      <c r="C281" s="20"/>
      <c r="D281" s="21">
        <f>SUM(D278,D272,D270,D265,D262,D257,D244,D235,D225,D215,D210,D280)</f>
        <v>2836081</v>
      </c>
      <c r="E281" s="21">
        <f>SUM(E278,E272,E270,E265,E262,E257,E244,E235,E225,E215,E210,E280)</f>
        <v>600733</v>
      </c>
      <c r="F281" s="21">
        <f>SUM(F278,F272,F270,F265,F262,F257,F244,F235,F225,F215,F210,F280)</f>
        <v>0</v>
      </c>
      <c r="G281" s="21">
        <f>SUM(G278,G272,G270,G265,G262,G257,G244,G235,G225,G215,G210,G280)</f>
        <v>0</v>
      </c>
      <c r="H281" s="21">
        <f t="shared" si="27"/>
        <v>3436814</v>
      </c>
      <c r="I281" s="21">
        <f>SUM(I278,I272,I270,I265,I262,I257,I244,I235,I225,I215,I210,I280)</f>
        <v>2897009.89</v>
      </c>
      <c r="J281" s="21">
        <f>SUM(J278,J272,J270,J265,J262,J257,J244,J235,J225,J215,J210,J280)</f>
        <v>221647.00999999998</v>
      </c>
      <c r="K281" s="21">
        <f>SUM(K278,K272,K270,K265,K262,K257,K244,K235,K225,K215,K210,K280)</f>
        <v>0</v>
      </c>
      <c r="L281" s="21">
        <f>SUM(L278,L272,L270,L265,L262,L257,L244,L235,L225,L215,L210,L280)</f>
        <v>0</v>
      </c>
      <c r="M281" s="21">
        <f t="shared" si="26"/>
        <v>3118656.9</v>
      </c>
      <c r="N281" s="26">
        <f>M281/H281</f>
        <v>0.9074267330149376</v>
      </c>
    </row>
    <row r="282" spans="1:14" ht="33" customHeight="1">
      <c r="A282" s="120" t="s">
        <v>45</v>
      </c>
      <c r="B282" s="122" t="s">
        <v>63</v>
      </c>
      <c r="C282" s="15" t="s">
        <v>161</v>
      </c>
      <c r="D282" s="3">
        <v>460000</v>
      </c>
      <c r="E282" s="3"/>
      <c r="F282" s="3"/>
      <c r="G282" s="3"/>
      <c r="H282" s="6">
        <f t="shared" si="27"/>
        <v>460000</v>
      </c>
      <c r="I282" s="6">
        <v>482064.28</v>
      </c>
      <c r="J282" s="12"/>
      <c r="K282" s="12"/>
      <c r="L282" s="12"/>
      <c r="M282" s="6">
        <f t="shared" si="26"/>
        <v>482064.28</v>
      </c>
      <c r="N282" s="4">
        <f>M282/H282</f>
        <v>1.0479658260869567</v>
      </c>
    </row>
    <row r="283" spans="1:14" ht="9" customHeight="1" hidden="1">
      <c r="A283" s="121"/>
      <c r="B283" s="126"/>
      <c r="C283" s="15" t="s">
        <v>74</v>
      </c>
      <c r="D283" s="3"/>
      <c r="E283" s="3"/>
      <c r="F283" s="3"/>
      <c r="G283" s="3"/>
      <c r="H283" s="6">
        <f t="shared" si="27"/>
        <v>0</v>
      </c>
      <c r="I283" s="12"/>
      <c r="J283" s="12"/>
      <c r="K283" s="12"/>
      <c r="L283" s="12"/>
      <c r="M283" s="6">
        <f t="shared" si="26"/>
        <v>0</v>
      </c>
      <c r="N283" s="4"/>
    </row>
    <row r="284" spans="1:14" ht="9.75">
      <c r="A284" s="121"/>
      <c r="B284" s="29" t="s">
        <v>162</v>
      </c>
      <c r="C284" s="25"/>
      <c r="D284" s="5">
        <f>SUM(D282)</f>
        <v>460000</v>
      </c>
      <c r="E284" s="5">
        <f>SUM(E282)</f>
        <v>0</v>
      </c>
      <c r="F284" s="5">
        <f>SUM(F282)</f>
        <v>0</v>
      </c>
      <c r="G284" s="5">
        <f>SUM(G282)</f>
        <v>0</v>
      </c>
      <c r="H284" s="27">
        <f t="shared" si="27"/>
        <v>460000</v>
      </c>
      <c r="I284" s="5">
        <f>SUM(I282:I283)</f>
        <v>482064.28</v>
      </c>
      <c r="J284" s="5">
        <f>SUM(J282:J283)</f>
        <v>0</v>
      </c>
      <c r="K284" s="5">
        <f>SUM(K282:K283)</f>
        <v>0</v>
      </c>
      <c r="L284" s="5">
        <f>SUM(L282:L283)</f>
        <v>0</v>
      </c>
      <c r="M284" s="5">
        <f t="shared" si="26"/>
        <v>482064.28</v>
      </c>
      <c r="N284" s="24">
        <f aca="true" t="shared" si="28" ref="N284:N289">M284/H284</f>
        <v>1.0479658260869567</v>
      </c>
    </row>
    <row r="285" spans="1:14" s="9" customFormat="1" ht="50.25" customHeight="1">
      <c r="A285" s="121"/>
      <c r="B285" s="111" t="s">
        <v>283</v>
      </c>
      <c r="C285" s="63" t="s">
        <v>69</v>
      </c>
      <c r="D285" s="6"/>
      <c r="E285" s="6"/>
      <c r="F285" s="6"/>
      <c r="G285" s="6">
        <v>65000</v>
      </c>
      <c r="H285" s="6">
        <f t="shared" si="27"/>
        <v>65000</v>
      </c>
      <c r="I285" s="6"/>
      <c r="J285" s="12"/>
      <c r="K285" s="12"/>
      <c r="L285" s="69">
        <v>63873.9</v>
      </c>
      <c r="M285" s="6">
        <f t="shared" si="26"/>
        <v>63873.9</v>
      </c>
      <c r="N285" s="4">
        <f t="shared" si="28"/>
        <v>0.9826753846153846</v>
      </c>
    </row>
    <row r="286" spans="1:14" s="9" customFormat="1" ht="9.75" hidden="1">
      <c r="A286" s="81"/>
      <c r="B286" s="146"/>
      <c r="C286" s="64" t="s">
        <v>74</v>
      </c>
      <c r="D286" s="6"/>
      <c r="E286" s="6"/>
      <c r="F286" s="6"/>
      <c r="G286" s="6"/>
      <c r="H286" s="6">
        <f t="shared" si="27"/>
        <v>0</v>
      </c>
      <c r="I286" s="12"/>
      <c r="J286" s="12"/>
      <c r="K286" s="12"/>
      <c r="L286" s="12"/>
      <c r="M286" s="6">
        <f t="shared" si="26"/>
        <v>0</v>
      </c>
      <c r="N286" s="4"/>
    </row>
    <row r="287" spans="1:14" s="9" customFormat="1" ht="39" customHeight="1" hidden="1">
      <c r="A287" s="81"/>
      <c r="B287" s="146"/>
      <c r="C287" s="64" t="s">
        <v>279</v>
      </c>
      <c r="D287" s="6">
        <f>250000-250000</f>
        <v>0</v>
      </c>
      <c r="E287" s="6"/>
      <c r="F287" s="6"/>
      <c r="G287" s="6"/>
      <c r="H287" s="6">
        <f t="shared" si="27"/>
        <v>0</v>
      </c>
      <c r="I287" s="12"/>
      <c r="J287" s="12"/>
      <c r="K287" s="12"/>
      <c r="L287" s="12"/>
      <c r="M287" s="6">
        <f t="shared" si="26"/>
        <v>0</v>
      </c>
      <c r="N287" s="4"/>
    </row>
    <row r="288" spans="1:14" s="9" customFormat="1" ht="60.75" customHeight="1">
      <c r="A288" s="81"/>
      <c r="B288" s="130"/>
      <c r="C288" s="64" t="s">
        <v>135</v>
      </c>
      <c r="D288" s="6"/>
      <c r="E288" s="6"/>
      <c r="F288" s="6"/>
      <c r="G288" s="6">
        <v>250000</v>
      </c>
      <c r="H288" s="6">
        <f t="shared" si="27"/>
        <v>250000</v>
      </c>
      <c r="I288" s="12"/>
      <c r="J288" s="12"/>
      <c r="K288" s="12"/>
      <c r="L288" s="69">
        <v>250000</v>
      </c>
      <c r="M288" s="6">
        <f t="shared" si="26"/>
        <v>250000</v>
      </c>
      <c r="N288" s="4">
        <f t="shared" si="28"/>
        <v>1</v>
      </c>
    </row>
    <row r="289" spans="1:14" s="9" customFormat="1" ht="9.75">
      <c r="A289" s="78"/>
      <c r="B289" s="29" t="s">
        <v>286</v>
      </c>
      <c r="C289" s="25"/>
      <c r="D289" s="5">
        <f>SUM(D285:D288)</f>
        <v>0</v>
      </c>
      <c r="E289" s="5">
        <f>SUM(E285:E288)</f>
        <v>0</v>
      </c>
      <c r="F289" s="5">
        <f>SUM(F285:F288)</f>
        <v>0</v>
      </c>
      <c r="G289" s="5">
        <f>SUM(G285:G288)</f>
        <v>315000</v>
      </c>
      <c r="H289" s="27">
        <f t="shared" si="27"/>
        <v>315000</v>
      </c>
      <c r="I289" s="5">
        <f>SUM(I285:I288)</f>
        <v>0</v>
      </c>
      <c r="J289" s="5">
        <f>SUM(J285:J288)</f>
        <v>0</v>
      </c>
      <c r="K289" s="5">
        <f>SUM(K285:K288)</f>
        <v>0</v>
      </c>
      <c r="L289" s="5">
        <f>SUM(L285:L288)</f>
        <v>313873.9</v>
      </c>
      <c r="M289" s="5">
        <f aca="true" t="shared" si="29" ref="M289:M320">SUM(I289:L289)</f>
        <v>313873.9</v>
      </c>
      <c r="N289" s="24">
        <f t="shared" si="28"/>
        <v>0.9964250793650794</v>
      </c>
    </row>
    <row r="290" spans="1:14" s="9" customFormat="1" ht="41.25" customHeight="1">
      <c r="A290" s="81"/>
      <c r="B290" s="65" t="s">
        <v>309</v>
      </c>
      <c r="C290" s="64" t="s">
        <v>74</v>
      </c>
      <c r="D290" s="6"/>
      <c r="E290" s="6"/>
      <c r="F290" s="6"/>
      <c r="G290" s="6"/>
      <c r="H290" s="6">
        <f t="shared" si="27"/>
        <v>0</v>
      </c>
      <c r="I290" s="69">
        <v>7180</v>
      </c>
      <c r="J290" s="12"/>
      <c r="K290" s="12"/>
      <c r="L290" s="12"/>
      <c r="M290" s="6">
        <f t="shared" si="29"/>
        <v>7180</v>
      </c>
      <c r="N290" s="4"/>
    </row>
    <row r="291" spans="1:14" s="9" customFormat="1" ht="9.75" customHeight="1">
      <c r="A291" s="78"/>
      <c r="B291" s="29" t="s">
        <v>310</v>
      </c>
      <c r="C291" s="25"/>
      <c r="D291" s="5">
        <f>SUM(D290)</f>
        <v>0</v>
      </c>
      <c r="E291" s="5">
        <f>SUM(E290)</f>
        <v>0</v>
      </c>
      <c r="F291" s="5">
        <f>SUM(F290)</f>
        <v>0</v>
      </c>
      <c r="G291" s="5">
        <f>SUM(G290)</f>
        <v>0</v>
      </c>
      <c r="H291" s="27">
        <f t="shared" si="27"/>
        <v>0</v>
      </c>
      <c r="I291" s="5">
        <f>SUM(I290)</f>
        <v>7180</v>
      </c>
      <c r="J291" s="5">
        <f>SUM(J290)</f>
        <v>0</v>
      </c>
      <c r="K291" s="5">
        <f>SUM(K290)</f>
        <v>0</v>
      </c>
      <c r="L291" s="5">
        <f>SUM(L290)</f>
        <v>0</v>
      </c>
      <c r="M291" s="5">
        <f t="shared" si="29"/>
        <v>7180</v>
      </c>
      <c r="N291" s="24"/>
    </row>
    <row r="292" spans="1:14" ht="49.5" customHeight="1" hidden="1">
      <c r="A292" s="77"/>
      <c r="B292" s="19" t="s">
        <v>213</v>
      </c>
      <c r="C292" s="15" t="s">
        <v>212</v>
      </c>
      <c r="D292" s="3"/>
      <c r="E292" s="3"/>
      <c r="F292" s="3"/>
      <c r="G292" s="3"/>
      <c r="H292" s="6">
        <f t="shared" si="27"/>
        <v>0</v>
      </c>
      <c r="I292" s="6"/>
      <c r="J292" s="6"/>
      <c r="K292" s="6"/>
      <c r="L292" s="6"/>
      <c r="M292" s="6">
        <f t="shared" si="29"/>
        <v>0</v>
      </c>
      <c r="N292" s="7"/>
    </row>
    <row r="293" spans="1:14" ht="9.75" hidden="1">
      <c r="A293" s="77"/>
      <c r="B293" s="29" t="s">
        <v>214</v>
      </c>
      <c r="C293" s="25"/>
      <c r="D293" s="5">
        <f>SUM(D292)</f>
        <v>0</v>
      </c>
      <c r="E293" s="5">
        <f>SUM(E292)</f>
        <v>0</v>
      </c>
      <c r="F293" s="5">
        <f>SUM(F292)</f>
        <v>0</v>
      </c>
      <c r="G293" s="5">
        <f>SUM(G292)</f>
        <v>0</v>
      </c>
      <c r="H293" s="5">
        <f t="shared" si="27"/>
        <v>0</v>
      </c>
      <c r="I293" s="12">
        <f>SUM(I292)</f>
        <v>0</v>
      </c>
      <c r="J293" s="12">
        <f>SUM(J292)</f>
        <v>0</v>
      </c>
      <c r="K293" s="12">
        <f>SUM(K292)</f>
        <v>0</v>
      </c>
      <c r="L293" s="12">
        <f>SUM(L292)</f>
        <v>0</v>
      </c>
      <c r="M293" s="12">
        <f t="shared" si="29"/>
        <v>0</v>
      </c>
      <c r="N293" s="24"/>
    </row>
    <row r="294" spans="1:14" s="9" customFormat="1" ht="9.75" customHeight="1" hidden="1">
      <c r="A294" s="78"/>
      <c r="B294" s="76" t="s">
        <v>215</v>
      </c>
      <c r="C294" s="15" t="s">
        <v>72</v>
      </c>
      <c r="D294" s="12"/>
      <c r="E294" s="12"/>
      <c r="F294" s="12"/>
      <c r="G294" s="12"/>
      <c r="H294" s="6">
        <f t="shared" si="27"/>
        <v>0</v>
      </c>
      <c r="I294" s="6"/>
      <c r="J294" s="12"/>
      <c r="K294" s="12"/>
      <c r="L294" s="12"/>
      <c r="M294" s="6">
        <f t="shared" si="29"/>
        <v>0</v>
      </c>
      <c r="N294" s="7"/>
    </row>
    <row r="295" spans="1:14" ht="41.25" customHeight="1">
      <c r="A295" s="77"/>
      <c r="B295" s="122" t="s">
        <v>215</v>
      </c>
      <c r="C295" s="15" t="s">
        <v>287</v>
      </c>
      <c r="D295" s="3"/>
      <c r="E295" s="3"/>
      <c r="F295" s="3"/>
      <c r="G295" s="3"/>
      <c r="H295" s="6">
        <f t="shared" si="27"/>
        <v>0</v>
      </c>
      <c r="I295" s="6">
        <v>666.44</v>
      </c>
      <c r="J295" s="6"/>
      <c r="K295" s="6"/>
      <c r="L295" s="6"/>
      <c r="M295" s="6">
        <f t="shared" si="29"/>
        <v>666.44</v>
      </c>
      <c r="N295" s="4"/>
    </row>
    <row r="296" spans="1:14" ht="41.25" customHeight="1">
      <c r="A296" s="77"/>
      <c r="B296" s="126"/>
      <c r="C296" s="15" t="s">
        <v>212</v>
      </c>
      <c r="D296" s="3"/>
      <c r="E296" s="3"/>
      <c r="F296" s="3"/>
      <c r="G296" s="3"/>
      <c r="H296" s="6">
        <f t="shared" si="27"/>
        <v>0</v>
      </c>
      <c r="I296" s="6">
        <v>112245.01</v>
      </c>
      <c r="J296" s="6"/>
      <c r="K296" s="6"/>
      <c r="L296" s="6"/>
      <c r="M296" s="6">
        <f t="shared" si="29"/>
        <v>112245.01</v>
      </c>
      <c r="N296" s="4"/>
    </row>
    <row r="297" spans="1:14" ht="10.5" customHeight="1">
      <c r="A297" s="77"/>
      <c r="B297" s="29" t="s">
        <v>216</v>
      </c>
      <c r="C297" s="25"/>
      <c r="D297" s="5">
        <f>SUM(D294:D296)</f>
        <v>0</v>
      </c>
      <c r="E297" s="5">
        <f>SUM(E294:E296)</f>
        <v>0</v>
      </c>
      <c r="F297" s="5">
        <f>SUM(F294:F296)</f>
        <v>0</v>
      </c>
      <c r="G297" s="5">
        <f>SUM(G294:G296)</f>
        <v>0</v>
      </c>
      <c r="H297" s="5">
        <f t="shared" si="27"/>
        <v>0</v>
      </c>
      <c r="I297" s="5">
        <f>SUM(I294:I296)</f>
        <v>112911.45</v>
      </c>
      <c r="J297" s="5">
        <f>SUM(J294:J296)</f>
        <v>0</v>
      </c>
      <c r="K297" s="5">
        <f>SUM(K294:K296)</f>
        <v>0</v>
      </c>
      <c r="L297" s="5">
        <f>SUM(L294:L296)</f>
        <v>0</v>
      </c>
      <c r="M297" s="5">
        <f t="shared" si="29"/>
        <v>112911.45</v>
      </c>
      <c r="N297" s="24"/>
    </row>
    <row r="298" spans="1:14" ht="99.75" customHeight="1">
      <c r="A298" s="77"/>
      <c r="B298" s="19" t="s">
        <v>163</v>
      </c>
      <c r="C298" s="23" t="s">
        <v>69</v>
      </c>
      <c r="D298" s="3"/>
      <c r="E298" s="3"/>
      <c r="F298" s="3"/>
      <c r="G298" s="3">
        <v>1820260</v>
      </c>
      <c r="H298" s="6">
        <f t="shared" si="27"/>
        <v>1820260</v>
      </c>
      <c r="I298" s="6"/>
      <c r="J298" s="6"/>
      <c r="K298" s="6"/>
      <c r="L298" s="6">
        <v>1666890.95</v>
      </c>
      <c r="M298" s="6">
        <f t="shared" si="29"/>
        <v>1666890.95</v>
      </c>
      <c r="N298" s="4">
        <f>M298/H298</f>
        <v>0.9157433278762375</v>
      </c>
    </row>
    <row r="299" spans="1:14" ht="12" customHeight="1">
      <c r="A299" s="77"/>
      <c r="B299" s="29" t="s">
        <v>164</v>
      </c>
      <c r="C299" s="25"/>
      <c r="D299" s="5">
        <f>SUM(D298)</f>
        <v>0</v>
      </c>
      <c r="E299" s="5">
        <f>SUM(E298)</f>
        <v>0</v>
      </c>
      <c r="F299" s="5">
        <f>SUM(F298)</f>
        <v>0</v>
      </c>
      <c r="G299" s="5">
        <f>SUM(G298)</f>
        <v>1820260</v>
      </c>
      <c r="H299" s="5">
        <f t="shared" si="27"/>
        <v>1820260</v>
      </c>
      <c r="I299" s="5">
        <f>SUM(I298)</f>
        <v>0</v>
      </c>
      <c r="J299" s="5">
        <f>SUM(J298)</f>
        <v>0</v>
      </c>
      <c r="K299" s="5">
        <f>SUM(K298)</f>
        <v>0</v>
      </c>
      <c r="L299" s="5">
        <f>SUM(L298)</f>
        <v>1666890.95</v>
      </c>
      <c r="M299" s="5">
        <f t="shared" si="29"/>
        <v>1666890.95</v>
      </c>
      <c r="N299" s="24">
        <f>M299/H299</f>
        <v>0.9157433278762375</v>
      </c>
    </row>
    <row r="300" spans="1:14" ht="11.25" customHeight="1">
      <c r="A300" s="77"/>
      <c r="B300" s="122" t="s">
        <v>217</v>
      </c>
      <c r="C300" s="67" t="s">
        <v>71</v>
      </c>
      <c r="D300" s="3"/>
      <c r="E300" s="3"/>
      <c r="F300" s="3"/>
      <c r="G300" s="3"/>
      <c r="H300" s="6">
        <f t="shared" si="27"/>
        <v>0</v>
      </c>
      <c r="I300" s="6">
        <v>1296.02</v>
      </c>
      <c r="J300" s="6"/>
      <c r="K300" s="6"/>
      <c r="L300" s="6"/>
      <c r="M300" s="6">
        <f t="shared" si="29"/>
        <v>1296.02</v>
      </c>
      <c r="N300" s="4"/>
    </row>
    <row r="301" spans="1:14" ht="9" customHeight="1">
      <c r="A301" s="77"/>
      <c r="B301" s="126"/>
      <c r="C301" s="15" t="s">
        <v>190</v>
      </c>
      <c r="D301" s="3"/>
      <c r="E301" s="3"/>
      <c r="F301" s="3"/>
      <c r="G301" s="3"/>
      <c r="H301" s="6">
        <f t="shared" si="27"/>
        <v>0</v>
      </c>
      <c r="I301" s="6">
        <v>34438.77</v>
      </c>
      <c r="J301" s="6"/>
      <c r="K301" s="6"/>
      <c r="L301" s="6"/>
      <c r="M301" s="6">
        <f t="shared" si="29"/>
        <v>34438.77</v>
      </c>
      <c r="N301" s="4"/>
    </row>
    <row r="302" spans="1:14" ht="9.75">
      <c r="A302" s="77"/>
      <c r="B302" s="29" t="s">
        <v>218</v>
      </c>
      <c r="C302" s="25"/>
      <c r="D302" s="5">
        <f>SUM(D300:D301)</f>
        <v>0</v>
      </c>
      <c r="E302" s="5">
        <f>SUM(E300:E301)</f>
        <v>0</v>
      </c>
      <c r="F302" s="5">
        <f>SUM(F300:F301)</f>
        <v>0</v>
      </c>
      <c r="G302" s="5">
        <f>SUM(G300:G301)</f>
        <v>0</v>
      </c>
      <c r="H302" s="5">
        <f t="shared" si="27"/>
        <v>0</v>
      </c>
      <c r="I302" s="5">
        <f>SUM(I300:I301)</f>
        <v>35734.78999999999</v>
      </c>
      <c r="J302" s="5">
        <f>SUM(J300:J301)</f>
        <v>0</v>
      </c>
      <c r="K302" s="5">
        <f>SUM(K300:K301)</f>
        <v>0</v>
      </c>
      <c r="L302" s="5">
        <f>SUM(L300:L301)</f>
        <v>0</v>
      </c>
      <c r="M302" s="5">
        <f t="shared" si="29"/>
        <v>35734.78999999999</v>
      </c>
      <c r="N302" s="24"/>
    </row>
    <row r="303" spans="1:14" s="9" customFormat="1" ht="9" customHeight="1" hidden="1">
      <c r="A303" s="78"/>
      <c r="B303" s="96"/>
      <c r="C303" s="15" t="s">
        <v>72</v>
      </c>
      <c r="D303" s="12"/>
      <c r="E303" s="12"/>
      <c r="F303" s="12"/>
      <c r="G303" s="12"/>
      <c r="H303" s="6">
        <f t="shared" si="27"/>
        <v>0</v>
      </c>
      <c r="I303" s="12"/>
      <c r="J303" s="12"/>
      <c r="K303" s="12"/>
      <c r="L303" s="12"/>
      <c r="M303" s="6">
        <f t="shared" si="29"/>
        <v>0</v>
      </c>
      <c r="N303" s="4" t="e">
        <f>M303/H303</f>
        <v>#DIV/0!</v>
      </c>
    </row>
    <row r="304" spans="1:14" s="9" customFormat="1" ht="59.25" customHeight="1">
      <c r="A304" s="78"/>
      <c r="B304" s="122" t="s">
        <v>219</v>
      </c>
      <c r="C304" s="15" t="s">
        <v>129</v>
      </c>
      <c r="D304" s="12"/>
      <c r="E304" s="12"/>
      <c r="F304" s="69">
        <f>2253+14030</f>
        <v>16283</v>
      </c>
      <c r="G304" s="12"/>
      <c r="H304" s="6">
        <f t="shared" si="27"/>
        <v>16283</v>
      </c>
      <c r="I304" s="12"/>
      <c r="J304" s="12"/>
      <c r="K304" s="69">
        <v>16282.28</v>
      </c>
      <c r="L304" s="12"/>
      <c r="M304" s="6">
        <f t="shared" si="29"/>
        <v>16282.28</v>
      </c>
      <c r="N304" s="4">
        <f>M304/H304</f>
        <v>0.9999557821040349</v>
      </c>
    </row>
    <row r="305" spans="1:14" ht="18.75" customHeight="1" hidden="1">
      <c r="A305" s="77"/>
      <c r="B305" s="126"/>
      <c r="C305" s="15" t="s">
        <v>212</v>
      </c>
      <c r="D305" s="3"/>
      <c r="E305" s="3"/>
      <c r="F305" s="3"/>
      <c r="G305" s="3"/>
      <c r="H305" s="6">
        <f t="shared" si="27"/>
        <v>0</v>
      </c>
      <c r="I305" s="6"/>
      <c r="J305" s="6"/>
      <c r="K305" s="6"/>
      <c r="L305" s="6"/>
      <c r="M305" s="6">
        <f t="shared" si="29"/>
        <v>0</v>
      </c>
      <c r="N305" s="4"/>
    </row>
    <row r="306" spans="1:14" ht="9.75">
      <c r="A306" s="77"/>
      <c r="B306" s="29" t="s">
        <v>219</v>
      </c>
      <c r="C306" s="25"/>
      <c r="D306" s="5">
        <f>SUM(D303:D305)</f>
        <v>0</v>
      </c>
      <c r="E306" s="5">
        <f>SUM(E303:E305)</f>
        <v>0</v>
      </c>
      <c r="F306" s="5">
        <f>SUM(F303:F305)</f>
        <v>16283</v>
      </c>
      <c r="G306" s="5">
        <f>SUM(G303:G305)</f>
        <v>0</v>
      </c>
      <c r="H306" s="5">
        <f t="shared" si="27"/>
        <v>16283</v>
      </c>
      <c r="I306" s="5">
        <f>SUM(I303:I305)</f>
        <v>0</v>
      </c>
      <c r="J306" s="5">
        <f>SUM(J303:J305)</f>
        <v>0</v>
      </c>
      <c r="K306" s="5">
        <f>SUM(K303:K305)</f>
        <v>16282.28</v>
      </c>
      <c r="L306" s="5">
        <f>SUM(L303:L305)</f>
        <v>0</v>
      </c>
      <c r="M306" s="5">
        <f t="shared" si="29"/>
        <v>16282.28</v>
      </c>
      <c r="N306" s="24">
        <f aca="true" t="shared" si="30" ref="N306:N347">M306/H306</f>
        <v>0.9999557821040349</v>
      </c>
    </row>
    <row r="307" spans="1:14" ht="9" customHeight="1">
      <c r="A307" s="31" t="s">
        <v>46</v>
      </c>
      <c r="B307" s="31"/>
      <c r="C307" s="20"/>
      <c r="D307" s="21">
        <f>SUM(D306,D291,D302,D299,D297,D293,D289,D284)</f>
        <v>460000</v>
      </c>
      <c r="E307" s="21">
        <f>SUM(E306,E291,E302,E299,E297,E293,E289,E284)</f>
        <v>0</v>
      </c>
      <c r="F307" s="21">
        <f>SUM(F306,F291,F302,F299,F297,F293,F289,F284)</f>
        <v>16283</v>
      </c>
      <c r="G307" s="21">
        <f>SUM(G306,G291,G302,G299,G297,G293,G289,G284)</f>
        <v>2135260</v>
      </c>
      <c r="H307" s="21">
        <f t="shared" si="27"/>
        <v>2611543</v>
      </c>
      <c r="I307" s="21">
        <f>SUM(I306,I291,I302,I299,I297,I293,I289,I284)</f>
        <v>637890.52</v>
      </c>
      <c r="J307" s="21">
        <f>SUM(J306,J291,J302,J299,J297,J293,J289,J284)</f>
        <v>0</v>
      </c>
      <c r="K307" s="21">
        <f>SUM(K306,K291,K302,K299,K297,K293,K289,K284)</f>
        <v>16282.28</v>
      </c>
      <c r="L307" s="21">
        <f>SUM(L306,L291,L302,L299,L297,L293,L289,L284)</f>
        <v>1980764.85</v>
      </c>
      <c r="M307" s="21">
        <f t="shared" si="29"/>
        <v>2634937.6500000004</v>
      </c>
      <c r="N307" s="26">
        <f t="shared" si="30"/>
        <v>1.008958171471808</v>
      </c>
    </row>
    <row r="308" spans="1:14" s="9" customFormat="1" ht="39" customHeight="1">
      <c r="A308" s="120" t="s">
        <v>106</v>
      </c>
      <c r="B308" s="122" t="s">
        <v>107</v>
      </c>
      <c r="C308" s="15" t="s">
        <v>304</v>
      </c>
      <c r="D308" s="42"/>
      <c r="E308" s="42"/>
      <c r="F308" s="42"/>
      <c r="G308" s="42"/>
      <c r="H308" s="6">
        <f t="shared" si="27"/>
        <v>0</v>
      </c>
      <c r="I308" s="6"/>
      <c r="J308" s="6">
        <v>821.82</v>
      </c>
      <c r="K308" s="42"/>
      <c r="L308" s="42"/>
      <c r="M308" s="6">
        <f t="shared" si="29"/>
        <v>821.82</v>
      </c>
      <c r="N308" s="4"/>
    </row>
    <row r="309" spans="1:14" s="9" customFormat="1" ht="11.25" customHeight="1">
      <c r="A309" s="121"/>
      <c r="B309" s="123"/>
      <c r="C309" s="14" t="s">
        <v>71</v>
      </c>
      <c r="D309" s="42"/>
      <c r="E309" s="42"/>
      <c r="F309" s="42"/>
      <c r="G309" s="42"/>
      <c r="H309" s="6">
        <f t="shared" si="27"/>
        <v>0</v>
      </c>
      <c r="I309" s="6"/>
      <c r="J309" s="6">
        <v>8.8</v>
      </c>
      <c r="K309" s="42"/>
      <c r="L309" s="42"/>
      <c r="M309" s="6">
        <f t="shared" si="29"/>
        <v>8.8</v>
      </c>
      <c r="N309" s="4"/>
    </row>
    <row r="310" spans="1:14" s="9" customFormat="1" ht="49.5" customHeight="1">
      <c r="A310" s="121"/>
      <c r="B310" s="123"/>
      <c r="C310" s="15" t="s">
        <v>104</v>
      </c>
      <c r="D310" s="42"/>
      <c r="E310" s="42"/>
      <c r="F310" s="42"/>
      <c r="G310" s="42"/>
      <c r="H310" s="6">
        <f t="shared" si="27"/>
        <v>0</v>
      </c>
      <c r="I310" s="42"/>
      <c r="J310" s="6">
        <v>3105.76</v>
      </c>
      <c r="K310" s="42"/>
      <c r="L310" s="42"/>
      <c r="M310" s="6">
        <f t="shared" si="29"/>
        <v>3105.76</v>
      </c>
      <c r="N310" s="4"/>
    </row>
    <row r="311" spans="1:14" s="9" customFormat="1" ht="10.5" customHeight="1">
      <c r="A311" s="121"/>
      <c r="B311" s="123"/>
      <c r="C311" s="15" t="s">
        <v>190</v>
      </c>
      <c r="D311" s="42"/>
      <c r="E311" s="42"/>
      <c r="F311" s="42"/>
      <c r="G311" s="42"/>
      <c r="H311" s="6">
        <f t="shared" si="27"/>
        <v>0</v>
      </c>
      <c r="I311" s="42"/>
      <c r="J311" s="6">
        <v>3794.39</v>
      </c>
      <c r="K311" s="42"/>
      <c r="L311" s="42"/>
      <c r="M311" s="6">
        <f t="shared" si="29"/>
        <v>3794.39</v>
      </c>
      <c r="N311" s="4"/>
    </row>
    <row r="312" spans="1:14" s="9" customFormat="1" ht="20.25" customHeight="1" hidden="1">
      <c r="A312" s="121"/>
      <c r="B312" s="123"/>
      <c r="C312" s="15" t="s">
        <v>161</v>
      </c>
      <c r="D312" s="42"/>
      <c r="E312" s="42"/>
      <c r="F312" s="42"/>
      <c r="G312" s="42"/>
      <c r="H312" s="6">
        <f t="shared" si="27"/>
        <v>0</v>
      </c>
      <c r="I312" s="42"/>
      <c r="J312" s="6"/>
      <c r="K312" s="42"/>
      <c r="L312" s="42"/>
      <c r="M312" s="6">
        <f t="shared" si="29"/>
        <v>0</v>
      </c>
      <c r="N312" s="4" t="e">
        <f t="shared" si="30"/>
        <v>#DIV/0!</v>
      </c>
    </row>
    <row r="313" spans="1:14" s="9" customFormat="1" ht="11.25">
      <c r="A313" s="121"/>
      <c r="B313" s="123"/>
      <c r="C313" s="15" t="s">
        <v>72</v>
      </c>
      <c r="D313" s="42"/>
      <c r="E313" s="42"/>
      <c r="F313" s="42"/>
      <c r="G313" s="42"/>
      <c r="H313" s="6">
        <f t="shared" si="27"/>
        <v>0</v>
      </c>
      <c r="I313" s="42"/>
      <c r="J313" s="6">
        <v>6028.22</v>
      </c>
      <c r="K313" s="42"/>
      <c r="L313" s="42"/>
      <c r="M313" s="6">
        <f t="shared" si="29"/>
        <v>6028.22</v>
      </c>
      <c r="N313" s="4"/>
    </row>
    <row r="314" spans="1:14" s="9" customFormat="1" ht="30" customHeight="1">
      <c r="A314" s="121"/>
      <c r="B314" s="123"/>
      <c r="C314" s="65" t="s">
        <v>73</v>
      </c>
      <c r="D314" s="42"/>
      <c r="E314" s="3">
        <v>3000</v>
      </c>
      <c r="F314" s="42"/>
      <c r="G314" s="42"/>
      <c r="H314" s="6">
        <f t="shared" si="27"/>
        <v>3000</v>
      </c>
      <c r="I314" s="42"/>
      <c r="J314" s="6">
        <v>3000</v>
      </c>
      <c r="K314" s="42"/>
      <c r="L314" s="42"/>
      <c r="M314" s="6">
        <f t="shared" si="29"/>
        <v>3000</v>
      </c>
      <c r="N314" s="4">
        <f t="shared" si="30"/>
        <v>1</v>
      </c>
    </row>
    <row r="315" spans="1:14" ht="42" customHeight="1">
      <c r="A315" s="121"/>
      <c r="B315" s="123"/>
      <c r="C315" s="15" t="s">
        <v>83</v>
      </c>
      <c r="D315" s="3"/>
      <c r="E315" s="3">
        <v>39200</v>
      </c>
      <c r="F315" s="3"/>
      <c r="G315" s="3"/>
      <c r="H315" s="6">
        <f t="shared" si="27"/>
        <v>39200</v>
      </c>
      <c r="I315" s="6"/>
      <c r="J315" s="6">
        <v>127576.78</v>
      </c>
      <c r="K315" s="6"/>
      <c r="L315" s="6"/>
      <c r="M315" s="6">
        <f t="shared" si="29"/>
        <v>127576.78</v>
      </c>
      <c r="N315" s="4">
        <f t="shared" si="30"/>
        <v>3.254509693877551</v>
      </c>
    </row>
    <row r="316" spans="1:14" ht="48" customHeight="1">
      <c r="A316" s="62"/>
      <c r="B316" s="123"/>
      <c r="C316" s="15" t="s">
        <v>294</v>
      </c>
      <c r="D316" s="3"/>
      <c r="E316" s="3">
        <f>343560-85890</f>
        <v>257670</v>
      </c>
      <c r="F316" s="3"/>
      <c r="G316" s="3"/>
      <c r="H316" s="6">
        <f t="shared" si="27"/>
        <v>257670</v>
      </c>
      <c r="I316" s="6"/>
      <c r="J316" s="6">
        <v>51533.92</v>
      </c>
      <c r="K316" s="6"/>
      <c r="L316" s="6"/>
      <c r="M316" s="6">
        <f t="shared" si="29"/>
        <v>51533.92</v>
      </c>
      <c r="N316" s="4">
        <f t="shared" si="30"/>
        <v>0.1999996895253619</v>
      </c>
    </row>
    <row r="317" spans="1:14" ht="48" customHeight="1">
      <c r="A317" s="62"/>
      <c r="B317" s="92"/>
      <c r="C317" s="15" t="s">
        <v>313</v>
      </c>
      <c r="D317" s="3"/>
      <c r="E317" s="3">
        <v>85890</v>
      </c>
      <c r="F317" s="3"/>
      <c r="G317" s="3"/>
      <c r="H317" s="6">
        <f t="shared" si="27"/>
        <v>85890</v>
      </c>
      <c r="I317" s="6"/>
      <c r="J317" s="6">
        <v>17177.98</v>
      </c>
      <c r="K317" s="6"/>
      <c r="L317" s="6"/>
      <c r="M317" s="6">
        <f t="shared" si="29"/>
        <v>17177.98</v>
      </c>
      <c r="N317" s="4">
        <f t="shared" si="30"/>
        <v>0.19999976714402143</v>
      </c>
    </row>
    <row r="318" spans="1:14" ht="9.75" customHeight="1">
      <c r="A318" s="80"/>
      <c r="B318" s="29" t="s">
        <v>165</v>
      </c>
      <c r="C318" s="25"/>
      <c r="D318" s="5">
        <f>SUM(D308:D317)</f>
        <v>0</v>
      </c>
      <c r="E318" s="5">
        <f>SUM(E308:E317)</f>
        <v>385760</v>
      </c>
      <c r="F318" s="5">
        <f>SUM(F308:F317)</f>
        <v>0</v>
      </c>
      <c r="G318" s="5">
        <f>SUM(G308:G317)</f>
        <v>0</v>
      </c>
      <c r="H318" s="5">
        <f t="shared" si="27"/>
        <v>385760</v>
      </c>
      <c r="I318" s="5">
        <f>SUM(I308:I317)</f>
        <v>0</v>
      </c>
      <c r="J318" s="5">
        <f>SUM(J308:J317)</f>
        <v>213047.67</v>
      </c>
      <c r="K318" s="5">
        <f>SUM(K308:K317)</f>
        <v>0</v>
      </c>
      <c r="L318" s="5">
        <f>SUM(L308:L317)</f>
        <v>0</v>
      </c>
      <c r="M318" s="5">
        <f t="shared" si="29"/>
        <v>213047.67</v>
      </c>
      <c r="N318" s="24">
        <f t="shared" si="30"/>
        <v>0.5522803556615512</v>
      </c>
    </row>
    <row r="319" spans="1:14" s="9" customFormat="1" ht="12.75" customHeight="1">
      <c r="A319" s="78"/>
      <c r="B319" s="122" t="s">
        <v>108</v>
      </c>
      <c r="C319" s="67" t="s">
        <v>71</v>
      </c>
      <c r="D319" s="12"/>
      <c r="E319" s="12"/>
      <c r="F319" s="12"/>
      <c r="G319" s="12"/>
      <c r="H319" s="6">
        <f t="shared" si="27"/>
        <v>0</v>
      </c>
      <c r="I319" s="6">
        <v>33383.16</v>
      </c>
      <c r="J319" s="12"/>
      <c r="K319" s="12"/>
      <c r="L319" s="12"/>
      <c r="M319" s="6">
        <f t="shared" si="29"/>
        <v>33383.16</v>
      </c>
      <c r="N319" s="4"/>
    </row>
    <row r="320" spans="1:14" ht="11.25" customHeight="1">
      <c r="A320" s="77"/>
      <c r="B320" s="123"/>
      <c r="C320" s="14" t="s">
        <v>76</v>
      </c>
      <c r="D320" s="3"/>
      <c r="E320" s="3">
        <f>420000+16900</f>
        <v>436900</v>
      </c>
      <c r="F320" s="3"/>
      <c r="G320" s="3"/>
      <c r="H320" s="6">
        <f t="shared" si="27"/>
        <v>436900</v>
      </c>
      <c r="J320" s="6">
        <v>427847.05</v>
      </c>
      <c r="K320" s="6"/>
      <c r="L320" s="6"/>
      <c r="M320" s="6">
        <f t="shared" si="29"/>
        <v>427847.05</v>
      </c>
      <c r="N320" s="4">
        <f t="shared" si="30"/>
        <v>0.9792791256580453</v>
      </c>
    </row>
    <row r="321" spans="1:14" ht="9" customHeight="1">
      <c r="A321" s="77"/>
      <c r="B321" s="123"/>
      <c r="C321" s="15" t="s">
        <v>72</v>
      </c>
      <c r="D321" s="3"/>
      <c r="E321" s="3"/>
      <c r="F321" s="3"/>
      <c r="G321" s="3"/>
      <c r="H321" s="6">
        <f t="shared" si="27"/>
        <v>0</v>
      </c>
      <c r="I321" s="6"/>
      <c r="J321" s="6">
        <v>2270.07</v>
      </c>
      <c r="K321" s="6"/>
      <c r="L321" s="6"/>
      <c r="M321" s="6">
        <f aca="true" t="shared" si="31" ref="M321:M342">SUM(I321:L321)</f>
        <v>2270.07</v>
      </c>
      <c r="N321" s="4"/>
    </row>
    <row r="322" spans="1:14" ht="12" customHeight="1">
      <c r="A322" s="77"/>
      <c r="B322" s="123"/>
      <c r="C322" s="15" t="s">
        <v>74</v>
      </c>
      <c r="D322" s="3"/>
      <c r="E322" s="3"/>
      <c r="F322" s="3"/>
      <c r="G322" s="3"/>
      <c r="H322" s="6">
        <f t="shared" si="27"/>
        <v>0</v>
      </c>
      <c r="I322" s="6">
        <v>717.48</v>
      </c>
      <c r="J322" s="6">
        <v>1464.44</v>
      </c>
      <c r="K322" s="6"/>
      <c r="L322" s="6"/>
      <c r="M322" s="6">
        <f t="shared" si="31"/>
        <v>2181.92</v>
      </c>
      <c r="N322" s="4"/>
    </row>
    <row r="323" spans="1:14" s="9" customFormat="1" ht="30" customHeight="1">
      <c r="A323" s="78"/>
      <c r="B323" s="126"/>
      <c r="C323" s="65" t="s">
        <v>73</v>
      </c>
      <c r="D323" s="6"/>
      <c r="E323" s="6">
        <f>1279200+50000-58500-33800+4400</f>
        <v>1241300</v>
      </c>
      <c r="F323" s="6"/>
      <c r="G323" s="6"/>
      <c r="H323" s="6">
        <f t="shared" si="27"/>
        <v>1241300</v>
      </c>
      <c r="I323" s="6"/>
      <c r="J323" s="6">
        <v>1239281.3</v>
      </c>
      <c r="K323" s="6"/>
      <c r="L323" s="6"/>
      <c r="M323" s="6">
        <f t="shared" si="31"/>
        <v>1239281.3</v>
      </c>
      <c r="N323" s="7">
        <f t="shared" si="30"/>
        <v>0.998373721098848</v>
      </c>
    </row>
    <row r="324" spans="1:14" ht="9.75" customHeight="1">
      <c r="A324" s="77"/>
      <c r="B324" s="29" t="s">
        <v>166</v>
      </c>
      <c r="C324" s="25"/>
      <c r="D324" s="5">
        <f>SUM(D319:D323)</f>
        <v>0</v>
      </c>
      <c r="E324" s="5">
        <f>SUM(E319:E323)</f>
        <v>1678200</v>
      </c>
      <c r="F324" s="5">
        <f>SUM(F319:F323)</f>
        <v>0</v>
      </c>
      <c r="G324" s="5">
        <f>SUM(G319:G323)</f>
        <v>0</v>
      </c>
      <c r="H324" s="5">
        <f t="shared" si="27"/>
        <v>1678200</v>
      </c>
      <c r="I324" s="5">
        <f>SUM(I319:I323)</f>
        <v>34100.64000000001</v>
      </c>
      <c r="J324" s="5">
        <f>SUM(J319:J323)</f>
        <v>1670862.86</v>
      </c>
      <c r="K324" s="5">
        <f>SUM(K319:K323)</f>
        <v>0</v>
      </c>
      <c r="L324" s="5">
        <f>SUM(L319:L323)</f>
        <v>0</v>
      </c>
      <c r="M324" s="5">
        <f t="shared" si="31"/>
        <v>1704963.5</v>
      </c>
      <c r="N324" s="24">
        <f t="shared" si="30"/>
        <v>1.0159477416279348</v>
      </c>
    </row>
    <row r="325" spans="1:14" ht="10.5" customHeight="1">
      <c r="A325" s="77"/>
      <c r="B325" s="122" t="s">
        <v>109</v>
      </c>
      <c r="C325" s="14" t="s">
        <v>76</v>
      </c>
      <c r="D325" s="3">
        <v>350000</v>
      </c>
      <c r="E325" s="3"/>
      <c r="F325" s="3"/>
      <c r="G325" s="3"/>
      <c r="H325" s="6">
        <f t="shared" si="27"/>
        <v>350000</v>
      </c>
      <c r="I325" s="6">
        <v>391321.55</v>
      </c>
      <c r="J325" s="6"/>
      <c r="K325" s="6"/>
      <c r="L325" s="6"/>
      <c r="M325" s="6">
        <f t="shared" si="31"/>
        <v>391321.55</v>
      </c>
      <c r="N325" s="4">
        <f t="shared" si="30"/>
        <v>1.1180615714285713</v>
      </c>
    </row>
    <row r="326" spans="1:14" ht="51" customHeight="1">
      <c r="A326" s="77"/>
      <c r="B326" s="123"/>
      <c r="C326" s="15" t="s">
        <v>129</v>
      </c>
      <c r="D326" s="3"/>
      <c r="E326" s="3"/>
      <c r="F326" s="3">
        <f>558360-122760+50600</f>
        <v>486200</v>
      </c>
      <c r="G326" s="3"/>
      <c r="H326" s="6">
        <f t="shared" si="27"/>
        <v>486200</v>
      </c>
      <c r="I326" s="6"/>
      <c r="J326" s="6"/>
      <c r="K326" s="6">
        <v>483523.43</v>
      </c>
      <c r="L326" s="6"/>
      <c r="M326" s="6">
        <f t="shared" si="31"/>
        <v>483523.43</v>
      </c>
      <c r="N326" s="4">
        <f t="shared" si="30"/>
        <v>0.9944949197860963</v>
      </c>
    </row>
    <row r="327" spans="1:14" ht="51" customHeight="1">
      <c r="A327" s="77"/>
      <c r="B327" s="123"/>
      <c r="C327" s="23" t="s">
        <v>69</v>
      </c>
      <c r="D327" s="3"/>
      <c r="E327" s="3"/>
      <c r="F327" s="3"/>
      <c r="G327" s="3">
        <v>393000</v>
      </c>
      <c r="H327" s="6">
        <f t="shared" si="27"/>
        <v>393000</v>
      </c>
      <c r="I327" s="6"/>
      <c r="J327" s="6"/>
      <c r="K327" s="6"/>
      <c r="L327" s="6">
        <v>387236.67</v>
      </c>
      <c r="M327" s="6">
        <f t="shared" si="31"/>
        <v>387236.67</v>
      </c>
      <c r="N327" s="4">
        <f t="shared" si="30"/>
        <v>0.9853350381679389</v>
      </c>
    </row>
    <row r="328" spans="1:14" ht="32.25" customHeight="1" hidden="1">
      <c r="A328" s="77"/>
      <c r="B328" s="123"/>
      <c r="C328" s="18" t="s">
        <v>73</v>
      </c>
      <c r="D328" s="3"/>
      <c r="E328" s="3"/>
      <c r="F328" s="3"/>
      <c r="H328" s="6">
        <f t="shared" si="27"/>
        <v>0</v>
      </c>
      <c r="I328" s="6"/>
      <c r="J328" s="6"/>
      <c r="K328" s="6"/>
      <c r="L328" s="6"/>
      <c r="M328" s="6">
        <f t="shared" si="31"/>
        <v>0</v>
      </c>
      <c r="N328" s="4"/>
    </row>
    <row r="329" spans="1:14" ht="42" customHeight="1">
      <c r="A329" s="77"/>
      <c r="B329" s="123"/>
      <c r="C329" s="18" t="s">
        <v>77</v>
      </c>
      <c r="D329" s="3">
        <f>325-40</f>
        <v>285</v>
      </c>
      <c r="E329" s="3"/>
      <c r="F329" s="3"/>
      <c r="G329" s="3"/>
      <c r="H329" s="6">
        <f t="shared" si="27"/>
        <v>285</v>
      </c>
      <c r="I329" s="6">
        <v>531.89</v>
      </c>
      <c r="J329" s="6"/>
      <c r="K329" s="6"/>
      <c r="L329" s="6"/>
      <c r="M329" s="6">
        <f t="shared" si="31"/>
        <v>531.89</v>
      </c>
      <c r="N329" s="4">
        <f t="shared" si="30"/>
        <v>1.8662807017543859</v>
      </c>
    </row>
    <row r="330" spans="1:14" ht="48" customHeight="1" hidden="1">
      <c r="A330" s="77"/>
      <c r="B330" s="14"/>
      <c r="C330" s="18" t="s">
        <v>79</v>
      </c>
      <c r="D330" s="3"/>
      <c r="E330" s="3"/>
      <c r="F330" s="3"/>
      <c r="G330" s="3"/>
      <c r="H330" s="6">
        <f t="shared" si="27"/>
        <v>0</v>
      </c>
      <c r="I330" s="6"/>
      <c r="J330" s="6"/>
      <c r="K330" s="6"/>
      <c r="L330" s="6"/>
      <c r="M330" s="6">
        <f t="shared" si="31"/>
        <v>0</v>
      </c>
      <c r="N330" s="4" t="e">
        <f t="shared" si="30"/>
        <v>#DIV/0!</v>
      </c>
    </row>
    <row r="331" spans="1:14" ht="10.5" customHeight="1">
      <c r="A331" s="77"/>
      <c r="B331" s="29" t="s">
        <v>167</v>
      </c>
      <c r="C331" s="25"/>
      <c r="D331" s="5">
        <f>SUM(D325:D330)</f>
        <v>350285</v>
      </c>
      <c r="E331" s="5">
        <f>SUM(E325:E330)</f>
        <v>0</v>
      </c>
      <c r="F331" s="5">
        <f>SUM(F325:F330)</f>
        <v>486200</v>
      </c>
      <c r="G331" s="5">
        <f>SUM(G325:G330)</f>
        <v>393000</v>
      </c>
      <c r="H331" s="5">
        <f t="shared" si="27"/>
        <v>1229485</v>
      </c>
      <c r="I331" s="5">
        <f>SUM(I325:I330)</f>
        <v>391853.44</v>
      </c>
      <c r="J331" s="5">
        <f>SUM(J325:J330)</f>
        <v>0</v>
      </c>
      <c r="K331" s="5">
        <f>SUM(K325:K330)</f>
        <v>483523.43</v>
      </c>
      <c r="L331" s="5">
        <f>SUM(L325:L330)</f>
        <v>387236.67</v>
      </c>
      <c r="M331" s="5">
        <f t="shared" si="31"/>
        <v>1262613.54</v>
      </c>
      <c r="N331" s="24">
        <f t="shared" si="30"/>
        <v>1.0269450542300231</v>
      </c>
    </row>
    <row r="332" spans="1:14" s="9" customFormat="1" ht="10.5" customHeight="1">
      <c r="A332" s="78"/>
      <c r="B332" s="122" t="s">
        <v>192</v>
      </c>
      <c r="C332" s="14" t="s">
        <v>71</v>
      </c>
      <c r="D332" s="12"/>
      <c r="E332" s="12"/>
      <c r="F332" s="12"/>
      <c r="G332" s="12"/>
      <c r="H332" s="6">
        <f t="shared" si="27"/>
        <v>0</v>
      </c>
      <c r="I332" s="12"/>
      <c r="J332" s="69">
        <v>3714.35</v>
      </c>
      <c r="K332" s="12"/>
      <c r="L332" s="12"/>
      <c r="M332" s="6">
        <f t="shared" si="31"/>
        <v>3714.35</v>
      </c>
      <c r="N332" s="4"/>
    </row>
    <row r="333" spans="1:14" s="9" customFormat="1" ht="11.25" customHeight="1">
      <c r="A333" s="78"/>
      <c r="B333" s="123"/>
      <c r="C333" s="15" t="s">
        <v>74</v>
      </c>
      <c r="D333" s="12"/>
      <c r="E333" s="12"/>
      <c r="F333" s="12"/>
      <c r="G333" s="12"/>
      <c r="H333" s="6">
        <f aca="true" t="shared" si="32" ref="H333:H397">SUM(D333:G333)</f>
        <v>0</v>
      </c>
      <c r="I333" s="12"/>
      <c r="J333" s="6">
        <v>1587.99</v>
      </c>
      <c r="K333" s="12"/>
      <c r="L333" s="12"/>
      <c r="M333" s="6">
        <f t="shared" si="31"/>
        <v>1587.99</v>
      </c>
      <c r="N333" s="4"/>
    </row>
    <row r="334" spans="1:14" ht="29.25" customHeight="1">
      <c r="A334" s="77"/>
      <c r="B334" s="126"/>
      <c r="C334" s="15" t="s">
        <v>83</v>
      </c>
      <c r="D334" s="3"/>
      <c r="E334" s="3">
        <v>162560</v>
      </c>
      <c r="F334" s="3"/>
      <c r="G334" s="3"/>
      <c r="H334" s="6">
        <f t="shared" si="32"/>
        <v>162560</v>
      </c>
      <c r="I334" s="6"/>
      <c r="J334" s="6">
        <v>212286.33</v>
      </c>
      <c r="K334" s="6"/>
      <c r="L334" s="6"/>
      <c r="M334" s="6">
        <f t="shared" si="31"/>
        <v>212286.33</v>
      </c>
      <c r="N334" s="4">
        <f t="shared" si="30"/>
        <v>1.3058952386811022</v>
      </c>
    </row>
    <row r="335" spans="1:14" ht="10.5" customHeight="1">
      <c r="A335" s="77"/>
      <c r="B335" s="29" t="s">
        <v>193</v>
      </c>
      <c r="C335" s="25"/>
      <c r="D335" s="5">
        <f>SUM(D332:D334)</f>
        <v>0</v>
      </c>
      <c r="E335" s="5">
        <f>SUM(E332:E334)</f>
        <v>162560</v>
      </c>
      <c r="F335" s="5">
        <f>SUM(F332:F334)</f>
        <v>0</v>
      </c>
      <c r="G335" s="5">
        <f>SUM(G332:G334)</f>
        <v>0</v>
      </c>
      <c r="H335" s="5">
        <f t="shared" si="32"/>
        <v>162560</v>
      </c>
      <c r="I335" s="5">
        <f>SUM(I332:I334)</f>
        <v>0</v>
      </c>
      <c r="J335" s="5">
        <f>SUM(J332:J334)</f>
        <v>217588.66999999998</v>
      </c>
      <c r="K335" s="5">
        <f>SUM(K332:K334)</f>
        <v>0</v>
      </c>
      <c r="L335" s="5">
        <f>SUM(L332:L334)</f>
        <v>0</v>
      </c>
      <c r="M335" s="5">
        <f t="shared" si="31"/>
        <v>217588.66999999998</v>
      </c>
      <c r="N335" s="24">
        <f t="shared" si="30"/>
        <v>1.3385129798228346</v>
      </c>
    </row>
    <row r="336" spans="1:14" s="9" customFormat="1" ht="12" customHeight="1">
      <c r="A336" s="78"/>
      <c r="B336" s="122" t="s">
        <v>168</v>
      </c>
      <c r="C336" s="15" t="s">
        <v>72</v>
      </c>
      <c r="D336" s="12"/>
      <c r="E336" s="12"/>
      <c r="F336" s="12"/>
      <c r="G336" s="12"/>
      <c r="H336" s="6">
        <f t="shared" si="32"/>
        <v>0</v>
      </c>
      <c r="I336" s="6">
        <v>53857.01</v>
      </c>
      <c r="J336" s="12"/>
      <c r="K336" s="12"/>
      <c r="L336" s="12"/>
      <c r="M336" s="6">
        <f t="shared" si="31"/>
        <v>53857.01</v>
      </c>
      <c r="N336" s="4"/>
    </row>
    <row r="337" spans="1:14" s="9" customFormat="1" ht="12" customHeight="1">
      <c r="A337" s="78"/>
      <c r="B337" s="123"/>
      <c r="C337" s="15" t="s">
        <v>74</v>
      </c>
      <c r="D337" s="12"/>
      <c r="E337" s="12"/>
      <c r="F337" s="12"/>
      <c r="G337" s="12"/>
      <c r="H337" s="6">
        <f t="shared" si="32"/>
        <v>0</v>
      </c>
      <c r="I337" s="6">
        <v>29322.79</v>
      </c>
      <c r="J337" s="12"/>
      <c r="K337" s="12"/>
      <c r="L337" s="12"/>
      <c r="M337" s="6">
        <f t="shared" si="31"/>
        <v>29322.79</v>
      </c>
      <c r="N337" s="4"/>
    </row>
    <row r="338" spans="1:14" ht="61.5" customHeight="1">
      <c r="A338" s="77"/>
      <c r="B338" s="123"/>
      <c r="C338" s="14" t="s">
        <v>129</v>
      </c>
      <c r="D338" s="3"/>
      <c r="E338" s="3"/>
      <c r="F338" s="3">
        <f>37603050+396950-73000-3814000</f>
        <v>34113000</v>
      </c>
      <c r="G338" s="3"/>
      <c r="H338" s="6">
        <f t="shared" si="32"/>
        <v>34113000</v>
      </c>
      <c r="I338" s="6"/>
      <c r="J338" s="6"/>
      <c r="K338" s="6">
        <v>33349057.13</v>
      </c>
      <c r="L338" s="6"/>
      <c r="M338" s="6">
        <f t="shared" si="31"/>
        <v>33349057.13</v>
      </c>
      <c r="N338" s="4">
        <f t="shared" si="30"/>
        <v>0.9776055207692081</v>
      </c>
    </row>
    <row r="339" spans="1:14" ht="50.25" customHeight="1">
      <c r="A339" s="77"/>
      <c r="B339" s="123"/>
      <c r="C339" s="18" t="s">
        <v>69</v>
      </c>
      <c r="D339" s="3"/>
      <c r="E339" s="3"/>
      <c r="F339" s="3"/>
      <c r="G339" s="3"/>
      <c r="H339" s="6">
        <f t="shared" si="32"/>
        <v>0</v>
      </c>
      <c r="I339" s="6"/>
      <c r="J339" s="6"/>
      <c r="K339" s="6"/>
      <c r="L339" s="6"/>
      <c r="M339" s="6">
        <f t="shared" si="31"/>
        <v>0</v>
      </c>
      <c r="N339" s="4"/>
    </row>
    <row r="340" spans="1:14" ht="48" customHeight="1">
      <c r="A340" s="77"/>
      <c r="B340" s="14"/>
      <c r="C340" s="18" t="s">
        <v>272</v>
      </c>
      <c r="D340" s="3"/>
      <c r="E340" s="3"/>
      <c r="F340" s="3"/>
      <c r="G340" s="3"/>
      <c r="H340" s="6">
        <f t="shared" si="32"/>
        <v>0</v>
      </c>
      <c r="I340" s="6"/>
      <c r="J340" s="6"/>
      <c r="K340" s="6"/>
      <c r="L340" s="6"/>
      <c r="M340" s="6">
        <f t="shared" si="31"/>
        <v>0</v>
      </c>
      <c r="N340" s="4"/>
    </row>
    <row r="341" spans="1:14" ht="10.5" customHeight="1">
      <c r="A341" s="77"/>
      <c r="B341" s="29" t="s">
        <v>169</v>
      </c>
      <c r="C341" s="25"/>
      <c r="D341" s="5">
        <f>SUM(D336:D340)</f>
        <v>0</v>
      </c>
      <c r="E341" s="5">
        <f>SUM(E336:E340)</f>
        <v>0</v>
      </c>
      <c r="F341" s="5">
        <f>SUM(F336:F340)</f>
        <v>34113000</v>
      </c>
      <c r="G341" s="5">
        <f>SUM(G336:G340)</f>
        <v>0</v>
      </c>
      <c r="H341" s="5">
        <f t="shared" si="32"/>
        <v>34113000</v>
      </c>
      <c r="I341" s="5">
        <f>SUM(I336:I340)</f>
        <v>83179.8</v>
      </c>
      <c r="J341" s="5">
        <f>SUM(J336:J340)</f>
        <v>0</v>
      </c>
      <c r="K341" s="5">
        <f>SUM(K336:K340)</f>
        <v>33349057.13</v>
      </c>
      <c r="L341" s="5">
        <f>SUM(L336:L340)</f>
        <v>0</v>
      </c>
      <c r="M341" s="5">
        <f t="shared" si="31"/>
        <v>33432236.93</v>
      </c>
      <c r="N341" s="24">
        <f t="shared" si="30"/>
        <v>0.9800438815114473</v>
      </c>
    </row>
    <row r="342" spans="1:14" ht="138" customHeight="1">
      <c r="A342" s="77"/>
      <c r="B342" s="19" t="s">
        <v>170</v>
      </c>
      <c r="C342" s="23" t="s">
        <v>129</v>
      </c>
      <c r="D342" s="3"/>
      <c r="E342" s="3"/>
      <c r="F342" s="3">
        <f>490390-26499</f>
        <v>463891</v>
      </c>
      <c r="G342" s="3"/>
      <c r="H342" s="6">
        <f t="shared" si="32"/>
        <v>463891</v>
      </c>
      <c r="I342" s="6"/>
      <c r="J342" s="6"/>
      <c r="K342" s="6">
        <v>434558.7</v>
      </c>
      <c r="L342" s="6"/>
      <c r="M342" s="6">
        <f t="shared" si="31"/>
        <v>434558.7</v>
      </c>
      <c r="N342" s="4">
        <f t="shared" si="30"/>
        <v>0.936768982368703</v>
      </c>
    </row>
    <row r="343" spans="1:14" ht="11.25" customHeight="1">
      <c r="A343" s="77"/>
      <c r="B343" s="29" t="s">
        <v>171</v>
      </c>
      <c r="C343" s="25"/>
      <c r="D343" s="5">
        <f>SUM(D342)</f>
        <v>0</v>
      </c>
      <c r="E343" s="5">
        <f>SUM(E342)</f>
        <v>0</v>
      </c>
      <c r="F343" s="5">
        <f>SUM(F342)</f>
        <v>463891</v>
      </c>
      <c r="G343" s="5">
        <f>SUM(G342)</f>
        <v>0</v>
      </c>
      <c r="H343" s="5">
        <f t="shared" si="32"/>
        <v>463891</v>
      </c>
      <c r="I343" s="5">
        <f>SUM(I342)</f>
        <v>0</v>
      </c>
      <c r="J343" s="5">
        <f>SUM(J342)</f>
        <v>0</v>
      </c>
      <c r="K343" s="5">
        <f>SUM(K342)</f>
        <v>434558.7</v>
      </c>
      <c r="L343" s="5">
        <f>SUM(L342)</f>
        <v>0</v>
      </c>
      <c r="M343" s="5">
        <f>SUM(M342)</f>
        <v>434558.7</v>
      </c>
      <c r="N343" s="24">
        <f t="shared" si="30"/>
        <v>0.936768982368703</v>
      </c>
    </row>
    <row r="344" spans="1:14" s="9" customFormat="1" ht="9.75" customHeight="1">
      <c r="A344" s="78"/>
      <c r="B344" s="122" t="s">
        <v>172</v>
      </c>
      <c r="C344" s="15" t="s">
        <v>74</v>
      </c>
      <c r="D344" s="12"/>
      <c r="E344" s="12"/>
      <c r="F344" s="12"/>
      <c r="G344" s="12"/>
      <c r="H344" s="6">
        <f t="shared" si="32"/>
        <v>0</v>
      </c>
      <c r="I344" s="6">
        <v>2323.67</v>
      </c>
      <c r="J344" s="12"/>
      <c r="K344" s="12"/>
      <c r="L344" s="12"/>
      <c r="M344" s="6">
        <f aca="true" t="shared" si="33" ref="M344:M375">SUM(I344:L344)</f>
        <v>2323.67</v>
      </c>
      <c r="N344" s="4"/>
    </row>
    <row r="345" spans="1:14" ht="51" customHeight="1">
      <c r="A345" s="77"/>
      <c r="B345" s="123"/>
      <c r="C345" s="14" t="s">
        <v>129</v>
      </c>
      <c r="D345" s="3"/>
      <c r="E345" s="3"/>
      <c r="F345" s="3">
        <f>5160000-512610</f>
        <v>4647390</v>
      </c>
      <c r="G345" s="3"/>
      <c r="H345" s="6">
        <f t="shared" si="32"/>
        <v>4647390</v>
      </c>
      <c r="I345" s="6"/>
      <c r="J345" s="6"/>
      <c r="K345" s="6">
        <v>4644886.4</v>
      </c>
      <c r="L345" s="6"/>
      <c r="M345" s="6">
        <f t="shared" si="33"/>
        <v>4644886.4</v>
      </c>
      <c r="N345" s="4">
        <f t="shared" si="30"/>
        <v>0.9994612890245924</v>
      </c>
    </row>
    <row r="346" spans="1:14" ht="41.25" customHeight="1">
      <c r="A346" s="77"/>
      <c r="B346" s="126"/>
      <c r="C346" s="18" t="s">
        <v>101</v>
      </c>
      <c r="D346" s="3">
        <f>334565+1000+31870+28020+18575</f>
        <v>414030</v>
      </c>
      <c r="E346" s="3"/>
      <c r="F346" s="3"/>
      <c r="G346" s="3"/>
      <c r="H346" s="6">
        <f t="shared" si="32"/>
        <v>414030</v>
      </c>
      <c r="I346" s="6">
        <v>337716.58</v>
      </c>
      <c r="J346" s="6"/>
      <c r="K346" s="6"/>
      <c r="L346" s="6"/>
      <c r="M346" s="6">
        <f t="shared" si="33"/>
        <v>337716.58</v>
      </c>
      <c r="N346" s="4">
        <f t="shared" si="30"/>
        <v>0.8156814240513973</v>
      </c>
    </row>
    <row r="347" spans="1:14" ht="12" customHeight="1">
      <c r="A347" s="77"/>
      <c r="B347" s="29" t="s">
        <v>173</v>
      </c>
      <c r="C347" s="25"/>
      <c r="D347" s="5">
        <f>SUM(D344:D346)</f>
        <v>414030</v>
      </c>
      <c r="E347" s="5">
        <f>SUM(E344:E346)</f>
        <v>0</v>
      </c>
      <c r="F347" s="5">
        <f>SUM(F344:F346)</f>
        <v>4647390</v>
      </c>
      <c r="G347" s="5">
        <f>SUM(G344:G346)</f>
        <v>0</v>
      </c>
      <c r="H347" s="5">
        <f t="shared" si="32"/>
        <v>5061420</v>
      </c>
      <c r="I347" s="5">
        <f>SUM(I344:I346)</f>
        <v>340040.25</v>
      </c>
      <c r="J347" s="5">
        <f>SUM(J345:J346)</f>
        <v>0</v>
      </c>
      <c r="K347" s="5">
        <f>SUM(K345:K346)</f>
        <v>4644886.4</v>
      </c>
      <c r="L347" s="5">
        <f>SUM(L345:L346)</f>
        <v>0</v>
      </c>
      <c r="M347" s="5">
        <f t="shared" si="33"/>
        <v>4984926.65</v>
      </c>
      <c r="N347" s="24">
        <f t="shared" si="30"/>
        <v>0.9848869783578522</v>
      </c>
    </row>
    <row r="348" spans="1:14" s="9" customFormat="1" ht="12" customHeight="1">
      <c r="A348" s="78"/>
      <c r="B348" s="122" t="s">
        <v>220</v>
      </c>
      <c r="C348" s="15" t="s">
        <v>72</v>
      </c>
      <c r="D348" s="12"/>
      <c r="E348" s="12"/>
      <c r="F348" s="12"/>
      <c r="G348" s="12"/>
      <c r="H348" s="6">
        <f t="shared" si="32"/>
        <v>0</v>
      </c>
      <c r="I348" s="6">
        <v>234.67</v>
      </c>
      <c r="J348" s="12"/>
      <c r="K348" s="12"/>
      <c r="L348" s="12"/>
      <c r="M348" s="6">
        <f t="shared" si="33"/>
        <v>234.67</v>
      </c>
      <c r="N348" s="4"/>
    </row>
    <row r="349" spans="1:14" ht="11.25" customHeight="1">
      <c r="A349" s="77"/>
      <c r="B349" s="123"/>
      <c r="C349" s="15" t="s">
        <v>74</v>
      </c>
      <c r="D349" s="3"/>
      <c r="E349" s="3"/>
      <c r="F349" s="3"/>
      <c r="G349" s="3"/>
      <c r="H349" s="6">
        <f t="shared" si="32"/>
        <v>0</v>
      </c>
      <c r="I349" s="6">
        <v>6139.87</v>
      </c>
      <c r="J349" s="6"/>
      <c r="K349" s="6"/>
      <c r="L349" s="6"/>
      <c r="M349" s="6">
        <f t="shared" si="33"/>
        <v>6139.87</v>
      </c>
      <c r="N349" s="4"/>
    </row>
    <row r="350" spans="1:14" ht="11.25" customHeight="1">
      <c r="A350" s="77"/>
      <c r="B350" s="29" t="s">
        <v>221</v>
      </c>
      <c r="C350" s="25"/>
      <c r="D350" s="5">
        <f>SUM(D348:D349)</f>
        <v>0</v>
      </c>
      <c r="E350" s="5">
        <f>SUM(E348:E349)</f>
        <v>0</v>
      </c>
      <c r="F350" s="5">
        <f>SUM(F348:F349)</f>
        <v>0</v>
      </c>
      <c r="G350" s="5">
        <f>SUM(G348:G349)</f>
        <v>0</v>
      </c>
      <c r="H350" s="5">
        <f t="shared" si="32"/>
        <v>0</v>
      </c>
      <c r="I350" s="5">
        <f>SUM(I348:I349)</f>
        <v>6374.54</v>
      </c>
      <c r="J350" s="5">
        <f>SUM(J348:J349)</f>
        <v>0</v>
      </c>
      <c r="K350" s="5">
        <f>SUM(K348:K349)</f>
        <v>0</v>
      </c>
      <c r="L350" s="5">
        <f>SUM(L348:L349)</f>
        <v>0</v>
      </c>
      <c r="M350" s="5">
        <f t="shared" si="33"/>
        <v>6374.54</v>
      </c>
      <c r="N350" s="24"/>
    </row>
    <row r="351" spans="1:14" s="9" customFormat="1" ht="11.25" customHeight="1">
      <c r="A351" s="78"/>
      <c r="B351" s="122" t="s">
        <v>110</v>
      </c>
      <c r="C351" s="14" t="s">
        <v>76</v>
      </c>
      <c r="D351" s="12"/>
      <c r="E351" s="12"/>
      <c r="F351" s="12"/>
      <c r="G351" s="12"/>
      <c r="H351" s="6">
        <f t="shared" si="32"/>
        <v>0</v>
      </c>
      <c r="I351" s="69">
        <v>250</v>
      </c>
      <c r="J351" s="12"/>
      <c r="K351" s="12"/>
      <c r="L351" s="12"/>
      <c r="M351" s="6">
        <f t="shared" si="33"/>
        <v>250</v>
      </c>
      <c r="N351" s="4"/>
    </row>
    <row r="352" spans="1:14" s="9" customFormat="1" ht="9.75" customHeight="1">
      <c r="A352" s="78"/>
      <c r="B352" s="123"/>
      <c r="C352" s="15" t="s">
        <v>74</v>
      </c>
      <c r="D352" s="12"/>
      <c r="E352" s="12"/>
      <c r="F352" s="12"/>
      <c r="G352" s="12"/>
      <c r="H352" s="6">
        <f t="shared" si="32"/>
        <v>0</v>
      </c>
      <c r="I352" s="6">
        <v>1831</v>
      </c>
      <c r="J352" s="12"/>
      <c r="K352" s="12"/>
      <c r="L352" s="12"/>
      <c r="M352" s="6">
        <f t="shared" si="33"/>
        <v>1831</v>
      </c>
      <c r="N352" s="4"/>
    </row>
    <row r="353" spans="1:14" ht="42" customHeight="1">
      <c r="A353" s="77"/>
      <c r="B353" s="126"/>
      <c r="C353" s="15" t="s">
        <v>101</v>
      </c>
      <c r="D353" s="3">
        <f>1156600+222000+14045+131160</f>
        <v>1523805</v>
      </c>
      <c r="E353" s="3"/>
      <c r="F353" s="3"/>
      <c r="G353" s="3"/>
      <c r="H353" s="6">
        <f t="shared" si="32"/>
        <v>1523805</v>
      </c>
      <c r="I353" s="6">
        <v>1523805</v>
      </c>
      <c r="J353" s="6"/>
      <c r="K353" s="6"/>
      <c r="L353" s="6"/>
      <c r="M353" s="6">
        <f t="shared" si="33"/>
        <v>1523805</v>
      </c>
      <c r="N353" s="4">
        <f aca="true" t="shared" si="34" ref="N353:N383">M353/H353</f>
        <v>1</v>
      </c>
    </row>
    <row r="354" spans="1:14" ht="9.75">
      <c r="A354" s="77"/>
      <c r="B354" s="29" t="s">
        <v>174</v>
      </c>
      <c r="C354" s="25"/>
      <c r="D354" s="5">
        <f>SUM(D351:D353)</f>
        <v>1523805</v>
      </c>
      <c r="E354" s="5">
        <f>SUM(E351:E353)</f>
        <v>0</v>
      </c>
      <c r="F354" s="5">
        <f>SUM(F351:F353)</f>
        <v>0</v>
      </c>
      <c r="G354" s="5">
        <f>SUM(G351:G353)</f>
        <v>0</v>
      </c>
      <c r="H354" s="5">
        <f t="shared" si="32"/>
        <v>1523805</v>
      </c>
      <c r="I354" s="5">
        <f>SUM(I351:I353)</f>
        <v>1525886</v>
      </c>
      <c r="J354" s="5">
        <f>SUM(J351:J353)</f>
        <v>0</v>
      </c>
      <c r="K354" s="5">
        <f>SUM(K351:K353)</f>
        <v>0</v>
      </c>
      <c r="L354" s="5">
        <f>SUM(L351:L353)</f>
        <v>0</v>
      </c>
      <c r="M354" s="5">
        <f t="shared" si="33"/>
        <v>1525886</v>
      </c>
      <c r="N354" s="24">
        <f t="shared" si="34"/>
        <v>1.001365660304304</v>
      </c>
    </row>
    <row r="355" spans="1:14" s="9" customFormat="1" ht="99.75" customHeight="1">
      <c r="A355" s="78"/>
      <c r="B355" s="65" t="s">
        <v>284</v>
      </c>
      <c r="C355" s="65" t="s">
        <v>73</v>
      </c>
      <c r="D355" s="12"/>
      <c r="E355" s="69">
        <v>50000</v>
      </c>
      <c r="F355" s="12"/>
      <c r="G355" s="12"/>
      <c r="H355" s="6">
        <f t="shared" si="32"/>
        <v>50000</v>
      </c>
      <c r="I355" s="12"/>
      <c r="J355" s="69">
        <v>50000</v>
      </c>
      <c r="K355" s="12"/>
      <c r="L355" s="12"/>
      <c r="M355" s="6">
        <f t="shared" si="33"/>
        <v>50000</v>
      </c>
      <c r="N355" s="7">
        <f t="shared" si="34"/>
        <v>1</v>
      </c>
    </row>
    <row r="356" spans="1:14" s="9" customFormat="1" ht="9.75">
      <c r="A356" s="78"/>
      <c r="B356" s="29" t="s">
        <v>285</v>
      </c>
      <c r="C356" s="25"/>
      <c r="D356" s="5">
        <f>SUM(D355:D355)</f>
        <v>0</v>
      </c>
      <c r="E356" s="5">
        <f>SUM(E355:E355)</f>
        <v>50000</v>
      </c>
      <c r="F356" s="5">
        <f>SUM(F355:F355)</f>
        <v>0</v>
      </c>
      <c r="G356" s="5">
        <f>SUM(G355:G355)</f>
        <v>0</v>
      </c>
      <c r="H356" s="5">
        <f t="shared" si="32"/>
        <v>50000</v>
      </c>
      <c r="I356" s="5">
        <f>SUM(I355:I355)</f>
        <v>0</v>
      </c>
      <c r="J356" s="5">
        <f>SUM(J355:J355)</f>
        <v>50000</v>
      </c>
      <c r="K356" s="5">
        <f>SUM(K355:K355)</f>
        <v>0</v>
      </c>
      <c r="L356" s="5">
        <f>SUM(L355:L355)</f>
        <v>0</v>
      </c>
      <c r="M356" s="5">
        <f t="shared" si="33"/>
        <v>50000</v>
      </c>
      <c r="N356" s="24">
        <f t="shared" si="34"/>
        <v>1</v>
      </c>
    </row>
    <row r="357" spans="1:14" s="9" customFormat="1" ht="10.5" customHeight="1">
      <c r="A357" s="78"/>
      <c r="B357" s="111" t="s">
        <v>175</v>
      </c>
      <c r="C357" s="68" t="s">
        <v>71</v>
      </c>
      <c r="D357" s="12"/>
      <c r="E357" s="12"/>
      <c r="F357" s="12"/>
      <c r="G357" s="12"/>
      <c r="H357" s="6">
        <f t="shared" si="32"/>
        <v>0</v>
      </c>
      <c r="I357" s="69">
        <v>61.6</v>
      </c>
      <c r="J357" s="12"/>
      <c r="K357" s="12"/>
      <c r="L357" s="12"/>
      <c r="M357" s="6">
        <f t="shared" si="33"/>
        <v>61.6</v>
      </c>
      <c r="N357" s="7"/>
    </row>
    <row r="358" spans="1:14" s="9" customFormat="1" ht="9.75" customHeight="1">
      <c r="A358" s="78"/>
      <c r="B358" s="146"/>
      <c r="C358" s="63" t="s">
        <v>76</v>
      </c>
      <c r="D358" s="6">
        <v>350000</v>
      </c>
      <c r="E358" s="6"/>
      <c r="F358" s="6"/>
      <c r="G358" s="6"/>
      <c r="H358" s="6">
        <f t="shared" si="32"/>
        <v>350000</v>
      </c>
      <c r="I358" s="6">
        <v>404561.09</v>
      </c>
      <c r="J358" s="8"/>
      <c r="K358" s="8"/>
      <c r="L358" s="8"/>
      <c r="M358" s="6">
        <f t="shared" si="33"/>
        <v>404561.09</v>
      </c>
      <c r="N358" s="7">
        <f t="shared" si="34"/>
        <v>1.1558888285714286</v>
      </c>
    </row>
    <row r="359" spans="1:14" s="9" customFormat="1" ht="9.75">
      <c r="A359" s="78"/>
      <c r="B359" s="146"/>
      <c r="C359" s="64" t="s">
        <v>72</v>
      </c>
      <c r="D359" s="6"/>
      <c r="E359" s="6"/>
      <c r="F359" s="6"/>
      <c r="G359" s="6"/>
      <c r="H359" s="6">
        <f t="shared" si="32"/>
        <v>0</v>
      </c>
      <c r="I359" s="6">
        <v>44489.52</v>
      </c>
      <c r="J359" s="8"/>
      <c r="K359" s="8"/>
      <c r="L359" s="8"/>
      <c r="M359" s="6">
        <f t="shared" si="33"/>
        <v>44489.52</v>
      </c>
      <c r="N359" s="7"/>
    </row>
    <row r="360" spans="1:14" s="9" customFormat="1" ht="51" customHeight="1">
      <c r="A360" s="78"/>
      <c r="B360" s="146"/>
      <c r="C360" s="64" t="s">
        <v>129</v>
      </c>
      <c r="D360" s="6"/>
      <c r="E360" s="6"/>
      <c r="F360" s="6">
        <v>301830</v>
      </c>
      <c r="G360" s="6"/>
      <c r="H360" s="6">
        <f t="shared" si="32"/>
        <v>301830</v>
      </c>
      <c r="I360" s="6"/>
      <c r="J360" s="6"/>
      <c r="K360" s="6">
        <v>275175</v>
      </c>
      <c r="L360" s="6"/>
      <c r="M360" s="6">
        <f t="shared" si="33"/>
        <v>275175</v>
      </c>
      <c r="N360" s="7">
        <f t="shared" si="34"/>
        <v>0.9116886989364874</v>
      </c>
    </row>
    <row r="361" spans="1:14" s="9" customFormat="1" ht="41.25" customHeight="1">
      <c r="A361" s="78"/>
      <c r="B361" s="130"/>
      <c r="C361" s="65" t="s">
        <v>77</v>
      </c>
      <c r="D361" s="6">
        <v>460</v>
      </c>
      <c r="E361" s="6"/>
      <c r="F361" s="6"/>
      <c r="G361" s="6"/>
      <c r="H361" s="6">
        <f t="shared" si="32"/>
        <v>460</v>
      </c>
      <c r="I361" s="6">
        <v>856.07</v>
      </c>
      <c r="J361" s="6"/>
      <c r="K361" s="6"/>
      <c r="L361" s="6"/>
      <c r="M361" s="6">
        <f t="shared" si="33"/>
        <v>856.07</v>
      </c>
      <c r="N361" s="7">
        <f t="shared" si="34"/>
        <v>1.861021739130435</v>
      </c>
    </row>
    <row r="362" spans="1:14" s="9" customFormat="1" ht="11.25" customHeight="1">
      <c r="A362" s="78"/>
      <c r="B362" s="29" t="s">
        <v>176</v>
      </c>
      <c r="C362" s="25"/>
      <c r="D362" s="5">
        <f>SUM(D357:D361)</f>
        <v>350460</v>
      </c>
      <c r="E362" s="5">
        <f>SUM(E357:E361)</f>
        <v>0</v>
      </c>
      <c r="F362" s="5">
        <f>SUM(F357:F361)</f>
        <v>301830</v>
      </c>
      <c r="G362" s="5">
        <f>SUM(G357:G361)</f>
        <v>0</v>
      </c>
      <c r="H362" s="5">
        <f t="shared" si="32"/>
        <v>652290</v>
      </c>
      <c r="I362" s="5">
        <f>SUM(I357:I361)</f>
        <v>449968.28</v>
      </c>
      <c r="J362" s="5">
        <f>SUM(J357:J361)</f>
        <v>0</v>
      </c>
      <c r="K362" s="5">
        <f>SUM(K357:K361)</f>
        <v>275175</v>
      </c>
      <c r="L362" s="5">
        <f>SUM(L357:L361)</f>
        <v>0</v>
      </c>
      <c r="M362" s="5">
        <f t="shared" si="33"/>
        <v>725143.28</v>
      </c>
      <c r="N362" s="24">
        <f t="shared" si="34"/>
        <v>1.11168848211685</v>
      </c>
    </row>
    <row r="363" spans="1:14" s="9" customFormat="1" ht="63" customHeight="1">
      <c r="A363" s="78"/>
      <c r="B363" s="65" t="s">
        <v>324</v>
      </c>
      <c r="C363" s="64" t="s">
        <v>129</v>
      </c>
      <c r="D363" s="6"/>
      <c r="E363" s="6"/>
      <c r="F363" s="6">
        <f>10828+3240</f>
        <v>14068</v>
      </c>
      <c r="G363" s="6"/>
      <c r="H363" s="6">
        <f t="shared" si="32"/>
        <v>14068</v>
      </c>
      <c r="I363" s="6"/>
      <c r="J363" s="6"/>
      <c r="K363" s="6">
        <v>13568</v>
      </c>
      <c r="L363" s="6"/>
      <c r="M363" s="6">
        <f t="shared" si="33"/>
        <v>13568</v>
      </c>
      <c r="N363" s="7">
        <f t="shared" si="34"/>
        <v>0.9644583451805516</v>
      </c>
    </row>
    <row r="364" spans="1:14" s="9" customFormat="1" ht="11.25" customHeight="1">
      <c r="A364" s="78"/>
      <c r="B364" s="29" t="s">
        <v>323</v>
      </c>
      <c r="C364" s="25"/>
      <c r="D364" s="5">
        <f>SUM(D363:D363)</f>
        <v>0</v>
      </c>
      <c r="E364" s="5">
        <f>SUM(E363:E363)</f>
        <v>0</v>
      </c>
      <c r="F364" s="5">
        <f>SUM(F363:F363)</f>
        <v>14068</v>
      </c>
      <c r="G364" s="5">
        <f>SUM(G363:G363)</f>
        <v>0</v>
      </c>
      <c r="H364" s="5">
        <f t="shared" si="32"/>
        <v>14068</v>
      </c>
      <c r="I364" s="5">
        <f>SUM(I363:I363)</f>
        <v>0</v>
      </c>
      <c r="J364" s="5">
        <f>SUM(J363:J363)</f>
        <v>0</v>
      </c>
      <c r="K364" s="5">
        <f>SUM(K363:K363)</f>
        <v>13568</v>
      </c>
      <c r="L364" s="5">
        <f>SUM(L363:L363)</f>
        <v>0</v>
      </c>
      <c r="M364" s="5">
        <f t="shared" si="33"/>
        <v>13568</v>
      </c>
      <c r="N364" s="24">
        <f t="shared" si="34"/>
        <v>0.9644583451805516</v>
      </c>
    </row>
    <row r="365" spans="1:14" s="9" customFormat="1" ht="40.5" customHeight="1" hidden="1">
      <c r="A365" s="78"/>
      <c r="B365" s="18" t="s">
        <v>187</v>
      </c>
      <c r="C365" s="15" t="s">
        <v>287</v>
      </c>
      <c r="D365" s="12"/>
      <c r="E365" s="12"/>
      <c r="F365" s="12"/>
      <c r="G365" s="12"/>
      <c r="H365" s="6">
        <f t="shared" si="32"/>
        <v>0</v>
      </c>
      <c r="I365" s="12"/>
      <c r="J365" s="12"/>
      <c r="K365" s="12"/>
      <c r="L365" s="12"/>
      <c r="M365" s="6">
        <f t="shared" si="33"/>
        <v>0</v>
      </c>
      <c r="N365" s="4" t="e">
        <f t="shared" si="34"/>
        <v>#DIV/0!</v>
      </c>
    </row>
    <row r="366" spans="1:14" s="9" customFormat="1" ht="11.25" customHeight="1">
      <c r="A366" s="78"/>
      <c r="B366" s="122" t="s">
        <v>187</v>
      </c>
      <c r="C366" s="15" t="s">
        <v>74</v>
      </c>
      <c r="D366" s="12"/>
      <c r="E366" s="12"/>
      <c r="F366" s="12"/>
      <c r="G366" s="12"/>
      <c r="H366" s="6">
        <f t="shared" si="32"/>
        <v>0</v>
      </c>
      <c r="I366" s="69">
        <v>37271.8</v>
      </c>
      <c r="J366" s="12"/>
      <c r="K366" s="12"/>
      <c r="L366" s="12"/>
      <c r="M366" s="6">
        <f t="shared" si="33"/>
        <v>37271.8</v>
      </c>
      <c r="N366" s="4"/>
    </row>
    <row r="367" spans="1:14" ht="39" customHeight="1">
      <c r="A367" s="77"/>
      <c r="B367" s="123"/>
      <c r="C367" s="15" t="s">
        <v>101</v>
      </c>
      <c r="D367" s="3">
        <f>197450+607835+470000+122315-97800</f>
        <v>1299800</v>
      </c>
      <c r="E367" s="3"/>
      <c r="F367" s="3"/>
      <c r="G367" s="3"/>
      <c r="H367" s="6">
        <f t="shared" si="32"/>
        <v>1299800</v>
      </c>
      <c r="I367" s="6">
        <v>1299800</v>
      </c>
      <c r="J367" s="8"/>
      <c r="K367" s="8"/>
      <c r="L367" s="8"/>
      <c r="M367" s="6">
        <f t="shared" si="33"/>
        <v>1299800</v>
      </c>
      <c r="N367" s="4">
        <f t="shared" si="34"/>
        <v>1</v>
      </c>
    </row>
    <row r="368" spans="1:14" ht="39" customHeight="1" hidden="1">
      <c r="A368" s="77"/>
      <c r="B368" s="123"/>
      <c r="C368" s="15" t="s">
        <v>212</v>
      </c>
      <c r="D368" s="3"/>
      <c r="E368" s="3"/>
      <c r="F368" s="3"/>
      <c r="G368" s="3"/>
      <c r="H368" s="6">
        <f t="shared" si="32"/>
        <v>0</v>
      </c>
      <c r="I368" s="6"/>
      <c r="J368" s="8"/>
      <c r="K368" s="8"/>
      <c r="L368" s="8"/>
      <c r="M368" s="6">
        <f t="shared" si="33"/>
        <v>0</v>
      </c>
      <c r="N368" s="4" t="e">
        <f t="shared" si="34"/>
        <v>#DIV/0!</v>
      </c>
    </row>
    <row r="369" spans="1:14" ht="48.75" customHeight="1">
      <c r="A369" s="77"/>
      <c r="B369" s="126"/>
      <c r="C369" s="18" t="s">
        <v>314</v>
      </c>
      <c r="D369" s="3">
        <v>11200</v>
      </c>
      <c r="E369" s="3"/>
      <c r="F369" s="3"/>
      <c r="G369" s="3"/>
      <c r="H369" s="6">
        <f t="shared" si="32"/>
        <v>11200</v>
      </c>
      <c r="I369" s="6">
        <v>11031.5</v>
      </c>
      <c r="J369" s="8"/>
      <c r="K369" s="8"/>
      <c r="L369" s="8"/>
      <c r="M369" s="6">
        <f t="shared" si="33"/>
        <v>11031.5</v>
      </c>
      <c r="N369" s="4">
        <f t="shared" si="34"/>
        <v>0.9849553571428571</v>
      </c>
    </row>
    <row r="370" spans="1:14" ht="12" customHeight="1">
      <c r="A370" s="77"/>
      <c r="B370" s="33" t="s">
        <v>188</v>
      </c>
      <c r="C370" s="30"/>
      <c r="D370" s="5">
        <f>SUM(D367:D369)</f>
        <v>1311000</v>
      </c>
      <c r="E370" s="5">
        <f>SUM(E367:E369)</f>
        <v>0</v>
      </c>
      <c r="F370" s="5">
        <f>SUM(F367:F369)</f>
        <v>0</v>
      </c>
      <c r="G370" s="5">
        <f>SUM(G367:G369)</f>
        <v>0</v>
      </c>
      <c r="H370" s="5">
        <f t="shared" si="32"/>
        <v>1311000</v>
      </c>
      <c r="I370" s="5">
        <f>SUM(I365:I369)</f>
        <v>1348103.3</v>
      </c>
      <c r="J370" s="5">
        <f>SUM(J365:J369)</f>
        <v>0</v>
      </c>
      <c r="K370" s="5">
        <f>SUM(K365:K369)</f>
        <v>0</v>
      </c>
      <c r="L370" s="5">
        <f>SUM(L365:L369)</f>
        <v>0</v>
      </c>
      <c r="M370" s="5">
        <f t="shared" si="33"/>
        <v>1348103.3</v>
      </c>
      <c r="N370" s="24">
        <f t="shared" si="34"/>
        <v>1.028301525553013</v>
      </c>
    </row>
    <row r="371" spans="1:14" ht="12" customHeight="1">
      <c r="A371" s="31" t="s">
        <v>105</v>
      </c>
      <c r="B371" s="32"/>
      <c r="C371" s="20"/>
      <c r="D371" s="21">
        <f>SUM(D370,D364,D362,D354,D350,D347,D343,D341,D335,D331,D324,D356,D318)</f>
        <v>3949580</v>
      </c>
      <c r="E371" s="21">
        <f>SUM(E370,E364,E362,E354,E350,E347,E343,E341,E335,E331,E324,E356,E318)</f>
        <v>2276520</v>
      </c>
      <c r="F371" s="21">
        <f>SUM(F370,F364,F362,F354,F350,F347,F343,F341,F335,F331,F324,F356,F318)</f>
        <v>40026379</v>
      </c>
      <c r="G371" s="21">
        <f>SUM(G370,G364,G362,G354,G350,G347,G343,G341,G335,G331,G324,G356,G318)</f>
        <v>393000</v>
      </c>
      <c r="H371" s="21">
        <f t="shared" si="32"/>
        <v>46645479</v>
      </c>
      <c r="I371" s="21">
        <f>SUM(I370,I362,I364,I354,I350,I347,I343,I341,I335,I331,I324,I356,I318)</f>
        <v>4179506.25</v>
      </c>
      <c r="J371" s="21">
        <f>SUM(J370,J362,J364,J354,J350,J347,J343,J341,J335,J331,J324,J356,J318)</f>
        <v>2151499.2</v>
      </c>
      <c r="K371" s="21">
        <f>SUM(K370,K362,K364,K354,K350,K347,K343,K341,K335,K331,K324,K356,K318)</f>
        <v>39200768.66</v>
      </c>
      <c r="L371" s="21">
        <f>SUM(L370,L362,L364,L354,L350,L347,L343,L341,L335,L331,L324,L356,L318)</f>
        <v>387236.67</v>
      </c>
      <c r="M371" s="21">
        <f t="shared" si="33"/>
        <v>45919010.78</v>
      </c>
      <c r="N371" s="26">
        <f t="shared" si="34"/>
        <v>0.9844257528151871</v>
      </c>
    </row>
    <row r="372" spans="1:14" s="9" customFormat="1" ht="11.25">
      <c r="A372" s="120" t="s">
        <v>111</v>
      </c>
      <c r="B372" s="122" t="s">
        <v>47</v>
      </c>
      <c r="C372" s="15" t="s">
        <v>76</v>
      </c>
      <c r="D372" s="3">
        <v>184000</v>
      </c>
      <c r="E372" s="42"/>
      <c r="F372" s="42"/>
      <c r="G372" s="42"/>
      <c r="H372" s="6">
        <f t="shared" si="32"/>
        <v>184000</v>
      </c>
      <c r="I372" s="6">
        <v>193590.64</v>
      </c>
      <c r="J372" s="42"/>
      <c r="K372" s="42"/>
      <c r="L372" s="42"/>
      <c r="M372" s="6">
        <f t="shared" si="33"/>
        <v>193590.64</v>
      </c>
      <c r="N372" s="4">
        <f t="shared" si="34"/>
        <v>1.052123043478261</v>
      </c>
    </row>
    <row r="373" spans="1:14" ht="9" customHeight="1">
      <c r="A373" s="121"/>
      <c r="B373" s="123"/>
      <c r="C373" s="15" t="s">
        <v>72</v>
      </c>
      <c r="D373" s="100"/>
      <c r="E373" s="3"/>
      <c r="F373" s="3"/>
      <c r="G373" s="3"/>
      <c r="H373" s="6">
        <f t="shared" si="32"/>
        <v>0</v>
      </c>
      <c r="I373" s="6">
        <v>1795.52</v>
      </c>
      <c r="J373" s="6"/>
      <c r="K373" s="6"/>
      <c r="L373" s="6"/>
      <c r="M373" s="6">
        <f t="shared" si="33"/>
        <v>1795.52</v>
      </c>
      <c r="N373" s="4"/>
    </row>
    <row r="374" spans="1:14" ht="40.5" customHeight="1" hidden="1">
      <c r="A374" s="121"/>
      <c r="B374" s="126"/>
      <c r="C374" s="15" t="s">
        <v>212</v>
      </c>
      <c r="D374" s="99"/>
      <c r="E374" s="3"/>
      <c r="F374" s="3"/>
      <c r="G374" s="3"/>
      <c r="H374" s="6">
        <f t="shared" si="32"/>
        <v>0</v>
      </c>
      <c r="I374" s="6"/>
      <c r="J374" s="6"/>
      <c r="K374" s="6"/>
      <c r="L374" s="6"/>
      <c r="M374" s="6">
        <f t="shared" si="33"/>
        <v>0</v>
      </c>
      <c r="N374" s="4"/>
    </row>
    <row r="375" spans="1:14" ht="9.75">
      <c r="A375" s="121"/>
      <c r="B375" s="25" t="s">
        <v>177</v>
      </c>
      <c r="C375" s="25"/>
      <c r="D375" s="5">
        <f>SUM(D372:D374)</f>
        <v>184000</v>
      </c>
      <c r="E375" s="5">
        <f>SUM(E372:E374)</f>
        <v>0</v>
      </c>
      <c r="F375" s="5">
        <f>SUM(F372:F374)</f>
        <v>0</v>
      </c>
      <c r="G375" s="5">
        <f>SUM(G372:G374)</f>
        <v>0</v>
      </c>
      <c r="H375" s="5">
        <f t="shared" si="32"/>
        <v>184000</v>
      </c>
      <c r="I375" s="5">
        <f>SUM(I372:I374)</f>
        <v>195386.16</v>
      </c>
      <c r="J375" s="5">
        <f>SUM(J372:J374)</f>
        <v>0</v>
      </c>
      <c r="K375" s="5">
        <f>SUM(K372:K374)</f>
        <v>0</v>
      </c>
      <c r="L375" s="5">
        <f>SUM(L372:L374)</f>
        <v>0</v>
      </c>
      <c r="M375" s="5">
        <f t="shared" si="33"/>
        <v>195386.16</v>
      </c>
      <c r="N375" s="24">
        <f t="shared" si="34"/>
        <v>1.0618813043478261</v>
      </c>
    </row>
    <row r="376" spans="1:14" s="9" customFormat="1" ht="9.75" customHeight="1">
      <c r="A376" s="121"/>
      <c r="B376" s="122" t="s">
        <v>222</v>
      </c>
      <c r="C376" s="15" t="s">
        <v>72</v>
      </c>
      <c r="D376" s="12"/>
      <c r="E376" s="12"/>
      <c r="F376" s="12"/>
      <c r="G376" s="12"/>
      <c r="H376" s="6">
        <f t="shared" si="32"/>
        <v>0</v>
      </c>
      <c r="I376" s="12">
        <v>3.99</v>
      </c>
      <c r="J376" s="12"/>
      <c r="K376" s="12"/>
      <c r="L376" s="12"/>
      <c r="M376" s="6">
        <f aca="true" t="shared" si="35" ref="M376:M408">SUM(I376:L376)</f>
        <v>3.99</v>
      </c>
      <c r="N376" s="4"/>
    </row>
    <row r="377" spans="1:14" s="9" customFormat="1" ht="42" customHeight="1">
      <c r="A377" s="121"/>
      <c r="B377" s="123"/>
      <c r="C377" s="18" t="s">
        <v>332</v>
      </c>
      <c r="D377" s="12"/>
      <c r="E377" s="12"/>
      <c r="F377" s="12"/>
      <c r="G377" s="12"/>
      <c r="H377" s="6">
        <f t="shared" si="32"/>
        <v>0</v>
      </c>
      <c r="I377" s="12">
        <v>17111.33</v>
      </c>
      <c r="J377" s="12"/>
      <c r="K377" s="12"/>
      <c r="L377" s="12"/>
      <c r="M377" s="6">
        <f t="shared" si="35"/>
        <v>17111.33</v>
      </c>
      <c r="N377" s="4"/>
    </row>
    <row r="378" spans="1:14" s="9" customFormat="1" ht="52.5" customHeight="1">
      <c r="A378" s="121"/>
      <c r="B378" s="123"/>
      <c r="C378" s="15" t="s">
        <v>240</v>
      </c>
      <c r="D378" s="69">
        <v>103324</v>
      </c>
      <c r="E378" s="12"/>
      <c r="F378" s="12"/>
      <c r="G378" s="12"/>
      <c r="H378" s="6">
        <f t="shared" si="32"/>
        <v>103324</v>
      </c>
      <c r="I378" s="69">
        <v>44054.66</v>
      </c>
      <c r="J378" s="12"/>
      <c r="K378" s="12"/>
      <c r="L378" s="12"/>
      <c r="M378" s="6">
        <f t="shared" si="35"/>
        <v>44054.66</v>
      </c>
      <c r="N378" s="4">
        <f t="shared" si="34"/>
        <v>0.4263739305485657</v>
      </c>
    </row>
    <row r="379" spans="1:14" ht="40.5" customHeight="1">
      <c r="A379" s="121"/>
      <c r="B379" s="126"/>
      <c r="C379" s="15" t="s">
        <v>212</v>
      </c>
      <c r="D379" s="70"/>
      <c r="E379" s="3"/>
      <c r="F379" s="3"/>
      <c r="G379" s="3"/>
      <c r="H379" s="6">
        <f t="shared" si="32"/>
        <v>0</v>
      </c>
      <c r="I379" s="6">
        <v>178.07</v>
      </c>
      <c r="J379" s="8"/>
      <c r="K379" s="8"/>
      <c r="L379" s="8"/>
      <c r="M379" s="6">
        <f t="shared" si="35"/>
        <v>178.07</v>
      </c>
      <c r="N379" s="4"/>
    </row>
    <row r="380" spans="1:14" ht="9.75">
      <c r="A380" s="121"/>
      <c r="B380" s="33" t="s">
        <v>222</v>
      </c>
      <c r="C380" s="25"/>
      <c r="D380" s="5">
        <f>SUM(D376:D379)</f>
        <v>103324</v>
      </c>
      <c r="E380" s="5">
        <f>SUM(E376:E379)</f>
        <v>0</v>
      </c>
      <c r="F380" s="5">
        <f>SUM(F376:F379)</f>
        <v>0</v>
      </c>
      <c r="G380" s="5">
        <f>SUM(G376:G379)</f>
        <v>0</v>
      </c>
      <c r="H380" s="5">
        <f t="shared" si="32"/>
        <v>103324</v>
      </c>
      <c r="I380" s="5">
        <f>SUM(I376:I379)</f>
        <v>61348.05000000001</v>
      </c>
      <c r="J380" s="5">
        <f>SUM(J376:J379)</f>
        <v>0</v>
      </c>
      <c r="K380" s="5">
        <f>SUM(K376:K379)</f>
        <v>0</v>
      </c>
      <c r="L380" s="5">
        <f>SUM(L376:L379)</f>
        <v>0</v>
      </c>
      <c r="M380" s="5">
        <f t="shared" si="35"/>
        <v>61348.05000000001</v>
      </c>
      <c r="N380" s="24">
        <f t="shared" si="34"/>
        <v>0.5937444349812242</v>
      </c>
    </row>
    <row r="381" spans="1:14" ht="51" customHeight="1">
      <c r="A381" s="121"/>
      <c r="B381" s="122" t="s">
        <v>178</v>
      </c>
      <c r="C381" s="15" t="s">
        <v>69</v>
      </c>
      <c r="D381" s="3"/>
      <c r="E381" s="3"/>
      <c r="F381" s="3"/>
      <c r="G381" s="3">
        <v>265000</v>
      </c>
      <c r="H381" s="6">
        <f t="shared" si="32"/>
        <v>265000</v>
      </c>
      <c r="I381" s="12"/>
      <c r="J381" s="12"/>
      <c r="K381" s="12"/>
      <c r="L381" s="6">
        <v>265000</v>
      </c>
      <c r="M381" s="6">
        <f t="shared" si="35"/>
        <v>265000</v>
      </c>
      <c r="N381" s="4">
        <f t="shared" si="34"/>
        <v>1</v>
      </c>
    </row>
    <row r="382" spans="1:14" ht="40.5" customHeight="1">
      <c r="A382" s="121"/>
      <c r="B382" s="126"/>
      <c r="C382" s="15" t="s">
        <v>83</v>
      </c>
      <c r="D382" s="3"/>
      <c r="E382" s="3">
        <v>45000</v>
      </c>
      <c r="F382" s="3"/>
      <c r="G382" s="3"/>
      <c r="H382" s="6">
        <f t="shared" si="32"/>
        <v>45000</v>
      </c>
      <c r="I382" s="12"/>
      <c r="J382" s="6">
        <v>49442</v>
      </c>
      <c r="K382" s="12"/>
      <c r="L382" s="12"/>
      <c r="M382" s="6">
        <f t="shared" si="35"/>
        <v>49442</v>
      </c>
      <c r="N382" s="4">
        <f t="shared" si="34"/>
        <v>1.0987111111111112</v>
      </c>
    </row>
    <row r="383" spans="1:14" ht="9.75">
      <c r="A383" s="121"/>
      <c r="B383" s="41" t="s">
        <v>179</v>
      </c>
      <c r="C383" s="25"/>
      <c r="D383" s="5">
        <f>SUM(D381:D382)</f>
        <v>0</v>
      </c>
      <c r="E383" s="5">
        <f>SUM(E381:E382)</f>
        <v>45000</v>
      </c>
      <c r="F383" s="5">
        <f>SUM(F381:F382)</f>
        <v>0</v>
      </c>
      <c r="G383" s="5">
        <f>SUM(G381:G382)</f>
        <v>265000</v>
      </c>
      <c r="H383" s="5">
        <f t="shared" si="32"/>
        <v>310000</v>
      </c>
      <c r="I383" s="5">
        <f>SUM(I381:I382)</f>
        <v>0</v>
      </c>
      <c r="J383" s="5">
        <f>SUM(J381:J382)</f>
        <v>49442</v>
      </c>
      <c r="K383" s="5">
        <f>SUM(K381:K382)</f>
        <v>0</v>
      </c>
      <c r="L383" s="5">
        <f>SUM(L381:L382)</f>
        <v>265000</v>
      </c>
      <c r="M383" s="5">
        <f t="shared" si="35"/>
        <v>314442</v>
      </c>
      <c r="N383" s="24">
        <f t="shared" si="34"/>
        <v>1.0143290322580645</v>
      </c>
    </row>
    <row r="384" spans="1:14" s="9" customFormat="1" ht="63" customHeight="1">
      <c r="A384" s="121"/>
      <c r="B384" s="122" t="s">
        <v>48</v>
      </c>
      <c r="C384" s="15" t="s">
        <v>104</v>
      </c>
      <c r="D384" s="12"/>
      <c r="E384" s="12"/>
      <c r="F384" s="12"/>
      <c r="G384" s="12"/>
      <c r="H384" s="6">
        <f t="shared" si="32"/>
        <v>0</v>
      </c>
      <c r="I384" s="12"/>
      <c r="J384" s="6">
        <v>1800</v>
      </c>
      <c r="K384" s="12"/>
      <c r="L384" s="12"/>
      <c r="M384" s="6">
        <f t="shared" si="35"/>
        <v>1800</v>
      </c>
      <c r="N384" s="4"/>
    </row>
    <row r="385" spans="1:14" s="9" customFormat="1" ht="10.5" customHeight="1">
      <c r="A385" s="121"/>
      <c r="B385" s="123"/>
      <c r="C385" s="15" t="s">
        <v>72</v>
      </c>
      <c r="D385" s="12"/>
      <c r="E385" s="12"/>
      <c r="F385" s="12"/>
      <c r="G385" s="12"/>
      <c r="H385" s="6">
        <f t="shared" si="32"/>
        <v>0</v>
      </c>
      <c r="I385" s="12"/>
      <c r="J385" s="6">
        <v>8939.88</v>
      </c>
      <c r="K385" s="12"/>
      <c r="L385" s="12"/>
      <c r="M385" s="6">
        <f t="shared" si="35"/>
        <v>8939.88</v>
      </c>
      <c r="N385" s="4"/>
    </row>
    <row r="386" spans="1:14" ht="39.75" customHeight="1">
      <c r="A386" s="121"/>
      <c r="B386" s="123"/>
      <c r="C386" s="15" t="s">
        <v>83</v>
      </c>
      <c r="D386" s="3"/>
      <c r="E386" s="3">
        <f>150000+97000</f>
        <v>247000</v>
      </c>
      <c r="F386" s="3"/>
      <c r="G386" s="3"/>
      <c r="H386" s="6">
        <f t="shared" si="32"/>
        <v>247000</v>
      </c>
      <c r="I386" s="8"/>
      <c r="J386" s="6">
        <v>246935.76</v>
      </c>
      <c r="K386" s="8"/>
      <c r="L386" s="8"/>
      <c r="M386" s="6">
        <f t="shared" si="35"/>
        <v>246935.76</v>
      </c>
      <c r="N386" s="4">
        <f aca="true" t="shared" si="36" ref="N386:N409">M386/H386</f>
        <v>0.9997399190283401</v>
      </c>
    </row>
    <row r="387" spans="1:14" ht="69" customHeight="1">
      <c r="A387" s="121"/>
      <c r="B387" s="123"/>
      <c r="C387" s="15" t="s">
        <v>290</v>
      </c>
      <c r="D387" s="3"/>
      <c r="E387" s="3">
        <v>202900</v>
      </c>
      <c r="F387" s="3"/>
      <c r="G387" s="3"/>
      <c r="H387" s="6">
        <f t="shared" si="32"/>
        <v>202900</v>
      </c>
      <c r="I387" s="8"/>
      <c r="J387" s="6">
        <v>202900</v>
      </c>
      <c r="K387" s="8"/>
      <c r="L387" s="8"/>
      <c r="M387" s="6">
        <f t="shared" si="35"/>
        <v>202900</v>
      </c>
      <c r="N387" s="4">
        <f t="shared" si="36"/>
        <v>1</v>
      </c>
    </row>
    <row r="388" spans="1:14" ht="51.75" customHeight="1">
      <c r="A388" s="121"/>
      <c r="B388" s="95"/>
      <c r="C388" s="15" t="s">
        <v>240</v>
      </c>
      <c r="D388" s="3"/>
      <c r="E388" s="3"/>
      <c r="F388" s="3"/>
      <c r="G388" s="3"/>
      <c r="H388" s="6">
        <f t="shared" si="32"/>
        <v>0</v>
      </c>
      <c r="I388" s="8"/>
      <c r="J388" s="6">
        <v>7000</v>
      </c>
      <c r="K388" s="8"/>
      <c r="L388" s="8"/>
      <c r="M388" s="6">
        <f t="shared" si="35"/>
        <v>7000</v>
      </c>
      <c r="N388" s="4"/>
    </row>
    <row r="389" spans="1:14" ht="12.75" customHeight="1">
      <c r="A389" s="121"/>
      <c r="B389" s="41" t="s">
        <v>180</v>
      </c>
      <c r="C389" s="25"/>
      <c r="D389" s="5">
        <f>SUM(D384:D388)</f>
        <v>0</v>
      </c>
      <c r="E389" s="5">
        <f>SUM(E384:E388)</f>
        <v>449900</v>
      </c>
      <c r="F389" s="5">
        <f>SUM(F384:F388)</f>
        <v>0</v>
      </c>
      <c r="G389" s="5">
        <f>SUM(G384:G388)</f>
        <v>0</v>
      </c>
      <c r="H389" s="5">
        <f t="shared" si="32"/>
        <v>449900</v>
      </c>
      <c r="I389" s="5">
        <f>SUM(I384:I388)</f>
        <v>0</v>
      </c>
      <c r="J389" s="5">
        <f>SUM(J384:J388)</f>
        <v>467575.64</v>
      </c>
      <c r="K389" s="5">
        <f>SUM(K384:K388)</f>
        <v>0</v>
      </c>
      <c r="L389" s="5">
        <f>SUM(L384:L388)</f>
        <v>0</v>
      </c>
      <c r="M389" s="5">
        <f t="shared" si="35"/>
        <v>467575.64</v>
      </c>
      <c r="N389" s="24">
        <f t="shared" si="36"/>
        <v>1.039287930651256</v>
      </c>
    </row>
    <row r="390" spans="1:14" s="9" customFormat="1" ht="9.75" customHeight="1">
      <c r="A390" s="121"/>
      <c r="B390" s="122" t="s">
        <v>257</v>
      </c>
      <c r="C390" s="15" t="s">
        <v>72</v>
      </c>
      <c r="D390" s="12"/>
      <c r="E390" s="12"/>
      <c r="F390" s="12"/>
      <c r="G390" s="12"/>
      <c r="H390" s="6">
        <f t="shared" si="32"/>
        <v>0</v>
      </c>
      <c r="I390" s="12">
        <v>167.71</v>
      </c>
      <c r="J390" s="12"/>
      <c r="K390" s="12"/>
      <c r="L390" s="12"/>
      <c r="M390" s="6">
        <f t="shared" si="35"/>
        <v>167.71</v>
      </c>
      <c r="N390" s="4"/>
    </row>
    <row r="391" spans="1:14" s="9" customFormat="1" ht="50.25" customHeight="1">
      <c r="A391" s="121"/>
      <c r="B391" s="123"/>
      <c r="C391" s="15" t="s">
        <v>240</v>
      </c>
      <c r="D391" s="69">
        <v>138343</v>
      </c>
      <c r="E391" s="12"/>
      <c r="F391" s="12"/>
      <c r="G391" s="12"/>
      <c r="H391" s="6">
        <f t="shared" si="32"/>
        <v>138343</v>
      </c>
      <c r="I391" s="69">
        <v>99870.58</v>
      </c>
      <c r="J391" s="12"/>
      <c r="K391" s="12"/>
      <c r="L391" s="12"/>
      <c r="M391" s="6">
        <f t="shared" si="35"/>
        <v>99870.58</v>
      </c>
      <c r="N391" s="4">
        <f t="shared" si="36"/>
        <v>0.7219055535878216</v>
      </c>
    </row>
    <row r="392" spans="1:14" s="9" customFormat="1" ht="39.75" customHeight="1">
      <c r="A392" s="121"/>
      <c r="B392" s="126"/>
      <c r="C392" s="15" t="s">
        <v>212</v>
      </c>
      <c r="D392" s="12"/>
      <c r="E392" s="12"/>
      <c r="F392" s="12"/>
      <c r="G392" s="12"/>
      <c r="H392" s="6">
        <f t="shared" si="32"/>
        <v>0</v>
      </c>
      <c r="I392" s="69">
        <v>534.77</v>
      </c>
      <c r="J392" s="12"/>
      <c r="K392" s="12"/>
      <c r="L392" s="12"/>
      <c r="M392" s="6">
        <f t="shared" si="35"/>
        <v>534.77</v>
      </c>
      <c r="N392" s="4"/>
    </row>
    <row r="393" spans="1:14" s="9" customFormat="1" ht="9" customHeight="1">
      <c r="A393" s="135"/>
      <c r="B393" s="131" t="s">
        <v>258</v>
      </c>
      <c r="C393" s="131"/>
      <c r="D393" s="5">
        <f>SUM(D390:D392)</f>
        <v>138343</v>
      </c>
      <c r="E393" s="5">
        <f>SUM(E390:E392)</f>
        <v>0</v>
      </c>
      <c r="F393" s="5">
        <f>SUM(F390:F392)</f>
        <v>0</v>
      </c>
      <c r="G393" s="5">
        <f>SUM(G390:G392)</f>
        <v>0</v>
      </c>
      <c r="H393" s="5">
        <f t="shared" si="32"/>
        <v>138343</v>
      </c>
      <c r="I393" s="5">
        <f>SUM(I390:I392)</f>
        <v>100573.06000000001</v>
      </c>
      <c r="J393" s="5">
        <f>SUM(J390:J392)</f>
        <v>0</v>
      </c>
      <c r="K393" s="5">
        <f>SUM(K390:K392)</f>
        <v>0</v>
      </c>
      <c r="L393" s="5">
        <f>SUM(L390:L392)</f>
        <v>0</v>
      </c>
      <c r="M393" s="5">
        <f t="shared" si="35"/>
        <v>100573.06000000001</v>
      </c>
      <c r="N393" s="24">
        <f t="shared" si="36"/>
        <v>0.7269833674273365</v>
      </c>
    </row>
    <row r="394" spans="1:14" ht="10.5" customHeight="1">
      <c r="A394" s="83" t="s">
        <v>112</v>
      </c>
      <c r="B394" s="35"/>
      <c r="C394" s="36"/>
      <c r="D394" s="21">
        <f>SUM(D389,D383,D380,D375,D393)</f>
        <v>425667</v>
      </c>
      <c r="E394" s="21">
        <f>SUM(E389,E383,E380,E375,E393)</f>
        <v>494900</v>
      </c>
      <c r="F394" s="21">
        <f>SUM(F389,F383,F380,F375,F393)</f>
        <v>0</v>
      </c>
      <c r="G394" s="21">
        <f>SUM(G389,G383,G380,G375,G393)</f>
        <v>265000</v>
      </c>
      <c r="H394" s="21">
        <f t="shared" si="32"/>
        <v>1185567</v>
      </c>
      <c r="I394" s="21">
        <f>SUM(I389,I383,I380,I375,I393)</f>
        <v>357307.27</v>
      </c>
      <c r="J394" s="21">
        <f>SUM(J389,J383,J380,J375,J393)</f>
        <v>517017.64</v>
      </c>
      <c r="K394" s="21">
        <f>SUM(K389,K383,K380,K375,K393)</f>
        <v>0</v>
      </c>
      <c r="L394" s="21">
        <f>SUM(L389,L383,L380,L375,L393)</f>
        <v>265000</v>
      </c>
      <c r="M394" s="21">
        <f t="shared" si="35"/>
        <v>1139324.9100000001</v>
      </c>
      <c r="N394" s="26">
        <f t="shared" si="36"/>
        <v>0.9609958020086593</v>
      </c>
    </row>
    <row r="395" spans="1:14" ht="9.75" customHeight="1" hidden="1">
      <c r="A395" s="59" t="s">
        <v>49</v>
      </c>
      <c r="B395" s="114" t="s">
        <v>194</v>
      </c>
      <c r="C395" s="15" t="s">
        <v>76</v>
      </c>
      <c r="D395" s="3"/>
      <c r="E395" s="3"/>
      <c r="F395" s="3"/>
      <c r="G395" s="3"/>
      <c r="H395" s="6">
        <f t="shared" si="32"/>
        <v>0</v>
      </c>
      <c r="I395" s="6"/>
      <c r="J395" s="6"/>
      <c r="K395" s="6"/>
      <c r="L395" s="6"/>
      <c r="M395" s="6">
        <f t="shared" si="35"/>
        <v>0</v>
      </c>
      <c r="N395" s="4" t="e">
        <f t="shared" si="36"/>
        <v>#DIV/0!</v>
      </c>
    </row>
    <row r="396" spans="1:14" ht="9.75" hidden="1">
      <c r="A396" s="60"/>
      <c r="B396" s="115"/>
      <c r="C396" s="15" t="s">
        <v>72</v>
      </c>
      <c r="D396" s="3"/>
      <c r="E396" s="3"/>
      <c r="F396" s="3"/>
      <c r="G396" s="3"/>
      <c r="H396" s="6">
        <f t="shared" si="32"/>
        <v>0</v>
      </c>
      <c r="I396" s="6"/>
      <c r="J396" s="6"/>
      <c r="K396" s="6"/>
      <c r="L396" s="6"/>
      <c r="M396" s="6">
        <f t="shared" si="35"/>
        <v>0</v>
      </c>
      <c r="N396" s="4" t="e">
        <f t="shared" si="36"/>
        <v>#DIV/0!</v>
      </c>
    </row>
    <row r="397" spans="1:14" ht="20.25" customHeight="1" hidden="1">
      <c r="A397" s="60"/>
      <c r="B397" s="115"/>
      <c r="C397" s="15" t="s">
        <v>204</v>
      </c>
      <c r="D397" s="3"/>
      <c r="E397" s="3"/>
      <c r="F397" s="3"/>
      <c r="G397" s="3"/>
      <c r="H397" s="6">
        <f t="shared" si="32"/>
        <v>0</v>
      </c>
      <c r="I397" s="6"/>
      <c r="J397" s="6"/>
      <c r="K397" s="6"/>
      <c r="L397" s="6"/>
      <c r="M397" s="6">
        <f t="shared" si="35"/>
        <v>0</v>
      </c>
      <c r="N397" s="4" t="e">
        <f t="shared" si="36"/>
        <v>#DIV/0!</v>
      </c>
    </row>
    <row r="398" spans="1:14" ht="12" customHeight="1" hidden="1">
      <c r="A398" s="60"/>
      <c r="B398" s="115"/>
      <c r="C398" s="15" t="s">
        <v>74</v>
      </c>
      <c r="D398" s="3"/>
      <c r="E398" s="3"/>
      <c r="F398" s="3"/>
      <c r="G398" s="3"/>
      <c r="H398" s="6">
        <f aca="true" t="shared" si="37" ref="H398:H461">SUM(D398:G398)</f>
        <v>0</v>
      </c>
      <c r="I398" s="6"/>
      <c r="J398" s="6"/>
      <c r="K398" s="6"/>
      <c r="L398" s="6"/>
      <c r="M398" s="6">
        <f t="shared" si="35"/>
        <v>0</v>
      </c>
      <c r="N398" s="4" t="e">
        <f t="shared" si="36"/>
        <v>#DIV/0!</v>
      </c>
    </row>
    <row r="399" spans="1:14" ht="20.25" customHeight="1" hidden="1">
      <c r="A399" s="60"/>
      <c r="B399" s="116"/>
      <c r="C399" s="15" t="s">
        <v>200</v>
      </c>
      <c r="D399" s="3"/>
      <c r="E399" s="3"/>
      <c r="F399" s="3"/>
      <c r="G399" s="3"/>
      <c r="H399" s="6">
        <f t="shared" si="37"/>
        <v>0</v>
      </c>
      <c r="I399" s="6"/>
      <c r="J399" s="6"/>
      <c r="K399" s="6"/>
      <c r="L399" s="6"/>
      <c r="M399" s="6">
        <f t="shared" si="35"/>
        <v>0</v>
      </c>
      <c r="N399" s="4" t="e">
        <f t="shared" si="36"/>
        <v>#DIV/0!</v>
      </c>
    </row>
    <row r="400" spans="1:14" ht="9" customHeight="1" hidden="1">
      <c r="A400" s="60"/>
      <c r="B400" s="112" t="s">
        <v>246</v>
      </c>
      <c r="C400" s="113"/>
      <c r="D400" s="5">
        <f>SUM(D395:D399)</f>
        <v>0</v>
      </c>
      <c r="E400" s="5">
        <f>SUM(E395:E399)</f>
        <v>0</v>
      </c>
      <c r="F400" s="5">
        <f>SUM(F395:F399)</f>
        <v>0</v>
      </c>
      <c r="G400" s="5">
        <f>SUM(G395:G399)</f>
        <v>0</v>
      </c>
      <c r="H400" s="5">
        <f t="shared" si="37"/>
        <v>0</v>
      </c>
      <c r="I400" s="12">
        <f>SUM(I395:I399)</f>
        <v>0</v>
      </c>
      <c r="J400" s="12">
        <f>SUM(J395:J399)</f>
        <v>0</v>
      </c>
      <c r="K400" s="12">
        <f>SUM(K395:K399)</f>
        <v>0</v>
      </c>
      <c r="L400" s="12">
        <f>SUM(L395:L399)</f>
        <v>0</v>
      </c>
      <c r="M400" s="12">
        <f t="shared" si="35"/>
        <v>0</v>
      </c>
      <c r="N400" s="24" t="e">
        <f t="shared" si="36"/>
        <v>#DIV/0!</v>
      </c>
    </row>
    <row r="401" spans="1:14" ht="60.75" customHeight="1">
      <c r="A401" s="120" t="s">
        <v>49</v>
      </c>
      <c r="B401" s="122" t="s">
        <v>50</v>
      </c>
      <c r="C401" s="15" t="s">
        <v>104</v>
      </c>
      <c r="D401" s="3"/>
      <c r="E401" s="3"/>
      <c r="F401" s="3"/>
      <c r="G401" s="3"/>
      <c r="H401" s="6">
        <f t="shared" si="37"/>
        <v>0</v>
      </c>
      <c r="I401" s="6"/>
      <c r="J401" s="6">
        <v>23308.21</v>
      </c>
      <c r="K401" s="6"/>
      <c r="L401" s="6"/>
      <c r="M401" s="6">
        <f t="shared" si="35"/>
        <v>23308.21</v>
      </c>
      <c r="N401" s="4"/>
    </row>
    <row r="402" spans="1:14" ht="9.75">
      <c r="A402" s="121"/>
      <c r="B402" s="123"/>
      <c r="C402" s="23" t="s">
        <v>76</v>
      </c>
      <c r="D402" s="3"/>
      <c r="E402" s="3"/>
      <c r="F402" s="3"/>
      <c r="G402" s="3"/>
      <c r="H402" s="6">
        <f t="shared" si="37"/>
        <v>0</v>
      </c>
      <c r="I402" s="6"/>
      <c r="J402" s="6">
        <v>28339.83</v>
      </c>
      <c r="K402" s="6"/>
      <c r="L402" s="6"/>
      <c r="M402" s="6">
        <f t="shared" si="35"/>
        <v>28339.83</v>
      </c>
      <c r="N402" s="4"/>
    </row>
    <row r="403" spans="1:14" ht="9.75">
      <c r="A403" s="121"/>
      <c r="B403" s="123"/>
      <c r="C403" s="15" t="s">
        <v>72</v>
      </c>
      <c r="D403" s="3"/>
      <c r="E403" s="3"/>
      <c r="F403" s="3"/>
      <c r="G403" s="3"/>
      <c r="H403" s="6">
        <f t="shared" si="37"/>
        <v>0</v>
      </c>
      <c r="I403" s="6"/>
      <c r="J403" s="6">
        <v>6140.53</v>
      </c>
      <c r="K403" s="6"/>
      <c r="L403" s="6"/>
      <c r="M403" s="6">
        <f t="shared" si="35"/>
        <v>6140.53</v>
      </c>
      <c r="N403" s="4"/>
    </row>
    <row r="404" spans="1:14" ht="19.5" customHeight="1" hidden="1">
      <c r="A404" s="60"/>
      <c r="B404" s="123"/>
      <c r="C404" s="15" t="s">
        <v>204</v>
      </c>
      <c r="D404" s="3"/>
      <c r="E404" s="3"/>
      <c r="F404" s="3"/>
      <c r="G404" s="3"/>
      <c r="H404" s="6">
        <f t="shared" si="37"/>
        <v>0</v>
      </c>
      <c r="I404" s="6"/>
      <c r="J404" s="6"/>
      <c r="K404" s="6"/>
      <c r="L404" s="6"/>
      <c r="M404" s="6">
        <f t="shared" si="35"/>
        <v>0</v>
      </c>
      <c r="N404" s="4"/>
    </row>
    <row r="405" spans="1:14" ht="9.75" hidden="1">
      <c r="A405" s="60"/>
      <c r="B405" s="123"/>
      <c r="C405" s="15" t="s">
        <v>74</v>
      </c>
      <c r="D405" s="3"/>
      <c r="E405" s="3"/>
      <c r="F405" s="3"/>
      <c r="G405" s="3"/>
      <c r="H405" s="6">
        <f t="shared" si="37"/>
        <v>0</v>
      </c>
      <c r="I405" s="6"/>
      <c r="J405" s="6">
        <v>0.36</v>
      </c>
      <c r="K405" s="6"/>
      <c r="L405" s="6"/>
      <c r="M405" s="6">
        <f t="shared" si="35"/>
        <v>0.36</v>
      </c>
      <c r="N405" s="4"/>
    </row>
    <row r="406" spans="1:14" ht="21" customHeight="1" hidden="1">
      <c r="A406" s="60"/>
      <c r="B406" s="123"/>
      <c r="C406" s="15" t="s">
        <v>200</v>
      </c>
      <c r="D406" s="3"/>
      <c r="E406" s="3"/>
      <c r="F406" s="3"/>
      <c r="G406" s="3"/>
      <c r="H406" s="6">
        <f t="shared" si="37"/>
        <v>0</v>
      </c>
      <c r="I406" s="6"/>
      <c r="J406" s="6"/>
      <c r="K406" s="6"/>
      <c r="L406" s="6"/>
      <c r="M406" s="6">
        <f t="shared" si="35"/>
        <v>0</v>
      </c>
      <c r="N406" s="4"/>
    </row>
    <row r="407" spans="1:14" ht="42.75" customHeight="1">
      <c r="A407" s="60"/>
      <c r="B407" s="123"/>
      <c r="C407" s="15" t="s">
        <v>243</v>
      </c>
      <c r="D407" s="3"/>
      <c r="E407" s="3">
        <v>229676</v>
      </c>
      <c r="F407" s="3"/>
      <c r="G407" s="3"/>
      <c r="H407" s="6">
        <f t="shared" si="37"/>
        <v>229676</v>
      </c>
      <c r="I407" s="6"/>
      <c r="J407" s="6">
        <v>206584.14</v>
      </c>
      <c r="K407" s="6"/>
      <c r="L407" s="6"/>
      <c r="M407" s="6">
        <f t="shared" si="35"/>
        <v>206584.14</v>
      </c>
      <c r="N407" s="4">
        <f t="shared" si="36"/>
        <v>0.8994589769936782</v>
      </c>
    </row>
    <row r="408" spans="1:14" ht="63" customHeight="1">
      <c r="A408" s="60"/>
      <c r="B408" s="126"/>
      <c r="C408" s="15" t="s">
        <v>102</v>
      </c>
      <c r="D408" s="3"/>
      <c r="E408" s="3">
        <v>171000</v>
      </c>
      <c r="F408" s="3"/>
      <c r="G408" s="3"/>
      <c r="H408" s="6">
        <f t="shared" si="37"/>
        <v>171000</v>
      </c>
      <c r="I408" s="6"/>
      <c r="J408" s="6">
        <v>157656</v>
      </c>
      <c r="K408" s="6"/>
      <c r="L408" s="6"/>
      <c r="M408" s="6">
        <f t="shared" si="35"/>
        <v>157656</v>
      </c>
      <c r="N408" s="4">
        <f t="shared" si="36"/>
        <v>0.9219649122807018</v>
      </c>
    </row>
    <row r="409" spans="1:14" ht="10.5" customHeight="1">
      <c r="A409" s="60"/>
      <c r="B409" s="41" t="s">
        <v>181</v>
      </c>
      <c r="C409" s="25"/>
      <c r="D409" s="5">
        <f>SUM(D401:D408)</f>
        <v>0</v>
      </c>
      <c r="E409" s="5">
        <f>SUM(E401:E408)</f>
        <v>400676</v>
      </c>
      <c r="F409" s="5">
        <f>SUM(F401:F408)</f>
        <v>0</v>
      </c>
      <c r="G409" s="5">
        <f>SUM(G401:G408)</f>
        <v>0</v>
      </c>
      <c r="H409" s="5">
        <f t="shared" si="37"/>
        <v>400676</v>
      </c>
      <c r="I409" s="5">
        <f>SUM(I401:I408)</f>
        <v>0</v>
      </c>
      <c r="J409" s="5">
        <f>SUM(J401:J408)</f>
        <v>422029.07</v>
      </c>
      <c r="K409" s="5">
        <f>SUM(K401:K408)</f>
        <v>0</v>
      </c>
      <c r="L409" s="5">
        <f>SUM(L401:L408)</f>
        <v>0</v>
      </c>
      <c r="M409" s="5">
        <f aca="true" t="shared" si="38" ref="M409:M440">SUM(I409:L409)</f>
        <v>422029.07</v>
      </c>
      <c r="N409" s="24">
        <f t="shared" si="36"/>
        <v>1.053292610488275</v>
      </c>
    </row>
    <row r="410" spans="1:14" ht="24.75" customHeight="1" hidden="1">
      <c r="A410" s="60"/>
      <c r="B410" s="18" t="s">
        <v>195</v>
      </c>
      <c r="C410" s="15" t="s">
        <v>76</v>
      </c>
      <c r="D410" s="3"/>
      <c r="E410" s="3">
        <f>14-14</f>
        <v>0</v>
      </c>
      <c r="F410" s="3"/>
      <c r="G410" s="3"/>
      <c r="H410" s="6">
        <f t="shared" si="37"/>
        <v>0</v>
      </c>
      <c r="I410" s="6"/>
      <c r="J410" s="6"/>
      <c r="K410" s="6"/>
      <c r="L410" s="6"/>
      <c r="M410" s="6">
        <f t="shared" si="38"/>
        <v>0</v>
      </c>
      <c r="N410" s="4"/>
    </row>
    <row r="411" spans="1:14" ht="15" customHeight="1">
      <c r="A411" s="60"/>
      <c r="B411" s="122" t="s">
        <v>195</v>
      </c>
      <c r="C411" s="15" t="s">
        <v>72</v>
      </c>
      <c r="D411" s="3"/>
      <c r="E411" s="3"/>
      <c r="F411" s="3"/>
      <c r="G411" s="3"/>
      <c r="H411" s="6">
        <f t="shared" si="37"/>
        <v>0</v>
      </c>
      <c r="I411" s="6"/>
      <c r="J411" s="6">
        <v>3516.53</v>
      </c>
      <c r="K411" s="6"/>
      <c r="L411" s="6"/>
      <c r="M411" s="6">
        <f t="shared" si="38"/>
        <v>3516.53</v>
      </c>
      <c r="N411" s="4"/>
    </row>
    <row r="412" spans="1:14" ht="57" customHeight="1">
      <c r="A412" s="60"/>
      <c r="B412" s="126"/>
      <c r="C412" s="15" t="s">
        <v>74</v>
      </c>
      <c r="D412" s="3"/>
      <c r="E412" s="3"/>
      <c r="F412" s="3"/>
      <c r="G412" s="3"/>
      <c r="H412" s="6">
        <f t="shared" si="37"/>
        <v>0</v>
      </c>
      <c r="I412" s="6"/>
      <c r="J412" s="6">
        <v>172.5</v>
      </c>
      <c r="K412" s="6"/>
      <c r="L412" s="6"/>
      <c r="M412" s="6">
        <f t="shared" si="38"/>
        <v>172.5</v>
      </c>
      <c r="N412" s="4"/>
    </row>
    <row r="413" spans="1:14" ht="9.75">
      <c r="A413" s="60"/>
      <c r="B413" s="41" t="s">
        <v>196</v>
      </c>
      <c r="C413" s="25"/>
      <c r="D413" s="5">
        <f>SUM(D410:D412)</f>
        <v>0</v>
      </c>
      <c r="E413" s="5">
        <f>SUM(E410:E412)</f>
        <v>0</v>
      </c>
      <c r="F413" s="5">
        <f>SUM(F410:F412)</f>
        <v>0</v>
      </c>
      <c r="G413" s="5">
        <f>SUM(G410:G412)</f>
        <v>0</v>
      </c>
      <c r="H413" s="5">
        <f t="shared" si="37"/>
        <v>0</v>
      </c>
      <c r="I413" s="5">
        <f>SUM(I410:I411)</f>
        <v>0</v>
      </c>
      <c r="J413" s="5">
        <f>SUM(J410:J412)</f>
        <v>3689.03</v>
      </c>
      <c r="K413" s="5">
        <f>SUM(K410:K412)</f>
        <v>0</v>
      </c>
      <c r="L413" s="5">
        <f>SUM(L410:L412)</f>
        <v>0</v>
      </c>
      <c r="M413" s="5">
        <f t="shared" si="38"/>
        <v>3689.03</v>
      </c>
      <c r="N413" s="24"/>
    </row>
    <row r="414" spans="1:14" s="9" customFormat="1" ht="9.75" customHeight="1">
      <c r="A414" s="60"/>
      <c r="B414" s="122" t="s">
        <v>51</v>
      </c>
      <c r="C414" s="68" t="s">
        <v>71</v>
      </c>
      <c r="D414" s="12"/>
      <c r="E414" s="12"/>
      <c r="F414" s="12"/>
      <c r="G414" s="12"/>
      <c r="H414" s="6">
        <f t="shared" si="37"/>
        <v>0</v>
      </c>
      <c r="I414" s="12"/>
      <c r="J414" s="69">
        <v>5054</v>
      </c>
      <c r="K414" s="12"/>
      <c r="L414" s="12"/>
      <c r="M414" s="6">
        <f t="shared" si="38"/>
        <v>5054</v>
      </c>
      <c r="N414" s="4"/>
    </row>
    <row r="415" spans="1:14" ht="39" customHeight="1" hidden="1">
      <c r="A415" s="60"/>
      <c r="B415" s="123"/>
      <c r="C415" s="15" t="s">
        <v>104</v>
      </c>
      <c r="D415" s="3"/>
      <c r="E415" s="3"/>
      <c r="F415" s="3"/>
      <c r="G415" s="3"/>
      <c r="H415" s="6">
        <f t="shared" si="37"/>
        <v>0</v>
      </c>
      <c r="I415" s="6"/>
      <c r="J415" s="6"/>
      <c r="K415" s="6"/>
      <c r="L415" s="6"/>
      <c r="M415" s="6">
        <f t="shared" si="38"/>
        <v>0</v>
      </c>
      <c r="N415" s="4" t="e">
        <f>M415/H415</f>
        <v>#DIV/0!</v>
      </c>
    </row>
    <row r="416" spans="1:14" ht="9" customHeight="1" hidden="1">
      <c r="A416" s="60"/>
      <c r="B416" s="123"/>
      <c r="C416" s="15" t="s">
        <v>76</v>
      </c>
      <c r="D416" s="3"/>
      <c r="E416" s="3">
        <f>360-360</f>
        <v>0</v>
      </c>
      <c r="F416" s="3"/>
      <c r="G416" s="3"/>
      <c r="H416" s="6">
        <f t="shared" si="37"/>
        <v>0</v>
      </c>
      <c r="I416" s="6"/>
      <c r="J416" s="6"/>
      <c r="K416" s="6"/>
      <c r="L416" s="6"/>
      <c r="M416" s="6">
        <f t="shared" si="38"/>
        <v>0</v>
      </c>
      <c r="N416" s="4" t="e">
        <f>M416/H416</f>
        <v>#DIV/0!</v>
      </c>
    </row>
    <row r="417" spans="1:14" ht="9" customHeight="1">
      <c r="A417" s="60"/>
      <c r="B417" s="123"/>
      <c r="C417" s="15" t="s">
        <v>72</v>
      </c>
      <c r="D417" s="3"/>
      <c r="E417" s="3"/>
      <c r="F417" s="3"/>
      <c r="G417" s="3"/>
      <c r="H417" s="6">
        <f t="shared" si="37"/>
        <v>0</v>
      </c>
      <c r="I417" s="6"/>
      <c r="J417" s="6">
        <v>1247.05</v>
      </c>
      <c r="K417" s="6"/>
      <c r="L417" s="6"/>
      <c r="M417" s="6">
        <f t="shared" si="38"/>
        <v>1247.05</v>
      </c>
      <c r="N417" s="4"/>
    </row>
    <row r="418" spans="1:14" ht="21" customHeight="1">
      <c r="A418" s="60"/>
      <c r="B418" s="126"/>
      <c r="C418" s="15" t="s">
        <v>74</v>
      </c>
      <c r="D418" s="3"/>
      <c r="E418" s="3"/>
      <c r="F418" s="3"/>
      <c r="G418" s="3"/>
      <c r="H418" s="6">
        <f t="shared" si="37"/>
        <v>0</v>
      </c>
      <c r="I418" s="6"/>
      <c r="J418" s="6">
        <v>7638.28</v>
      </c>
      <c r="K418" s="6"/>
      <c r="L418" s="6"/>
      <c r="M418" s="6">
        <f t="shared" si="38"/>
        <v>7638.28</v>
      </c>
      <c r="N418" s="4"/>
    </row>
    <row r="419" spans="1:14" ht="10.5" customHeight="1">
      <c r="A419" s="60"/>
      <c r="B419" s="41" t="s">
        <v>182</v>
      </c>
      <c r="C419" s="25"/>
      <c r="D419" s="5">
        <f>SUM(D414:D418)</f>
        <v>0</v>
      </c>
      <c r="E419" s="5">
        <f>SUM(E414:E418)</f>
        <v>0</v>
      </c>
      <c r="F419" s="5">
        <f>SUM(F414:F418)</f>
        <v>0</v>
      </c>
      <c r="G419" s="5">
        <f>SUM(G414:G418)</f>
        <v>0</v>
      </c>
      <c r="H419" s="5">
        <f t="shared" si="37"/>
        <v>0</v>
      </c>
      <c r="I419" s="5">
        <f>SUM(I414:I418)</f>
        <v>0</v>
      </c>
      <c r="J419" s="5">
        <f>SUM(J414:J418)</f>
        <v>13939.33</v>
      </c>
      <c r="K419" s="5">
        <f>SUM(K414:K418)</f>
        <v>0</v>
      </c>
      <c r="L419" s="5">
        <f>SUM(L414:L418)</f>
        <v>0</v>
      </c>
      <c r="M419" s="5">
        <f t="shared" si="38"/>
        <v>13939.33</v>
      </c>
      <c r="N419" s="24"/>
    </row>
    <row r="420" spans="1:14" ht="58.5" customHeight="1">
      <c r="A420" s="121"/>
      <c r="B420" s="122" t="s">
        <v>52</v>
      </c>
      <c r="C420" s="23" t="s">
        <v>104</v>
      </c>
      <c r="D420" s="6"/>
      <c r="E420" s="3"/>
      <c r="F420" s="3"/>
      <c r="G420" s="3"/>
      <c r="H420" s="6">
        <f t="shared" si="37"/>
        <v>0</v>
      </c>
      <c r="I420" s="6"/>
      <c r="J420" s="6">
        <v>11914.49</v>
      </c>
      <c r="K420" s="6"/>
      <c r="L420" s="6"/>
      <c r="M420" s="6">
        <f t="shared" si="38"/>
        <v>11914.49</v>
      </c>
      <c r="N420" s="4"/>
    </row>
    <row r="421" spans="1:14" ht="12.75" customHeight="1" hidden="1">
      <c r="A421" s="121"/>
      <c r="B421" s="123"/>
      <c r="C421" s="15" t="s">
        <v>76</v>
      </c>
      <c r="D421" s="3"/>
      <c r="E421" s="3"/>
      <c r="F421" s="3"/>
      <c r="G421" s="3"/>
      <c r="H421" s="6">
        <f t="shared" si="37"/>
        <v>0</v>
      </c>
      <c r="I421" s="6"/>
      <c r="J421" s="6"/>
      <c r="K421" s="6"/>
      <c r="L421" s="6"/>
      <c r="M421" s="6">
        <f t="shared" si="38"/>
        <v>0</v>
      </c>
      <c r="N421" s="4" t="e">
        <f>M421/H421</f>
        <v>#DIV/0!</v>
      </c>
    </row>
    <row r="422" spans="1:14" ht="20.25" customHeight="1" hidden="1">
      <c r="A422" s="121"/>
      <c r="B422" s="123"/>
      <c r="C422" s="15" t="s">
        <v>161</v>
      </c>
      <c r="D422" s="3"/>
      <c r="E422" s="3"/>
      <c r="F422" s="3"/>
      <c r="G422" s="3"/>
      <c r="H422" s="6">
        <f t="shared" si="37"/>
        <v>0</v>
      </c>
      <c r="I422" s="6"/>
      <c r="J422" s="6"/>
      <c r="K422" s="6"/>
      <c r="L422" s="6"/>
      <c r="M422" s="6">
        <f t="shared" si="38"/>
        <v>0</v>
      </c>
      <c r="N422" s="4" t="e">
        <f>M422/H422</f>
        <v>#DIV/0!</v>
      </c>
    </row>
    <row r="423" spans="1:14" ht="10.5" customHeight="1">
      <c r="A423" s="121"/>
      <c r="B423" s="123"/>
      <c r="C423" s="15" t="s">
        <v>72</v>
      </c>
      <c r="D423" s="3"/>
      <c r="E423" s="3"/>
      <c r="F423" s="3"/>
      <c r="G423" s="3"/>
      <c r="H423" s="6">
        <f t="shared" si="37"/>
        <v>0</v>
      </c>
      <c r="I423" s="6"/>
      <c r="J423" s="6">
        <v>801.75</v>
      </c>
      <c r="K423" s="6"/>
      <c r="L423" s="6"/>
      <c r="M423" s="6">
        <f t="shared" si="38"/>
        <v>801.75</v>
      </c>
      <c r="N423" s="4"/>
    </row>
    <row r="424" spans="1:14" ht="19.5" customHeight="1" hidden="1">
      <c r="A424" s="121"/>
      <c r="B424" s="123"/>
      <c r="C424" s="15" t="s">
        <v>204</v>
      </c>
      <c r="D424" s="3"/>
      <c r="E424" s="3"/>
      <c r="F424" s="3"/>
      <c r="G424" s="3"/>
      <c r="H424" s="6">
        <f t="shared" si="37"/>
        <v>0</v>
      </c>
      <c r="I424" s="6"/>
      <c r="J424" s="6"/>
      <c r="K424" s="6"/>
      <c r="L424" s="6"/>
      <c r="M424" s="6">
        <f t="shared" si="38"/>
        <v>0</v>
      </c>
      <c r="N424" s="4" t="e">
        <f>M424/H424</f>
        <v>#DIV/0!</v>
      </c>
    </row>
    <row r="425" spans="1:14" ht="9.75" customHeight="1">
      <c r="A425" s="121"/>
      <c r="B425" s="123"/>
      <c r="C425" s="15" t="s">
        <v>74</v>
      </c>
      <c r="D425" s="3"/>
      <c r="E425" s="3"/>
      <c r="F425" s="3"/>
      <c r="G425" s="3"/>
      <c r="H425" s="6">
        <f t="shared" si="37"/>
        <v>0</v>
      </c>
      <c r="I425" s="6"/>
      <c r="J425" s="6">
        <v>61.96</v>
      </c>
      <c r="K425" s="6"/>
      <c r="L425" s="6"/>
      <c r="M425" s="6">
        <f t="shared" si="38"/>
        <v>61.96</v>
      </c>
      <c r="N425" s="4"/>
    </row>
    <row r="426" spans="1:14" ht="19.5" hidden="1">
      <c r="A426" s="121"/>
      <c r="B426" s="123"/>
      <c r="C426" s="15" t="s">
        <v>200</v>
      </c>
      <c r="D426" s="3"/>
      <c r="E426" s="3"/>
      <c r="F426" s="3"/>
      <c r="G426" s="3"/>
      <c r="H426" s="6">
        <f t="shared" si="37"/>
        <v>0</v>
      </c>
      <c r="I426" s="6"/>
      <c r="J426" s="6"/>
      <c r="K426" s="6"/>
      <c r="L426" s="6"/>
      <c r="M426" s="6">
        <f t="shared" si="38"/>
        <v>0</v>
      </c>
      <c r="N426" s="4"/>
    </row>
    <row r="427" spans="1:14" ht="29.25" hidden="1">
      <c r="A427" s="121"/>
      <c r="B427" s="126"/>
      <c r="C427" s="18" t="s">
        <v>288</v>
      </c>
      <c r="D427" s="3"/>
      <c r="E427" s="3"/>
      <c r="F427" s="3"/>
      <c r="G427" s="3"/>
      <c r="H427" s="6">
        <f t="shared" si="37"/>
        <v>0</v>
      </c>
      <c r="I427" s="6"/>
      <c r="J427" s="6"/>
      <c r="K427" s="6"/>
      <c r="L427" s="6"/>
      <c r="M427" s="6">
        <f t="shared" si="38"/>
        <v>0</v>
      </c>
      <c r="N427" s="4"/>
    </row>
    <row r="428" spans="1:14" ht="10.5" customHeight="1">
      <c r="A428" s="121"/>
      <c r="B428" s="44" t="s">
        <v>183</v>
      </c>
      <c r="C428" s="30"/>
      <c r="D428" s="5">
        <f>SUM(D420:D427)</f>
        <v>0</v>
      </c>
      <c r="E428" s="5">
        <f>SUM(E420:E427)</f>
        <v>0</v>
      </c>
      <c r="F428" s="5">
        <f>SUM(F420:F427)</f>
        <v>0</v>
      </c>
      <c r="G428" s="5">
        <f>SUM(G420:G427)</f>
        <v>0</v>
      </c>
      <c r="H428" s="5">
        <f t="shared" si="37"/>
        <v>0</v>
      </c>
      <c r="I428" s="5">
        <f>SUM(I420:I427)</f>
        <v>0</v>
      </c>
      <c r="J428" s="5">
        <f>SUM(J420:J427)</f>
        <v>12778.199999999999</v>
      </c>
      <c r="K428" s="5">
        <f>SUM(K420:K427)</f>
        <v>0</v>
      </c>
      <c r="L428" s="5">
        <f>SUM(L420:L427)</f>
        <v>0</v>
      </c>
      <c r="M428" s="5">
        <f t="shared" si="38"/>
        <v>12778.199999999999</v>
      </c>
      <c r="N428" s="24"/>
    </row>
    <row r="429" spans="1:14" ht="9.75" hidden="1">
      <c r="A429" s="62"/>
      <c r="B429" s="122" t="s">
        <v>197</v>
      </c>
      <c r="C429" s="15" t="s">
        <v>76</v>
      </c>
      <c r="D429" s="6"/>
      <c r="E429" s="3"/>
      <c r="F429" s="3"/>
      <c r="G429" s="3"/>
      <c r="H429" s="6">
        <f t="shared" si="37"/>
        <v>0</v>
      </c>
      <c r="I429" s="6"/>
      <c r="J429" s="6"/>
      <c r="K429" s="6"/>
      <c r="L429" s="6"/>
      <c r="M429" s="6">
        <f t="shared" si="38"/>
        <v>0</v>
      </c>
      <c r="N429" s="4" t="e">
        <f aca="true" t="shared" si="39" ref="N429:N444">M429/H429</f>
        <v>#DIV/0!</v>
      </c>
    </row>
    <row r="430" spans="1:14" ht="9.75" hidden="1">
      <c r="A430" s="62"/>
      <c r="B430" s="123"/>
      <c r="C430" s="15" t="s">
        <v>72</v>
      </c>
      <c r="D430" s="6"/>
      <c r="E430" s="3"/>
      <c r="F430" s="3"/>
      <c r="G430" s="3"/>
      <c r="H430" s="6">
        <f t="shared" si="37"/>
        <v>0</v>
      </c>
      <c r="I430" s="6"/>
      <c r="J430" s="6"/>
      <c r="K430" s="6"/>
      <c r="L430" s="6"/>
      <c r="M430" s="6">
        <f t="shared" si="38"/>
        <v>0</v>
      </c>
      <c r="N430" s="4" t="e">
        <f t="shared" si="39"/>
        <v>#DIV/0!</v>
      </c>
    </row>
    <row r="431" spans="1:14" ht="19.5" customHeight="1" hidden="1">
      <c r="A431" s="62"/>
      <c r="B431" s="123"/>
      <c r="C431" s="15" t="s">
        <v>204</v>
      </c>
      <c r="D431" s="6"/>
      <c r="E431" s="3"/>
      <c r="F431" s="3"/>
      <c r="G431" s="3"/>
      <c r="H431" s="6">
        <f t="shared" si="37"/>
        <v>0</v>
      </c>
      <c r="I431" s="6"/>
      <c r="J431" s="6"/>
      <c r="K431" s="6"/>
      <c r="L431" s="6"/>
      <c r="M431" s="6">
        <f t="shared" si="38"/>
        <v>0</v>
      </c>
      <c r="N431" s="4" t="e">
        <f t="shared" si="39"/>
        <v>#DIV/0!</v>
      </c>
    </row>
    <row r="432" spans="1:14" ht="21" customHeight="1" hidden="1">
      <c r="A432" s="62"/>
      <c r="B432" s="123"/>
      <c r="C432" s="15" t="s">
        <v>200</v>
      </c>
      <c r="D432" s="6"/>
      <c r="E432" s="3"/>
      <c r="F432" s="3"/>
      <c r="G432" s="3"/>
      <c r="H432" s="6">
        <f t="shared" si="37"/>
        <v>0</v>
      </c>
      <c r="I432" s="6"/>
      <c r="J432" s="6"/>
      <c r="K432" s="6"/>
      <c r="L432" s="6"/>
      <c r="M432" s="6">
        <f t="shared" si="38"/>
        <v>0</v>
      </c>
      <c r="N432" s="4" t="e">
        <f t="shared" si="39"/>
        <v>#DIV/0!</v>
      </c>
    </row>
    <row r="433" spans="1:14" ht="40.5" customHeight="1" hidden="1">
      <c r="A433" s="62"/>
      <c r="B433" s="126"/>
      <c r="C433" s="15" t="s">
        <v>212</v>
      </c>
      <c r="D433" s="6"/>
      <c r="E433" s="3"/>
      <c r="F433" s="3"/>
      <c r="G433" s="3"/>
      <c r="H433" s="6">
        <f t="shared" si="37"/>
        <v>0</v>
      </c>
      <c r="I433" s="6"/>
      <c r="J433" s="6"/>
      <c r="K433" s="6"/>
      <c r="L433" s="6"/>
      <c r="M433" s="6">
        <f t="shared" si="38"/>
        <v>0</v>
      </c>
      <c r="N433" s="4" t="e">
        <f t="shared" si="39"/>
        <v>#DIV/0!</v>
      </c>
    </row>
    <row r="434" spans="1:14" ht="9.75" hidden="1">
      <c r="A434" s="60"/>
      <c r="B434" s="44" t="s">
        <v>197</v>
      </c>
      <c r="C434" s="30"/>
      <c r="D434" s="5">
        <f>SUM(D429:D433)</f>
        <v>0</v>
      </c>
      <c r="E434" s="5">
        <f>SUM(E429:E433)</f>
        <v>0</v>
      </c>
      <c r="F434" s="5">
        <f>SUM(F429:F433)</f>
        <v>0</v>
      </c>
      <c r="G434" s="5">
        <f>SUM(G429:G433)</f>
        <v>0</v>
      </c>
      <c r="H434" s="5">
        <f t="shared" si="37"/>
        <v>0</v>
      </c>
      <c r="I434" s="12">
        <f>SUM(I429:I433)</f>
        <v>0</v>
      </c>
      <c r="J434" s="12">
        <f>SUM(J429:J432)</f>
        <v>0</v>
      </c>
      <c r="K434" s="12">
        <f>SUM(K429:K432)</f>
        <v>0</v>
      </c>
      <c r="L434" s="12">
        <f>SUM(L429:L432)</f>
        <v>0</v>
      </c>
      <c r="M434" s="12">
        <f t="shared" si="38"/>
        <v>0</v>
      </c>
      <c r="N434" s="24" t="e">
        <f t="shared" si="39"/>
        <v>#DIV/0!</v>
      </c>
    </row>
    <row r="435" spans="1:14" s="9" customFormat="1" ht="11.25" customHeight="1" hidden="1">
      <c r="A435" s="84"/>
      <c r="B435" s="18" t="s">
        <v>223</v>
      </c>
      <c r="C435" s="15" t="s">
        <v>74</v>
      </c>
      <c r="D435" s="12"/>
      <c r="E435" s="12"/>
      <c r="F435" s="12"/>
      <c r="G435" s="12"/>
      <c r="H435" s="6">
        <f t="shared" si="37"/>
        <v>0</v>
      </c>
      <c r="I435" s="12"/>
      <c r="J435" s="6"/>
      <c r="K435" s="12"/>
      <c r="L435" s="12"/>
      <c r="M435" s="6">
        <f t="shared" si="38"/>
        <v>0</v>
      </c>
      <c r="N435" s="4" t="e">
        <f t="shared" si="39"/>
        <v>#DIV/0!</v>
      </c>
    </row>
    <row r="436" spans="1:14" s="9" customFormat="1" ht="11.25" customHeight="1" hidden="1">
      <c r="A436" s="84"/>
      <c r="B436" s="23"/>
      <c r="C436" s="15" t="s">
        <v>259</v>
      </c>
      <c r="D436" s="12"/>
      <c r="E436" s="12"/>
      <c r="F436" s="12"/>
      <c r="G436" s="12"/>
      <c r="H436" s="6">
        <f t="shared" si="37"/>
        <v>0</v>
      </c>
      <c r="I436" s="12"/>
      <c r="J436" s="6"/>
      <c r="K436" s="12"/>
      <c r="L436" s="12"/>
      <c r="M436" s="6">
        <f t="shared" si="38"/>
        <v>0</v>
      </c>
      <c r="N436" s="4" t="e">
        <f t="shared" si="39"/>
        <v>#DIV/0!</v>
      </c>
    </row>
    <row r="437" spans="1:14" s="9" customFormat="1" ht="11.25" customHeight="1" hidden="1">
      <c r="A437" s="84"/>
      <c r="B437" s="23"/>
      <c r="C437" s="15" t="s">
        <v>260</v>
      </c>
      <c r="D437" s="12"/>
      <c r="E437" s="12"/>
      <c r="F437" s="12"/>
      <c r="G437" s="12"/>
      <c r="H437" s="6">
        <f t="shared" si="37"/>
        <v>0</v>
      </c>
      <c r="I437" s="12"/>
      <c r="J437" s="6"/>
      <c r="K437" s="12"/>
      <c r="L437" s="12"/>
      <c r="M437" s="6">
        <f t="shared" si="38"/>
        <v>0</v>
      </c>
      <c r="N437" s="4" t="e">
        <f t="shared" si="39"/>
        <v>#DIV/0!</v>
      </c>
    </row>
    <row r="438" spans="1:14" ht="42" customHeight="1">
      <c r="A438" s="60"/>
      <c r="B438" s="122" t="s">
        <v>223</v>
      </c>
      <c r="C438" s="15" t="s">
        <v>101</v>
      </c>
      <c r="D438" s="6">
        <f>18822+49165+132175+50000</f>
        <v>250162</v>
      </c>
      <c r="E438" s="3"/>
      <c r="F438" s="3"/>
      <c r="G438" s="3"/>
      <c r="H438" s="6">
        <f t="shared" si="37"/>
        <v>250162</v>
      </c>
      <c r="I438" s="6">
        <v>247707</v>
      </c>
      <c r="J438" s="6"/>
      <c r="K438" s="6"/>
      <c r="L438" s="6"/>
      <c r="M438" s="6">
        <f t="shared" si="38"/>
        <v>247707</v>
      </c>
      <c r="N438" s="4">
        <f t="shared" si="39"/>
        <v>0.9901863592392129</v>
      </c>
    </row>
    <row r="439" spans="1:14" ht="29.25" customHeight="1">
      <c r="A439" s="60"/>
      <c r="B439" s="123"/>
      <c r="C439" s="18" t="s">
        <v>73</v>
      </c>
      <c r="D439" s="6"/>
      <c r="E439" s="3">
        <f>14800+3200</f>
        <v>18000</v>
      </c>
      <c r="F439" s="3"/>
      <c r="G439" s="3"/>
      <c r="H439" s="6">
        <f t="shared" si="37"/>
        <v>18000</v>
      </c>
      <c r="I439" s="6"/>
      <c r="J439" s="6">
        <v>17886.35</v>
      </c>
      <c r="K439" s="6"/>
      <c r="L439" s="6"/>
      <c r="M439" s="6">
        <f t="shared" si="38"/>
        <v>17886.35</v>
      </c>
      <c r="N439" s="4">
        <f t="shared" si="39"/>
        <v>0.993686111111111</v>
      </c>
    </row>
    <row r="440" spans="1:14" ht="29.25" customHeight="1" hidden="1">
      <c r="A440" s="60"/>
      <c r="B440" s="123"/>
      <c r="C440" s="18" t="s">
        <v>240</v>
      </c>
      <c r="D440" s="6"/>
      <c r="E440" s="3">
        <f>319345-319345</f>
        <v>0</v>
      </c>
      <c r="F440" s="3"/>
      <c r="G440" s="3"/>
      <c r="H440" s="6">
        <f t="shared" si="37"/>
        <v>0</v>
      </c>
      <c r="I440" s="6"/>
      <c r="J440" s="6"/>
      <c r="K440" s="6"/>
      <c r="L440" s="6"/>
      <c r="M440" s="6">
        <f t="shared" si="38"/>
        <v>0</v>
      </c>
      <c r="N440" s="4" t="e">
        <f t="shared" si="39"/>
        <v>#DIV/0!</v>
      </c>
    </row>
    <row r="441" spans="1:14" ht="71.25" customHeight="1">
      <c r="A441" s="62"/>
      <c r="B441" s="123"/>
      <c r="C441" s="15" t="s">
        <v>261</v>
      </c>
      <c r="D441" s="6"/>
      <c r="E441" s="3">
        <f>119839+8063+117525</f>
        <v>245427</v>
      </c>
      <c r="F441" s="3"/>
      <c r="G441" s="3"/>
      <c r="H441" s="6">
        <f t="shared" si="37"/>
        <v>245427</v>
      </c>
      <c r="I441" s="6"/>
      <c r="J441" s="6">
        <v>245372.15</v>
      </c>
      <c r="K441" s="6"/>
      <c r="L441" s="6"/>
      <c r="M441" s="6">
        <f aca="true" t="shared" si="40" ref="M441:M473">SUM(I441:L441)</f>
        <v>245372.15</v>
      </c>
      <c r="N441" s="4">
        <f t="shared" si="39"/>
        <v>0.9997765119567121</v>
      </c>
    </row>
    <row r="442" spans="1:14" ht="70.5" customHeight="1">
      <c r="A442" s="60"/>
      <c r="B442" s="126"/>
      <c r="C442" s="18" t="s">
        <v>262</v>
      </c>
      <c r="D442" s="6"/>
      <c r="E442" s="3">
        <f>56265+3786+52877</f>
        <v>112928</v>
      </c>
      <c r="F442" s="3"/>
      <c r="G442" s="3"/>
      <c r="H442" s="6">
        <f t="shared" si="37"/>
        <v>112928</v>
      </c>
      <c r="I442" s="6"/>
      <c r="J442" s="6">
        <v>112902.9</v>
      </c>
      <c r="K442" s="6"/>
      <c r="L442" s="6"/>
      <c r="M442" s="6">
        <f t="shared" si="40"/>
        <v>112902.9</v>
      </c>
      <c r="N442" s="4">
        <f t="shared" si="39"/>
        <v>0.99977773448569</v>
      </c>
    </row>
    <row r="443" spans="1:14" ht="9.75">
      <c r="A443" s="60"/>
      <c r="B443" s="45" t="s">
        <v>247</v>
      </c>
      <c r="C443" s="30"/>
      <c r="D443" s="5">
        <f>SUM(D435:D442)</f>
        <v>250162</v>
      </c>
      <c r="E443" s="5">
        <f>SUM(E435:E442)</f>
        <v>376355</v>
      </c>
      <c r="F443" s="5">
        <f>SUM(F435:F442)</f>
        <v>0</v>
      </c>
      <c r="G443" s="5">
        <f>SUM(G435:G442)</f>
        <v>0</v>
      </c>
      <c r="H443" s="5">
        <f t="shared" si="37"/>
        <v>626517</v>
      </c>
      <c r="I443" s="5">
        <f>SUM(I435:I442)</f>
        <v>247707</v>
      </c>
      <c r="J443" s="5">
        <f>SUM(J435:J442)</f>
        <v>376161.4</v>
      </c>
      <c r="K443" s="5">
        <f>SUM(K435:K442)</f>
        <v>0</v>
      </c>
      <c r="L443" s="5">
        <f>SUM(L435:L442)</f>
        <v>0</v>
      </c>
      <c r="M443" s="5">
        <f t="shared" si="40"/>
        <v>623868.4</v>
      </c>
      <c r="N443" s="24">
        <f t="shared" si="39"/>
        <v>0.9957725009856078</v>
      </c>
    </row>
    <row r="444" spans="1:14" ht="9" customHeight="1" hidden="1">
      <c r="A444" s="60"/>
      <c r="B444" s="56" t="s">
        <v>198</v>
      </c>
      <c r="C444" s="15" t="s">
        <v>76</v>
      </c>
      <c r="D444" s="6"/>
      <c r="E444" s="3"/>
      <c r="F444" s="3"/>
      <c r="G444" s="3"/>
      <c r="H444" s="6">
        <f t="shared" si="37"/>
        <v>0</v>
      </c>
      <c r="I444" s="6"/>
      <c r="J444" s="6"/>
      <c r="K444" s="6"/>
      <c r="L444" s="6"/>
      <c r="M444" s="6">
        <f t="shared" si="40"/>
        <v>0</v>
      </c>
      <c r="N444" s="4" t="e">
        <f t="shared" si="39"/>
        <v>#DIV/0!</v>
      </c>
    </row>
    <row r="445" spans="1:14" ht="11.25" customHeight="1">
      <c r="A445" s="60"/>
      <c r="B445" s="122" t="s">
        <v>198</v>
      </c>
      <c r="C445" s="15" t="s">
        <v>72</v>
      </c>
      <c r="D445" s="6"/>
      <c r="E445" s="3"/>
      <c r="F445" s="3"/>
      <c r="G445" s="3"/>
      <c r="H445" s="6">
        <f t="shared" si="37"/>
        <v>0</v>
      </c>
      <c r="I445" s="6"/>
      <c r="J445" s="6">
        <v>503</v>
      </c>
      <c r="K445" s="6"/>
      <c r="L445" s="6"/>
      <c r="M445" s="6">
        <f t="shared" si="40"/>
        <v>503</v>
      </c>
      <c r="N445" s="4"/>
    </row>
    <row r="446" spans="1:14" ht="18" customHeight="1">
      <c r="A446" s="60"/>
      <c r="B446" s="123"/>
      <c r="C446" s="15" t="s">
        <v>74</v>
      </c>
      <c r="D446" s="6"/>
      <c r="E446" s="3"/>
      <c r="F446" s="3"/>
      <c r="G446" s="3"/>
      <c r="H446" s="6">
        <f t="shared" si="37"/>
        <v>0</v>
      </c>
      <c r="I446" s="6"/>
      <c r="J446" s="6">
        <v>441.03</v>
      </c>
      <c r="K446" s="6"/>
      <c r="L446" s="6"/>
      <c r="M446" s="6">
        <f t="shared" si="40"/>
        <v>441.03</v>
      </c>
      <c r="N446" s="4"/>
    </row>
    <row r="447" spans="1:14" ht="18" customHeight="1" hidden="1">
      <c r="A447" s="60"/>
      <c r="B447" s="48"/>
      <c r="C447" s="15" t="s">
        <v>200</v>
      </c>
      <c r="D447" s="6"/>
      <c r="E447" s="3"/>
      <c r="F447" s="3"/>
      <c r="G447" s="3"/>
      <c r="H447" s="6">
        <f t="shared" si="37"/>
        <v>0</v>
      </c>
      <c r="I447" s="6"/>
      <c r="J447" s="6"/>
      <c r="K447" s="6"/>
      <c r="L447" s="6"/>
      <c r="M447" s="6">
        <f t="shared" si="40"/>
        <v>0</v>
      </c>
      <c r="N447" s="4"/>
    </row>
    <row r="448" spans="1:14" ht="9.75">
      <c r="A448" s="62"/>
      <c r="B448" s="25" t="s">
        <v>199</v>
      </c>
      <c r="C448" s="30"/>
      <c r="D448" s="5">
        <f>SUM(D444:D447)</f>
        <v>0</v>
      </c>
      <c r="E448" s="5">
        <f>SUM(E444:E447)</f>
        <v>0</v>
      </c>
      <c r="F448" s="5">
        <f>SUM(F444:F447)</f>
        <v>0</v>
      </c>
      <c r="G448" s="5">
        <f>SUM(G444:G447)</f>
        <v>0</v>
      </c>
      <c r="H448" s="5">
        <f t="shared" si="37"/>
        <v>0</v>
      </c>
      <c r="I448" s="5">
        <f>SUM(I444:I447)</f>
        <v>0</v>
      </c>
      <c r="J448" s="5">
        <f>SUM(J444:J447)</f>
        <v>944.03</v>
      </c>
      <c r="K448" s="5">
        <f>SUM(K444:K447)</f>
        <v>0</v>
      </c>
      <c r="L448" s="5">
        <f>SUM(L444:L447)</f>
        <v>0</v>
      </c>
      <c r="M448" s="5">
        <f t="shared" si="40"/>
        <v>944.03</v>
      </c>
      <c r="N448" s="24"/>
    </row>
    <row r="449" spans="1:14" ht="39.75" customHeight="1" hidden="1">
      <c r="A449" s="60"/>
      <c r="B449" s="48" t="s">
        <v>241</v>
      </c>
      <c r="C449" s="15" t="s">
        <v>212</v>
      </c>
      <c r="D449" s="6"/>
      <c r="E449" s="3"/>
      <c r="F449" s="3"/>
      <c r="G449" s="3"/>
      <c r="H449" s="6">
        <f t="shared" si="37"/>
        <v>0</v>
      </c>
      <c r="I449" s="6"/>
      <c r="J449" s="6"/>
      <c r="K449" s="6"/>
      <c r="L449" s="6"/>
      <c r="M449" s="6">
        <f t="shared" si="40"/>
        <v>0</v>
      </c>
      <c r="N449" s="4" t="e">
        <f aca="true" t="shared" si="41" ref="N449:N488">M449/H449</f>
        <v>#DIV/0!</v>
      </c>
    </row>
    <row r="450" spans="1:14" ht="9.75" hidden="1">
      <c r="A450" s="61"/>
      <c r="B450" s="41" t="s">
        <v>297</v>
      </c>
      <c r="C450" s="30"/>
      <c r="D450" s="5">
        <f>SUM(D449)</f>
        <v>0</v>
      </c>
      <c r="E450" s="5">
        <f>SUM(E449)</f>
        <v>0</v>
      </c>
      <c r="F450" s="5">
        <f>SUM(F449)</f>
        <v>0</v>
      </c>
      <c r="G450" s="5">
        <f>SUM(G449)</f>
        <v>0</v>
      </c>
      <c r="H450" s="5">
        <f t="shared" si="37"/>
        <v>0</v>
      </c>
      <c r="I450" s="12">
        <f>SUM(I449:I449)</f>
        <v>0</v>
      </c>
      <c r="J450" s="12">
        <f>SUM(J449:J449)</f>
        <v>0</v>
      </c>
      <c r="K450" s="12">
        <f>SUM(K449:K449)</f>
        <v>0</v>
      </c>
      <c r="L450" s="12">
        <f>SUM(L449:L449)</f>
        <v>0</v>
      </c>
      <c r="M450" s="12">
        <f t="shared" si="40"/>
        <v>0</v>
      </c>
      <c r="N450" s="24" t="e">
        <f t="shared" si="41"/>
        <v>#DIV/0!</v>
      </c>
    </row>
    <row r="451" spans="1:14" ht="9" customHeight="1">
      <c r="A451" s="22" t="s">
        <v>53</v>
      </c>
      <c r="B451" s="22"/>
      <c r="C451" s="20"/>
      <c r="D451" s="21">
        <f>SUM(D450,D448,D443,D400,D409,D413,D419,D428,D434)</f>
        <v>250162</v>
      </c>
      <c r="E451" s="21">
        <f>SUM(E450,E448,E443,E400,E409,E413,E419,E428,E434)</f>
        <v>777031</v>
      </c>
      <c r="F451" s="21">
        <f>SUM(F450,F448,F443,F400,F409,F413,F419,F428,F434)</f>
        <v>0</v>
      </c>
      <c r="G451" s="21">
        <f>SUM(G450,G448,G443,G400,G409,G413,G419,G428,G434)</f>
        <v>0</v>
      </c>
      <c r="H451" s="21">
        <f t="shared" si="37"/>
        <v>1027193</v>
      </c>
      <c r="I451" s="21">
        <f>SUM(I450,I448,I443,I400,I409,I413,I419,I428,I434)</f>
        <v>247707</v>
      </c>
      <c r="J451" s="21">
        <f>SUM(J450,J448,J443,J400,J409,J413,J419,J428,J434)</f>
        <v>829541.0599999999</v>
      </c>
      <c r="K451" s="21">
        <f>SUM(K450,K448,K443,K400,K409,K413,K419,K428,K434)</f>
        <v>0</v>
      </c>
      <c r="L451" s="21">
        <f>SUM(L450,L448,L443,L400,L409,L413,L419,L428,L434)</f>
        <v>0</v>
      </c>
      <c r="M451" s="21">
        <f t="shared" si="40"/>
        <v>1077248.06</v>
      </c>
      <c r="N451" s="26">
        <f t="shared" si="41"/>
        <v>1.0487299465631095</v>
      </c>
    </row>
    <row r="452" spans="1:14" ht="50.25" customHeight="1">
      <c r="A452" s="120" t="s">
        <v>54</v>
      </c>
      <c r="B452" s="40" t="s">
        <v>295</v>
      </c>
      <c r="C452" s="15" t="s">
        <v>79</v>
      </c>
      <c r="D452" s="3">
        <f>255629+17500</f>
        <v>273129</v>
      </c>
      <c r="E452" s="3"/>
      <c r="F452" s="3"/>
      <c r="G452" s="3"/>
      <c r="H452" s="6">
        <f t="shared" si="37"/>
        <v>273129</v>
      </c>
      <c r="I452" s="6">
        <v>120135.4</v>
      </c>
      <c r="J452" s="6"/>
      <c r="K452" s="6"/>
      <c r="L452" s="6"/>
      <c r="M452" s="6">
        <f t="shared" si="40"/>
        <v>120135.4</v>
      </c>
      <c r="N452" s="4">
        <f t="shared" si="41"/>
        <v>0.439848569723464</v>
      </c>
    </row>
    <row r="453" spans="1:14" ht="12" customHeight="1">
      <c r="A453" s="121"/>
      <c r="B453" s="131" t="s">
        <v>296</v>
      </c>
      <c r="C453" s="131"/>
      <c r="D453" s="5">
        <f>SUM(D452)</f>
        <v>273129</v>
      </c>
      <c r="E453" s="5">
        <f>SUM(E452)</f>
        <v>0</v>
      </c>
      <c r="F453" s="5">
        <f>SUM(F452)</f>
        <v>0</v>
      </c>
      <c r="G453" s="5">
        <f>SUM(G452)</f>
        <v>0</v>
      </c>
      <c r="H453" s="5">
        <f t="shared" si="37"/>
        <v>273129</v>
      </c>
      <c r="I453" s="5">
        <f>SUM(I452)</f>
        <v>120135.4</v>
      </c>
      <c r="J453" s="5">
        <f>SUM(J452)</f>
        <v>0</v>
      </c>
      <c r="K453" s="5">
        <f>SUM(K452)</f>
        <v>0</v>
      </c>
      <c r="L453" s="5">
        <f>SUM(L452)</f>
        <v>0</v>
      </c>
      <c r="M453" s="5">
        <f t="shared" si="40"/>
        <v>120135.4</v>
      </c>
      <c r="N453" s="24">
        <f t="shared" si="41"/>
        <v>0.439848569723464</v>
      </c>
    </row>
    <row r="454" spans="1:14" ht="19.5" customHeight="1" hidden="1">
      <c r="A454" s="121"/>
      <c r="B454" s="40" t="s">
        <v>224</v>
      </c>
      <c r="C454" s="14" t="s">
        <v>74</v>
      </c>
      <c r="D454" s="3"/>
      <c r="E454" s="3"/>
      <c r="F454" s="3"/>
      <c r="G454" s="3"/>
      <c r="H454" s="6">
        <f t="shared" si="37"/>
        <v>0</v>
      </c>
      <c r="I454" s="6"/>
      <c r="J454" s="6"/>
      <c r="K454" s="6"/>
      <c r="L454" s="6"/>
      <c r="M454" s="6">
        <f t="shared" si="40"/>
        <v>0</v>
      </c>
      <c r="N454" s="4" t="e">
        <f t="shared" si="41"/>
        <v>#DIV/0!</v>
      </c>
    </row>
    <row r="455" spans="1:14" ht="12" customHeight="1" hidden="1">
      <c r="A455" s="121"/>
      <c r="B455" s="41" t="s">
        <v>248</v>
      </c>
      <c r="C455" s="25"/>
      <c r="D455" s="5">
        <f>SUM(D454)</f>
        <v>0</v>
      </c>
      <c r="E455" s="5">
        <f>SUM(E454)</f>
        <v>0</v>
      </c>
      <c r="F455" s="5">
        <f>SUM(F454)</f>
        <v>0</v>
      </c>
      <c r="G455" s="5">
        <f>SUM(G454)</f>
        <v>0</v>
      </c>
      <c r="H455" s="5">
        <f t="shared" si="37"/>
        <v>0</v>
      </c>
      <c r="I455" s="12">
        <f>SUM(I454)</f>
        <v>0</v>
      </c>
      <c r="J455" s="12">
        <f>SUM(J454)</f>
        <v>0</v>
      </c>
      <c r="K455" s="12">
        <f>SUM(K454)</f>
        <v>0</v>
      </c>
      <c r="L455" s="12">
        <f>SUM(L454)</f>
        <v>0</v>
      </c>
      <c r="M455" s="12">
        <f t="shared" si="40"/>
        <v>0</v>
      </c>
      <c r="N455" s="24" t="e">
        <f t="shared" si="41"/>
        <v>#DIV/0!</v>
      </c>
    </row>
    <row r="456" spans="1:14" ht="48.75" customHeight="1">
      <c r="A456" s="121"/>
      <c r="B456" s="40" t="s">
        <v>225</v>
      </c>
      <c r="C456" s="23" t="s">
        <v>263</v>
      </c>
      <c r="D456" s="3"/>
      <c r="E456" s="3"/>
      <c r="F456" s="3"/>
      <c r="G456" s="3"/>
      <c r="H456" s="6">
        <f t="shared" si="37"/>
        <v>0</v>
      </c>
      <c r="I456" s="6">
        <v>25014.08</v>
      </c>
      <c r="J456" s="6"/>
      <c r="K456" s="6"/>
      <c r="L456" s="6"/>
      <c r="M456" s="6">
        <f t="shared" si="40"/>
        <v>25014.08</v>
      </c>
      <c r="N456" s="4"/>
    </row>
    <row r="457" spans="1:14" ht="9.75">
      <c r="A457" s="60"/>
      <c r="B457" s="41" t="s">
        <v>249</v>
      </c>
      <c r="C457" s="25"/>
      <c r="D457" s="5">
        <f>SUM(D456)</f>
        <v>0</v>
      </c>
      <c r="E457" s="5">
        <f>SUM(E456)</f>
        <v>0</v>
      </c>
      <c r="F457" s="5">
        <f>SUM(F456)</f>
        <v>0</v>
      </c>
      <c r="G457" s="5">
        <f>SUM(G456)</f>
        <v>0</v>
      </c>
      <c r="H457" s="5">
        <f t="shared" si="37"/>
        <v>0</v>
      </c>
      <c r="I457" s="5">
        <f>SUM(I456)</f>
        <v>25014.08</v>
      </c>
      <c r="J457" s="5">
        <f>SUM(J456)</f>
        <v>0</v>
      </c>
      <c r="K457" s="5">
        <f>SUM(K456)</f>
        <v>0</v>
      </c>
      <c r="L457" s="5">
        <f>SUM(L456)</f>
        <v>0</v>
      </c>
      <c r="M457" s="5">
        <f t="shared" si="40"/>
        <v>25014.08</v>
      </c>
      <c r="N457" s="24"/>
    </row>
    <row r="458" spans="1:14" ht="51" customHeight="1">
      <c r="A458" s="60"/>
      <c r="B458" s="46" t="s">
        <v>244</v>
      </c>
      <c r="C458" s="15" t="s">
        <v>72</v>
      </c>
      <c r="D458" s="3"/>
      <c r="E458" s="3"/>
      <c r="F458" s="3"/>
      <c r="G458" s="3"/>
      <c r="H458" s="6">
        <f t="shared" si="37"/>
        <v>0</v>
      </c>
      <c r="I458" s="6">
        <v>67340.65</v>
      </c>
      <c r="J458" s="6">
        <v>6237.17</v>
      </c>
      <c r="K458" s="6"/>
      <c r="L458" s="6"/>
      <c r="M458" s="6">
        <f t="shared" si="40"/>
        <v>73577.81999999999</v>
      </c>
      <c r="N458" s="4"/>
    </row>
    <row r="459" spans="1:14" s="52" customFormat="1" ht="9.75" customHeight="1">
      <c r="A459" s="60"/>
      <c r="B459" s="41" t="s">
        <v>245</v>
      </c>
      <c r="C459" s="53"/>
      <c r="D459" s="54">
        <f>SUM(D458:D458)</f>
        <v>0</v>
      </c>
      <c r="E459" s="54">
        <f>SUM(E458:E458)</f>
        <v>0</v>
      </c>
      <c r="F459" s="54">
        <f>SUM(F458:F458)</f>
        <v>0</v>
      </c>
      <c r="G459" s="54">
        <f>SUM(G458:G458)</f>
        <v>0</v>
      </c>
      <c r="H459" s="54">
        <f t="shared" si="37"/>
        <v>0</v>
      </c>
      <c r="I459" s="5">
        <f>SUM(I458:I458)</f>
        <v>67340.65</v>
      </c>
      <c r="J459" s="5">
        <f>SUM(J458:J458)</f>
        <v>6237.17</v>
      </c>
      <c r="K459" s="5">
        <f>SUM(K458:K458)</f>
        <v>0</v>
      </c>
      <c r="L459" s="5">
        <f>SUM(L458:L458)</f>
        <v>0</v>
      </c>
      <c r="M459" s="5">
        <f t="shared" si="40"/>
        <v>73577.81999999999</v>
      </c>
      <c r="N459" s="24"/>
    </row>
    <row r="460" spans="1:14" ht="60" customHeight="1">
      <c r="A460" s="60"/>
      <c r="B460" s="18" t="s">
        <v>273</v>
      </c>
      <c r="C460" s="15" t="s">
        <v>230</v>
      </c>
      <c r="D460" s="3"/>
      <c r="E460" s="3"/>
      <c r="F460" s="3"/>
      <c r="G460" s="3"/>
      <c r="H460" s="6">
        <f t="shared" si="37"/>
        <v>0</v>
      </c>
      <c r="I460" s="6">
        <v>60540.08</v>
      </c>
      <c r="J460" s="6"/>
      <c r="K460" s="6"/>
      <c r="L460" s="6"/>
      <c r="M460" s="6">
        <f t="shared" si="40"/>
        <v>60540.08</v>
      </c>
      <c r="N460" s="4"/>
    </row>
    <row r="461" spans="1:14" ht="10.5" customHeight="1">
      <c r="A461" s="60"/>
      <c r="B461" s="41" t="s">
        <v>274</v>
      </c>
      <c r="C461" s="25"/>
      <c r="D461" s="5">
        <f>SUM(D460:D460)</f>
        <v>0</v>
      </c>
      <c r="E461" s="5">
        <f>SUM(E460:E460)</f>
        <v>0</v>
      </c>
      <c r="F461" s="5">
        <f>SUM(F460:F460)</f>
        <v>0</v>
      </c>
      <c r="G461" s="5">
        <f>SUM(G460:G460)</f>
        <v>0</v>
      </c>
      <c r="H461" s="5">
        <f t="shared" si="37"/>
        <v>0</v>
      </c>
      <c r="I461" s="5">
        <f>SUM(I460:I460)</f>
        <v>60540.08</v>
      </c>
      <c r="J461" s="5">
        <f>SUM(J460:J460)</f>
        <v>0</v>
      </c>
      <c r="K461" s="5">
        <f>SUM(K460:K460)</f>
        <v>0</v>
      </c>
      <c r="L461" s="5">
        <f>SUM(L460:L460)</f>
        <v>0</v>
      </c>
      <c r="M461" s="5">
        <f t="shared" si="40"/>
        <v>60540.08</v>
      </c>
      <c r="N461" s="24"/>
    </row>
    <row r="462" spans="1:14" ht="12.75" customHeight="1">
      <c r="A462" s="60"/>
      <c r="B462" s="122" t="s">
        <v>302</v>
      </c>
      <c r="C462" s="14" t="s">
        <v>74</v>
      </c>
      <c r="D462" s="3">
        <v>7145</v>
      </c>
      <c r="E462" s="3"/>
      <c r="F462" s="3"/>
      <c r="G462" s="3"/>
      <c r="H462" s="6">
        <f aca="true" t="shared" si="42" ref="H462:H498">SUM(D462:G462)</f>
        <v>7145</v>
      </c>
      <c r="I462" s="6">
        <v>9770.73</v>
      </c>
      <c r="J462" s="6"/>
      <c r="K462" s="6"/>
      <c r="L462" s="6"/>
      <c r="M462" s="6">
        <f t="shared" si="40"/>
        <v>9770.73</v>
      </c>
      <c r="N462" s="4">
        <f t="shared" si="41"/>
        <v>1.3674919524142757</v>
      </c>
    </row>
    <row r="463" spans="1:14" ht="48.75" customHeight="1">
      <c r="A463" s="60"/>
      <c r="B463" s="126"/>
      <c r="C463" s="15" t="s">
        <v>79</v>
      </c>
      <c r="D463" s="3">
        <v>30000</v>
      </c>
      <c r="E463" s="3"/>
      <c r="F463" s="3"/>
      <c r="G463" s="3"/>
      <c r="H463" s="6">
        <f t="shared" si="42"/>
        <v>30000</v>
      </c>
      <c r="I463" s="6"/>
      <c r="J463" s="6"/>
      <c r="K463" s="6"/>
      <c r="L463" s="6"/>
      <c r="M463" s="6">
        <f t="shared" si="40"/>
        <v>0</v>
      </c>
      <c r="N463" s="4">
        <f t="shared" si="41"/>
        <v>0</v>
      </c>
    </row>
    <row r="464" spans="1:14" ht="10.5" customHeight="1">
      <c r="A464" s="60"/>
      <c r="B464" s="41" t="s">
        <v>303</v>
      </c>
      <c r="C464" s="25"/>
      <c r="D464" s="5">
        <f>SUM(D462:D463)</f>
        <v>37145</v>
      </c>
      <c r="E464" s="5">
        <f>SUM(E462:E463)</f>
        <v>0</v>
      </c>
      <c r="F464" s="5">
        <f>SUM(F462:F463)</f>
        <v>0</v>
      </c>
      <c r="G464" s="5">
        <f>SUM(G462:G463)</f>
        <v>0</v>
      </c>
      <c r="H464" s="5">
        <f t="shared" si="42"/>
        <v>37145</v>
      </c>
      <c r="I464" s="5">
        <f>SUM(I462:I463)</f>
        <v>9770.73</v>
      </c>
      <c r="J464" s="5">
        <f>SUM(J462:J463)</f>
        <v>0</v>
      </c>
      <c r="K464" s="5">
        <f>SUM(K462:K463)</f>
        <v>0</v>
      </c>
      <c r="L464" s="5">
        <f>SUM(L462:L463)</f>
        <v>0</v>
      </c>
      <c r="M464" s="5">
        <f t="shared" si="40"/>
        <v>9770.73</v>
      </c>
      <c r="N464" s="24">
        <f t="shared" si="41"/>
        <v>0.2630429398303944</v>
      </c>
    </row>
    <row r="465" spans="1:14" ht="59.25" customHeight="1">
      <c r="A465" s="60"/>
      <c r="B465" s="117" t="s">
        <v>61</v>
      </c>
      <c r="C465" s="15" t="s">
        <v>104</v>
      </c>
      <c r="D465" s="3">
        <v>31200</v>
      </c>
      <c r="E465" s="3"/>
      <c r="F465" s="3"/>
      <c r="G465" s="3"/>
      <c r="H465" s="6">
        <f t="shared" si="42"/>
        <v>31200</v>
      </c>
      <c r="I465" s="6">
        <v>35156.46</v>
      </c>
      <c r="J465" s="6"/>
      <c r="K465" s="6"/>
      <c r="L465" s="6"/>
      <c r="M465" s="6">
        <f t="shared" si="40"/>
        <v>35156.46</v>
      </c>
      <c r="N465" s="4">
        <f t="shared" si="41"/>
        <v>1.1268096153846154</v>
      </c>
    </row>
    <row r="466" spans="1:14" ht="9" customHeight="1">
      <c r="A466" s="60"/>
      <c r="B466" s="117"/>
      <c r="C466" s="15" t="s">
        <v>72</v>
      </c>
      <c r="D466" s="3"/>
      <c r="E466" s="3"/>
      <c r="F466" s="3"/>
      <c r="G466" s="3"/>
      <c r="H466" s="6">
        <f t="shared" si="42"/>
        <v>0</v>
      </c>
      <c r="I466" s="6">
        <v>5.52</v>
      </c>
      <c r="J466" s="6"/>
      <c r="K466" s="6"/>
      <c r="L466" s="6"/>
      <c r="M466" s="6">
        <f t="shared" si="40"/>
        <v>5.52</v>
      </c>
      <c r="N466" s="4"/>
    </row>
    <row r="467" spans="1:14" ht="10.5" customHeight="1">
      <c r="A467" s="60"/>
      <c r="B467" s="41" t="s">
        <v>184</v>
      </c>
      <c r="C467" s="25"/>
      <c r="D467" s="5">
        <f>SUM(D465:D466)</f>
        <v>31200</v>
      </c>
      <c r="E467" s="5">
        <f>SUM(E465:E466)</f>
        <v>0</v>
      </c>
      <c r="F467" s="5">
        <f>SUM(F465:F466)</f>
        <v>0</v>
      </c>
      <c r="G467" s="5">
        <f>SUM(G465:G466)</f>
        <v>0</v>
      </c>
      <c r="H467" s="5">
        <f t="shared" si="42"/>
        <v>31200</v>
      </c>
      <c r="I467" s="5">
        <f>SUM(I465:I466)</f>
        <v>35161.979999999996</v>
      </c>
      <c r="J467" s="5">
        <f>SUM(J465:J466)</f>
        <v>0</v>
      </c>
      <c r="K467" s="5">
        <f>SUM(K465:K466)</f>
        <v>0</v>
      </c>
      <c r="L467" s="5">
        <f>SUM(L465:L466)</f>
        <v>0</v>
      </c>
      <c r="M467" s="5">
        <f t="shared" si="40"/>
        <v>35161.979999999996</v>
      </c>
      <c r="N467" s="24">
        <f t="shared" si="41"/>
        <v>1.1269865384615383</v>
      </c>
    </row>
    <row r="468" spans="1:14" ht="48.75" hidden="1">
      <c r="A468" s="60"/>
      <c r="B468" s="46" t="s">
        <v>55</v>
      </c>
      <c r="C468" s="15" t="s">
        <v>102</v>
      </c>
      <c r="D468" s="3"/>
      <c r="E468" s="3"/>
      <c r="F468" s="3"/>
      <c r="G468" s="3"/>
      <c r="H468" s="6">
        <f t="shared" si="42"/>
        <v>0</v>
      </c>
      <c r="I468" s="6"/>
      <c r="J468" s="6"/>
      <c r="K468" s="6"/>
      <c r="L468" s="6"/>
      <c r="M468" s="6">
        <f t="shared" si="40"/>
        <v>0</v>
      </c>
      <c r="N468" s="4" t="e">
        <f t="shared" si="41"/>
        <v>#DIV/0!</v>
      </c>
    </row>
    <row r="469" spans="1:14" ht="49.5" customHeight="1">
      <c r="A469" s="60"/>
      <c r="B469" s="46" t="s">
        <v>55</v>
      </c>
      <c r="C469" s="15" t="s">
        <v>79</v>
      </c>
      <c r="D469" s="3">
        <v>316017</v>
      </c>
      <c r="E469" s="3"/>
      <c r="F469" s="3"/>
      <c r="G469" s="3"/>
      <c r="H469" s="6">
        <f t="shared" si="42"/>
        <v>316017</v>
      </c>
      <c r="I469" s="6">
        <v>122950.79</v>
      </c>
      <c r="J469" s="6"/>
      <c r="K469" s="6"/>
      <c r="L469" s="6"/>
      <c r="M469" s="6">
        <f t="shared" si="40"/>
        <v>122950.79</v>
      </c>
      <c r="N469" s="4">
        <f t="shared" si="41"/>
        <v>0.3890638478309711</v>
      </c>
    </row>
    <row r="470" spans="1:14" ht="10.5" customHeight="1">
      <c r="A470" s="61"/>
      <c r="B470" s="47" t="s">
        <v>185</v>
      </c>
      <c r="C470" s="30"/>
      <c r="D470" s="5">
        <f>SUM(D468:D469)</f>
        <v>316017</v>
      </c>
      <c r="E470" s="5">
        <f>SUM(E468:E469)</f>
        <v>0</v>
      </c>
      <c r="F470" s="5">
        <f>SUM(F468:F469)</f>
        <v>0</v>
      </c>
      <c r="G470" s="5">
        <f>SUM(G468:G469)</f>
        <v>0</v>
      </c>
      <c r="H470" s="5">
        <f t="shared" si="42"/>
        <v>316017</v>
      </c>
      <c r="I470" s="5">
        <f>SUM(I468:I469)</f>
        <v>122950.79</v>
      </c>
      <c r="J470" s="5">
        <f>SUM(J468:J469)</f>
        <v>0</v>
      </c>
      <c r="K470" s="5">
        <f>SUM(K468:K469)</f>
        <v>0</v>
      </c>
      <c r="L470" s="5">
        <f>SUM(L468:L469)</f>
        <v>0</v>
      </c>
      <c r="M470" s="5">
        <f t="shared" si="40"/>
        <v>122950.79</v>
      </c>
      <c r="N470" s="24">
        <f t="shared" si="41"/>
        <v>0.3890638478309711</v>
      </c>
    </row>
    <row r="471" spans="1:14" ht="11.25" customHeight="1">
      <c r="A471" s="22" t="s">
        <v>56</v>
      </c>
      <c r="B471" s="49"/>
      <c r="C471" s="20"/>
      <c r="D471" s="21">
        <f>SUM(D470,D453,D467,D464,D461,D457,D455,D459)</f>
        <v>657491</v>
      </c>
      <c r="E471" s="21">
        <f>SUM(E470,E453,E467,E464,E461,E457,E455,E459)</f>
        <v>0</v>
      </c>
      <c r="F471" s="21">
        <f>SUM(F470,F453,F467,F464,F461,F457,F455,F459)</f>
        <v>0</v>
      </c>
      <c r="G471" s="21">
        <f>SUM(G470,G453,G467,G464,G461,G457,G455,G459)</f>
        <v>0</v>
      </c>
      <c r="H471" s="21">
        <f t="shared" si="42"/>
        <v>657491</v>
      </c>
      <c r="I471" s="21">
        <f>SUM(I470,I453,I464,I467,I461,I457,I455,I459)</f>
        <v>440913.7100000001</v>
      </c>
      <c r="J471" s="21">
        <f>SUM(J470,J453,J464,J467,J461,J457,J455,J459)</f>
        <v>6237.17</v>
      </c>
      <c r="K471" s="21">
        <f>SUM(K470,K453,K464,K467,K461,K457,K455,K459)</f>
        <v>0</v>
      </c>
      <c r="L471" s="21">
        <f>SUM(L470,L467,L457,L461,L455,L459)</f>
        <v>0</v>
      </c>
      <c r="M471" s="21">
        <f t="shared" si="40"/>
        <v>447150.88000000006</v>
      </c>
      <c r="N471" s="26">
        <f t="shared" si="41"/>
        <v>0.6800866932018842</v>
      </c>
    </row>
    <row r="472" spans="1:14" s="9" customFormat="1" ht="40.5" customHeight="1">
      <c r="A472" s="120" t="s">
        <v>226</v>
      </c>
      <c r="B472" s="122" t="s">
        <v>316</v>
      </c>
      <c r="C472" s="64" t="s">
        <v>287</v>
      </c>
      <c r="D472" s="42"/>
      <c r="E472" s="42"/>
      <c r="F472" s="42"/>
      <c r="G472" s="42"/>
      <c r="H472" s="6">
        <f t="shared" si="42"/>
        <v>0</v>
      </c>
      <c r="I472" s="6">
        <v>152.9</v>
      </c>
      <c r="J472" s="42"/>
      <c r="K472" s="42"/>
      <c r="L472" s="42"/>
      <c r="M472" s="6">
        <f t="shared" si="40"/>
        <v>152.9</v>
      </c>
      <c r="N472" s="4"/>
    </row>
    <row r="473" spans="1:14" ht="42" customHeight="1">
      <c r="A473" s="121"/>
      <c r="B473" s="126"/>
      <c r="C473" s="64" t="s">
        <v>212</v>
      </c>
      <c r="D473" s="3"/>
      <c r="E473" s="51"/>
      <c r="F473" s="51"/>
      <c r="G473" s="51"/>
      <c r="H473" s="6">
        <f t="shared" si="42"/>
        <v>0</v>
      </c>
      <c r="I473" s="6">
        <v>557.65</v>
      </c>
      <c r="J473" s="6"/>
      <c r="K473" s="6"/>
      <c r="L473" s="6"/>
      <c r="M473" s="6">
        <f t="shared" si="40"/>
        <v>557.65</v>
      </c>
      <c r="N473" s="4"/>
    </row>
    <row r="474" spans="1:14" ht="9.75" customHeight="1">
      <c r="A474" s="121"/>
      <c r="B474" s="29" t="s">
        <v>317</v>
      </c>
      <c r="C474" s="25"/>
      <c r="D474" s="5">
        <f>SUM(D472:D473)</f>
        <v>0</v>
      </c>
      <c r="E474" s="5">
        <f>SUM(E472:E473)</f>
        <v>0</v>
      </c>
      <c r="F474" s="5">
        <f>SUM(F472:F473)</f>
        <v>0</v>
      </c>
      <c r="G474" s="5">
        <f>SUM(G472:G473)</f>
        <v>0</v>
      </c>
      <c r="H474" s="5">
        <f t="shared" si="42"/>
        <v>0</v>
      </c>
      <c r="I474" s="5">
        <f>SUM(I472:I473)</f>
        <v>710.55</v>
      </c>
      <c r="J474" s="5">
        <f>SUM(J472:J473)</f>
        <v>0</v>
      </c>
      <c r="K474" s="5">
        <f>SUM(K472:K473)</f>
        <v>0</v>
      </c>
      <c r="L474" s="5">
        <f>SUM(L472:L473)</f>
        <v>0</v>
      </c>
      <c r="M474" s="5">
        <f aca="true" t="shared" si="43" ref="M474:M497">SUM(I474:L474)</f>
        <v>710.55</v>
      </c>
      <c r="N474" s="24"/>
    </row>
    <row r="475" spans="1:14" s="9" customFormat="1" ht="50.25" customHeight="1" hidden="1">
      <c r="A475" s="121"/>
      <c r="B475" s="18" t="s">
        <v>281</v>
      </c>
      <c r="C475" s="18" t="s">
        <v>80</v>
      </c>
      <c r="D475" s="3"/>
      <c r="E475" s="42"/>
      <c r="F475" s="42"/>
      <c r="G475" s="42"/>
      <c r="H475" s="6">
        <f t="shared" si="42"/>
        <v>0</v>
      </c>
      <c r="I475" s="42"/>
      <c r="J475" s="42"/>
      <c r="K475" s="42"/>
      <c r="L475" s="42"/>
      <c r="M475" s="6">
        <f t="shared" si="43"/>
        <v>0</v>
      </c>
      <c r="N475" s="4" t="e">
        <f t="shared" si="41"/>
        <v>#DIV/0!</v>
      </c>
    </row>
    <row r="476" spans="1:14" ht="9.75" customHeight="1" hidden="1">
      <c r="A476" s="121"/>
      <c r="B476" s="25" t="s">
        <v>280</v>
      </c>
      <c r="C476" s="25"/>
      <c r="D476" s="5">
        <f>SUM(D475:D475)</f>
        <v>0</v>
      </c>
      <c r="E476" s="5">
        <f>SUM(E475:E475)</f>
        <v>0</v>
      </c>
      <c r="F476" s="5">
        <f>SUM(F475:F475)</f>
        <v>0</v>
      </c>
      <c r="G476" s="5">
        <f>SUM(G475:G475)</f>
        <v>0</v>
      </c>
      <c r="H476" s="5">
        <f t="shared" si="42"/>
        <v>0</v>
      </c>
      <c r="I476" s="12">
        <f>SUM(I475:I475)</f>
        <v>0</v>
      </c>
      <c r="J476" s="12">
        <f>SUM(J475:J475)</f>
        <v>0</v>
      </c>
      <c r="K476" s="12">
        <f>SUM(K475:K475)</f>
        <v>0</v>
      </c>
      <c r="L476" s="12">
        <f>SUM(L475:L475)</f>
        <v>0</v>
      </c>
      <c r="M476" s="12">
        <f t="shared" si="43"/>
        <v>0</v>
      </c>
      <c r="N476" s="24" t="e">
        <f t="shared" si="41"/>
        <v>#DIV/0!</v>
      </c>
    </row>
    <row r="477" spans="1:14" s="9" customFormat="1" ht="49.5" customHeight="1" hidden="1">
      <c r="A477" s="121"/>
      <c r="B477" s="18" t="s">
        <v>276</v>
      </c>
      <c r="C477" s="18" t="s">
        <v>80</v>
      </c>
      <c r="D477" s="3"/>
      <c r="E477" s="42"/>
      <c r="F477" s="42"/>
      <c r="G477" s="42"/>
      <c r="H477" s="6">
        <f t="shared" si="42"/>
        <v>0</v>
      </c>
      <c r="I477" s="6"/>
      <c r="J477" s="42"/>
      <c r="K477" s="42"/>
      <c r="L477" s="42"/>
      <c r="M477" s="6">
        <f t="shared" si="43"/>
        <v>0</v>
      </c>
      <c r="N477" s="4" t="e">
        <f t="shared" si="41"/>
        <v>#DIV/0!</v>
      </c>
    </row>
    <row r="478" spans="1:14" ht="9.75" customHeight="1" hidden="1">
      <c r="A478" s="121"/>
      <c r="B478" s="25" t="s">
        <v>278</v>
      </c>
      <c r="C478" s="25"/>
      <c r="D478" s="5">
        <f>SUM(D477:D477)</f>
        <v>0</v>
      </c>
      <c r="E478" s="5">
        <f>SUM(E477:E477)</f>
        <v>0</v>
      </c>
      <c r="F478" s="5">
        <f>SUM(F477:F477)</f>
        <v>0</v>
      </c>
      <c r="G478" s="5">
        <f>SUM(G477:G477)</f>
        <v>0</v>
      </c>
      <c r="H478" s="5">
        <f t="shared" si="42"/>
        <v>0</v>
      </c>
      <c r="I478" s="12">
        <f>SUM(I477:I477)</f>
        <v>0</v>
      </c>
      <c r="J478" s="12">
        <f>SUM(J477:J477)</f>
        <v>0</v>
      </c>
      <c r="K478" s="12">
        <f>SUM(K477:K477)</f>
        <v>0</v>
      </c>
      <c r="L478" s="12">
        <f>SUM(L477:L477)</f>
        <v>0</v>
      </c>
      <c r="M478" s="12">
        <f t="shared" si="43"/>
        <v>0</v>
      </c>
      <c r="N478" s="24" t="e">
        <f t="shared" si="41"/>
        <v>#DIV/0!</v>
      </c>
    </row>
    <row r="479" spans="1:14" s="9" customFormat="1" ht="11.25" customHeight="1" hidden="1">
      <c r="A479" s="121"/>
      <c r="B479" s="65"/>
      <c r="C479" s="64" t="s">
        <v>74</v>
      </c>
      <c r="D479" s="42"/>
      <c r="E479" s="42"/>
      <c r="F479" s="42"/>
      <c r="G479" s="42"/>
      <c r="H479" s="6">
        <f t="shared" si="42"/>
        <v>0</v>
      </c>
      <c r="I479" s="6"/>
      <c r="J479" s="42"/>
      <c r="K479" s="42"/>
      <c r="L479" s="42"/>
      <c r="M479" s="6">
        <f t="shared" si="43"/>
        <v>0</v>
      </c>
      <c r="N479" s="4" t="e">
        <f t="shared" si="41"/>
        <v>#DIV/0!</v>
      </c>
    </row>
    <row r="480" spans="1:14" s="9" customFormat="1" ht="40.5" customHeight="1">
      <c r="A480" s="121"/>
      <c r="B480" s="111" t="s">
        <v>227</v>
      </c>
      <c r="C480" s="64" t="s">
        <v>212</v>
      </c>
      <c r="D480" s="6"/>
      <c r="E480" s="6"/>
      <c r="F480" s="6"/>
      <c r="G480" s="6"/>
      <c r="H480" s="6">
        <f t="shared" si="42"/>
        <v>0</v>
      </c>
      <c r="I480" s="6">
        <v>554.13</v>
      </c>
      <c r="J480" s="6"/>
      <c r="K480" s="6"/>
      <c r="L480" s="6"/>
      <c r="M480" s="6">
        <f t="shared" si="43"/>
        <v>554.13</v>
      </c>
      <c r="N480" s="4"/>
    </row>
    <row r="481" spans="1:14" s="9" customFormat="1" ht="39.75" customHeight="1">
      <c r="A481" s="121"/>
      <c r="B481" s="130"/>
      <c r="C481" s="65" t="s">
        <v>279</v>
      </c>
      <c r="D481" s="6">
        <v>1000000</v>
      </c>
      <c r="E481" s="6"/>
      <c r="F481" s="6"/>
      <c r="G481" s="6"/>
      <c r="H481" s="6">
        <f t="shared" si="42"/>
        <v>1000000</v>
      </c>
      <c r="I481" s="6">
        <v>1000000</v>
      </c>
      <c r="J481" s="6"/>
      <c r="K481" s="6"/>
      <c r="L481" s="6"/>
      <c r="M481" s="6">
        <f t="shared" si="43"/>
        <v>1000000</v>
      </c>
      <c r="N481" s="4">
        <f t="shared" si="41"/>
        <v>1</v>
      </c>
    </row>
    <row r="482" spans="1:14" s="9" customFormat="1" ht="9.75" customHeight="1">
      <c r="A482" s="121"/>
      <c r="B482" s="25" t="s">
        <v>277</v>
      </c>
      <c r="C482" s="30"/>
      <c r="D482" s="5">
        <f>SUM(D479:D481)</f>
        <v>1000000</v>
      </c>
      <c r="E482" s="5">
        <f>SUM(E479:E481)</f>
        <v>0</v>
      </c>
      <c r="F482" s="5">
        <f>SUM(F479:F481)</f>
        <v>0</v>
      </c>
      <c r="G482" s="5">
        <f>SUM(G479:G481)</f>
        <v>0</v>
      </c>
      <c r="H482" s="5">
        <f t="shared" si="42"/>
        <v>1000000</v>
      </c>
      <c r="I482" s="5">
        <f>SUM(I479:I481)</f>
        <v>1000554.13</v>
      </c>
      <c r="J482" s="5">
        <f>SUM(J479:J481)</f>
        <v>0</v>
      </c>
      <c r="K482" s="5">
        <f>SUM(K479:K481)</f>
        <v>0</v>
      </c>
      <c r="L482" s="5">
        <f>SUM(L479:L481)</f>
        <v>0</v>
      </c>
      <c r="M482" s="5">
        <f t="shared" si="43"/>
        <v>1000554.13</v>
      </c>
      <c r="N482" s="24">
        <f t="shared" si="41"/>
        <v>1.00055413</v>
      </c>
    </row>
    <row r="483" spans="1:14" s="9" customFormat="1" ht="41.25" customHeight="1">
      <c r="A483" s="121"/>
      <c r="B483" s="111" t="s">
        <v>311</v>
      </c>
      <c r="C483" s="64" t="s">
        <v>287</v>
      </c>
      <c r="D483" s="12"/>
      <c r="E483" s="12"/>
      <c r="F483" s="12"/>
      <c r="G483" s="12"/>
      <c r="H483" s="6">
        <f t="shared" si="42"/>
        <v>0</v>
      </c>
      <c r="I483" s="12">
        <v>37.1</v>
      </c>
      <c r="J483" s="12"/>
      <c r="K483" s="12"/>
      <c r="L483" s="12"/>
      <c r="M483" s="6">
        <f t="shared" si="43"/>
        <v>37.1</v>
      </c>
      <c r="N483" s="4"/>
    </row>
    <row r="484" spans="1:14" s="9" customFormat="1" ht="44.25" customHeight="1">
      <c r="A484" s="121"/>
      <c r="B484" s="130"/>
      <c r="C484" s="64" t="s">
        <v>212</v>
      </c>
      <c r="D484" s="6"/>
      <c r="E484" s="6"/>
      <c r="F484" s="6"/>
      <c r="G484" s="6"/>
      <c r="H484" s="6">
        <f t="shared" si="42"/>
        <v>0</v>
      </c>
      <c r="I484" s="6">
        <v>432</v>
      </c>
      <c r="J484" s="6"/>
      <c r="K484" s="6"/>
      <c r="L484" s="6"/>
      <c r="M484" s="6">
        <f t="shared" si="43"/>
        <v>432</v>
      </c>
      <c r="N484" s="4"/>
    </row>
    <row r="485" spans="1:14" s="9" customFormat="1" ht="9.75" customHeight="1">
      <c r="A485" s="135"/>
      <c r="B485" s="47" t="s">
        <v>312</v>
      </c>
      <c r="C485" s="30"/>
      <c r="D485" s="5">
        <f>SUM(D483:D484)</f>
        <v>0</v>
      </c>
      <c r="E485" s="5">
        <f>SUM(E483:E484)</f>
        <v>0</v>
      </c>
      <c r="F485" s="5">
        <f>SUM(F483:F484)</f>
        <v>0</v>
      </c>
      <c r="G485" s="5">
        <f>SUM(G483:G484)</f>
        <v>0</v>
      </c>
      <c r="H485" s="5">
        <f t="shared" si="42"/>
        <v>0</v>
      </c>
      <c r="I485" s="5">
        <f>SUM(I483:I484)</f>
        <v>469.1</v>
      </c>
      <c r="J485" s="5">
        <f>SUM(J483:J484)</f>
        <v>0</v>
      </c>
      <c r="K485" s="5">
        <f>SUM(K483:K484)</f>
        <v>0</v>
      </c>
      <c r="L485" s="5">
        <f>SUM(L483:L484)</f>
        <v>0</v>
      </c>
      <c r="M485" s="5">
        <f t="shared" si="43"/>
        <v>469.1</v>
      </c>
      <c r="N485" s="24"/>
    </row>
    <row r="486" spans="1:14" ht="11.25" customHeight="1">
      <c r="A486" s="22" t="s">
        <v>226</v>
      </c>
      <c r="B486" s="49"/>
      <c r="C486" s="20"/>
      <c r="D486" s="21">
        <f>SUM(D482,D474,D485,D476,D478)</f>
        <v>1000000</v>
      </c>
      <c r="E486" s="21">
        <f>SUM(E482,E474,E485,E476,E478)</f>
        <v>0</v>
      </c>
      <c r="F486" s="21">
        <f>SUM(F482,F474,F485,F476,F478)</f>
        <v>0</v>
      </c>
      <c r="G486" s="21">
        <f>SUM(G482,G474,G485,G476,G478)</f>
        <v>0</v>
      </c>
      <c r="H486" s="21">
        <f t="shared" si="42"/>
        <v>1000000</v>
      </c>
      <c r="I486" s="21">
        <f>SUM(I482,I474,I485,I476,I478)</f>
        <v>1001733.78</v>
      </c>
      <c r="J486" s="21">
        <f>SUM(J482,J474,J485,J476,J478)</f>
        <v>0</v>
      </c>
      <c r="K486" s="21">
        <f>SUM(K482,K474,K485,K476,K478)</f>
        <v>0</v>
      </c>
      <c r="L486" s="21">
        <f>SUM(L482,L474,L485,L476,L478)</f>
        <v>0</v>
      </c>
      <c r="M486" s="21">
        <f t="shared" si="43"/>
        <v>1001733.78</v>
      </c>
      <c r="N486" s="26">
        <f t="shared" si="41"/>
        <v>1.0017337800000001</v>
      </c>
    </row>
    <row r="487" spans="1:14" ht="12.75" customHeight="1">
      <c r="A487" s="120" t="s">
        <v>59</v>
      </c>
      <c r="B487" s="122" t="s">
        <v>67</v>
      </c>
      <c r="C487" s="15" t="s">
        <v>72</v>
      </c>
      <c r="D487" s="3"/>
      <c r="E487" s="3"/>
      <c r="F487" s="3"/>
      <c r="G487" s="3"/>
      <c r="H487" s="6">
        <f t="shared" si="42"/>
        <v>0</v>
      </c>
      <c r="I487" s="6">
        <v>4185.58</v>
      </c>
      <c r="J487" s="6"/>
      <c r="K487" s="6"/>
      <c r="L487" s="6"/>
      <c r="M487" s="6">
        <f t="shared" si="43"/>
        <v>4185.58</v>
      </c>
      <c r="N487" s="7"/>
    </row>
    <row r="488" spans="1:14" s="9" customFormat="1" ht="60" customHeight="1">
      <c r="A488" s="121"/>
      <c r="B488" s="123"/>
      <c r="C488" s="64" t="s">
        <v>102</v>
      </c>
      <c r="D488" s="6">
        <v>8000000</v>
      </c>
      <c r="E488" s="6"/>
      <c r="F488" s="6"/>
      <c r="G488" s="6"/>
      <c r="H488" s="6">
        <f t="shared" si="42"/>
        <v>8000000</v>
      </c>
      <c r="I488" s="6">
        <v>6700000</v>
      </c>
      <c r="J488" s="6"/>
      <c r="K488" s="6"/>
      <c r="L488" s="6"/>
      <c r="M488" s="6">
        <f t="shared" si="43"/>
        <v>6700000</v>
      </c>
      <c r="N488" s="7">
        <f t="shared" si="41"/>
        <v>0.8375</v>
      </c>
    </row>
    <row r="489" spans="1:14" ht="18" customHeight="1" hidden="1">
      <c r="A489" s="121"/>
      <c r="B489" s="14"/>
      <c r="C489" s="15" t="s">
        <v>74</v>
      </c>
      <c r="D489" s="3"/>
      <c r="E489" s="3"/>
      <c r="F489" s="3"/>
      <c r="G489" s="3"/>
      <c r="H489" s="6">
        <f t="shared" si="42"/>
        <v>0</v>
      </c>
      <c r="I489" s="6"/>
      <c r="J489" s="6"/>
      <c r="K489" s="6"/>
      <c r="L489" s="6"/>
      <c r="M489" s="6">
        <f t="shared" si="43"/>
        <v>0</v>
      </c>
      <c r="N489" s="4"/>
    </row>
    <row r="490" spans="1:14" ht="9.75">
      <c r="A490" s="121"/>
      <c r="B490" s="25" t="s">
        <v>186</v>
      </c>
      <c r="C490" s="25"/>
      <c r="D490" s="5">
        <f>SUM(D487:D489)</f>
        <v>8000000</v>
      </c>
      <c r="E490" s="5">
        <f>SUM(E487:E489)</f>
        <v>0</v>
      </c>
      <c r="F490" s="5">
        <f>SUM(F487:F489)</f>
        <v>0</v>
      </c>
      <c r="G490" s="5">
        <f>SUM(G487:G489)</f>
        <v>0</v>
      </c>
      <c r="H490" s="5">
        <f t="shared" si="42"/>
        <v>8000000</v>
      </c>
      <c r="I490" s="5">
        <f>SUM(I487:I489)</f>
        <v>6704185.58</v>
      </c>
      <c r="J490" s="5">
        <f>SUM(J487:J489)</f>
        <v>0</v>
      </c>
      <c r="K490" s="5">
        <f>SUM(K487:K489)</f>
        <v>0</v>
      </c>
      <c r="L490" s="5">
        <f>SUM(L487:L489)</f>
        <v>0</v>
      </c>
      <c r="M490" s="5">
        <f t="shared" si="43"/>
        <v>6704185.58</v>
      </c>
      <c r="N490" s="24">
        <f>M490/H490</f>
        <v>0.8380231975</v>
      </c>
    </row>
    <row r="491" spans="1:14" ht="9.75" customHeight="1" hidden="1">
      <c r="A491" s="121"/>
      <c r="B491" s="18" t="s">
        <v>228</v>
      </c>
      <c r="C491" s="15" t="s">
        <v>71</v>
      </c>
      <c r="D491" s="3"/>
      <c r="E491" s="3"/>
      <c r="F491" s="3"/>
      <c r="G491" s="3"/>
      <c r="H491" s="6">
        <f t="shared" si="42"/>
        <v>0</v>
      </c>
      <c r="I491" s="6"/>
      <c r="J491" s="6"/>
      <c r="K491" s="6"/>
      <c r="L491" s="6"/>
      <c r="M491" s="6">
        <f t="shared" si="43"/>
        <v>0</v>
      </c>
      <c r="N491" s="4"/>
    </row>
    <row r="492" spans="1:14" ht="49.5" customHeight="1">
      <c r="A492" s="121"/>
      <c r="B492" s="122" t="s">
        <v>228</v>
      </c>
      <c r="C492" s="15" t="s">
        <v>104</v>
      </c>
      <c r="D492" s="3">
        <v>290000</v>
      </c>
      <c r="E492" s="3"/>
      <c r="F492" s="3"/>
      <c r="G492" s="3"/>
      <c r="H492" s="6">
        <f t="shared" si="42"/>
        <v>290000</v>
      </c>
      <c r="I492" s="6">
        <v>202706.19</v>
      </c>
      <c r="J492" s="6"/>
      <c r="K492" s="6"/>
      <c r="L492" s="6"/>
      <c r="M492" s="6">
        <f t="shared" si="43"/>
        <v>202706.19</v>
      </c>
      <c r="N492" s="4">
        <f aca="true" t="shared" si="44" ref="N492:N499">M492/H492</f>
        <v>0.6989868620689655</v>
      </c>
    </row>
    <row r="493" spans="1:14" ht="12.75" customHeight="1">
      <c r="A493" s="60"/>
      <c r="B493" s="123"/>
      <c r="C493" s="15" t="s">
        <v>72</v>
      </c>
      <c r="D493" s="3"/>
      <c r="E493" s="3"/>
      <c r="F493" s="3"/>
      <c r="G493" s="3"/>
      <c r="H493" s="6">
        <f t="shared" si="42"/>
        <v>0</v>
      </c>
      <c r="I493" s="6">
        <v>13901.94</v>
      </c>
      <c r="J493" s="6"/>
      <c r="K493" s="6"/>
      <c r="L493" s="6"/>
      <c r="M493" s="6">
        <f t="shared" si="43"/>
        <v>13901.94</v>
      </c>
      <c r="N493" s="4"/>
    </row>
    <row r="494" spans="1:14" ht="12.75" customHeight="1">
      <c r="A494" s="60"/>
      <c r="B494" s="123"/>
      <c r="C494" s="15" t="s">
        <v>74</v>
      </c>
      <c r="D494" s="3"/>
      <c r="E494" s="3"/>
      <c r="F494" s="3"/>
      <c r="G494" s="3"/>
      <c r="H494" s="6">
        <f t="shared" si="42"/>
        <v>0</v>
      </c>
      <c r="I494" s="6">
        <v>3210.36</v>
      </c>
      <c r="J494" s="6"/>
      <c r="K494" s="6"/>
      <c r="L494" s="6"/>
      <c r="M494" s="6">
        <f t="shared" si="43"/>
        <v>3210.36</v>
      </c>
      <c r="N494" s="4"/>
    </row>
    <row r="495" spans="1:14" ht="20.25" customHeight="1" hidden="1">
      <c r="A495" s="60"/>
      <c r="B495" s="123"/>
      <c r="C495" s="15" t="s">
        <v>200</v>
      </c>
      <c r="D495" s="3"/>
      <c r="E495" s="3"/>
      <c r="F495" s="3"/>
      <c r="G495" s="3"/>
      <c r="H495" s="6">
        <f t="shared" si="42"/>
        <v>0</v>
      </c>
      <c r="I495" s="6"/>
      <c r="J495" s="6"/>
      <c r="K495" s="6"/>
      <c r="L495" s="6"/>
      <c r="M495" s="6">
        <f t="shared" si="43"/>
        <v>0</v>
      </c>
      <c r="N495" s="4" t="e">
        <f t="shared" si="44"/>
        <v>#DIV/0!</v>
      </c>
    </row>
    <row r="496" spans="1:14" ht="53.25" customHeight="1">
      <c r="A496" s="60"/>
      <c r="B496" s="126"/>
      <c r="C496" s="15" t="s">
        <v>240</v>
      </c>
      <c r="D496" s="3">
        <v>26800</v>
      </c>
      <c r="E496" s="3"/>
      <c r="F496" s="3"/>
      <c r="G496" s="3"/>
      <c r="H496" s="6">
        <f t="shared" si="42"/>
        <v>26800</v>
      </c>
      <c r="I496" s="6"/>
      <c r="J496" s="6"/>
      <c r="K496" s="6"/>
      <c r="L496" s="6"/>
      <c r="M496" s="6">
        <f t="shared" si="43"/>
        <v>0</v>
      </c>
      <c r="N496" s="4">
        <f t="shared" si="44"/>
        <v>0</v>
      </c>
    </row>
    <row r="497" spans="1:14" ht="10.5" customHeight="1">
      <c r="A497" s="61"/>
      <c r="B497" s="25" t="s">
        <v>229</v>
      </c>
      <c r="C497" s="25"/>
      <c r="D497" s="5">
        <f>SUM(D491:D496)</f>
        <v>316800</v>
      </c>
      <c r="E497" s="5">
        <f>SUM(E491:E496)</f>
        <v>0</v>
      </c>
      <c r="F497" s="5">
        <f>SUM(F491:F496)</f>
        <v>0</v>
      </c>
      <c r="G497" s="5">
        <f>SUM(G491:G496)</f>
        <v>0</v>
      </c>
      <c r="H497" s="5">
        <f t="shared" si="42"/>
        <v>316800</v>
      </c>
      <c r="I497" s="109">
        <f>SUM(I491:I496)</f>
        <v>219818.49</v>
      </c>
      <c r="J497" s="109">
        <f>SUM(J491:J496)</f>
        <v>0</v>
      </c>
      <c r="K497" s="109">
        <f>SUM(K491:K496)</f>
        <v>0</v>
      </c>
      <c r="L497" s="109">
        <f>SUM(L491:L496)</f>
        <v>0</v>
      </c>
      <c r="M497" s="5">
        <f t="shared" si="43"/>
        <v>219818.49</v>
      </c>
      <c r="N497" s="24">
        <f t="shared" si="44"/>
        <v>0.6938714962121212</v>
      </c>
    </row>
    <row r="498" spans="1:14" ht="10.5" customHeight="1">
      <c r="A498" s="22" t="s">
        <v>60</v>
      </c>
      <c r="B498" s="50"/>
      <c r="C498" s="37"/>
      <c r="D498" s="21">
        <f>SUM(D497,D490)</f>
        <v>8316800</v>
      </c>
      <c r="E498" s="21">
        <f>SUM(E497,E490)</f>
        <v>0</v>
      </c>
      <c r="F498" s="21">
        <f>SUM(F497,F490)</f>
        <v>0</v>
      </c>
      <c r="G498" s="21">
        <f>SUM(G497,G490)</f>
        <v>0</v>
      </c>
      <c r="H498" s="21">
        <f t="shared" si="42"/>
        <v>8316800</v>
      </c>
      <c r="I498" s="21">
        <f>SUM(I490,I497)</f>
        <v>6924004.07</v>
      </c>
      <c r="J498" s="21">
        <f>SUM(J490,J497)</f>
        <v>0</v>
      </c>
      <c r="K498" s="21">
        <f>SUM(K490,K497)</f>
        <v>0</v>
      </c>
      <c r="L498" s="21">
        <f>SUM(L490,L497)</f>
        <v>0</v>
      </c>
      <c r="M498" s="21">
        <f>SUM(M490,M497)</f>
        <v>6924004.07</v>
      </c>
      <c r="N498" s="26">
        <f t="shared" si="44"/>
        <v>0.8325322323489804</v>
      </c>
    </row>
    <row r="499" spans="1:16" ht="10.5" customHeight="1">
      <c r="A499" s="85" t="s">
        <v>7</v>
      </c>
      <c r="B499" s="38"/>
      <c r="C499" s="39"/>
      <c r="D499" s="11">
        <f>SUM(D38,D42,D6,D63,D98,D121,D130,D139,D180,D198,D281,D307,D371,D394,D451,D471,D486,D498)</f>
        <v>538138443</v>
      </c>
      <c r="E499" s="11">
        <f>SUM(E38,E42,E6,E63,E98,E121,E130,E139,E180,E198,E281,E307,E371,E394,E451,E471,E486,E498)</f>
        <v>149766485</v>
      </c>
      <c r="F499" s="11">
        <f>SUM(F38,F42,F6,F63,F98,F121,F130,F139,F180,F198,F281,F307,F371,F394,F451,F471,F486,F498)</f>
        <v>41511138</v>
      </c>
      <c r="G499" s="11">
        <f>SUM(G38,G42,G6,G63,G98,G121,G130,G139,G180,G198,G281,G307,G371,G394,G451,G471,G486,G498)</f>
        <v>16931686</v>
      </c>
      <c r="H499" s="11">
        <f>SUM(H38,H42,H63,H98,H6,H121,H130,H139,H180,H198,H281,H307,H371,H394,H451,H471,H486,H498)</f>
        <v>746347752</v>
      </c>
      <c r="I499" s="42">
        <f>SUM(I38,I6,I42,I63,I98,I121,I130,I139,I180,I198,I281,I307,I371,I394,I451,I471,I486,I498)</f>
        <v>564438457.86</v>
      </c>
      <c r="J499" s="42">
        <f>SUM(J38,J6,J42,J63,J98,J121,J130,J139,J180,J198,J281,J307,J371,J394,J451,J471,J486,J498)</f>
        <v>148772137.51999995</v>
      </c>
      <c r="K499" s="42">
        <f>SUM(K38,K6,K42,K63,K98,K121,K130,K139,K180,K198,K281,K307,K371,K394,K451,K471,K486,K498)</f>
        <v>40678772.56999999</v>
      </c>
      <c r="L499" s="42">
        <f>SUM(L38,L6,L42,L63,L98,L121,L130,L139,L180,L198,L281,L307,L371,L394,L451,L471,L486,L498)</f>
        <v>16673413.52</v>
      </c>
      <c r="M499" s="42">
        <f>SUM(I499:L499)</f>
        <v>770562781.47</v>
      </c>
      <c r="N499" s="4">
        <f t="shared" si="44"/>
        <v>1.0324447007512392</v>
      </c>
      <c r="P499" s="28"/>
    </row>
    <row r="500" ht="8.25" customHeight="1">
      <c r="D500" s="28"/>
    </row>
    <row r="501" spans="1:14" s="52" customFormat="1" ht="19.5" customHeight="1" hidden="1">
      <c r="A501" s="72"/>
      <c r="B501" s="72"/>
      <c r="C501" s="86" t="s">
        <v>233</v>
      </c>
      <c r="D501" s="87" t="s">
        <v>264</v>
      </c>
      <c r="E501" s="87" t="s">
        <v>234</v>
      </c>
      <c r="F501" s="87" t="s">
        <v>235</v>
      </c>
      <c r="G501" s="73"/>
      <c r="H501" s="73"/>
      <c r="I501" s="107"/>
      <c r="J501" s="107"/>
      <c r="K501" s="107"/>
      <c r="L501" s="107"/>
      <c r="M501" s="107"/>
      <c r="N501" s="73"/>
    </row>
    <row r="502" spans="1:14" s="52" customFormat="1" ht="12.75" hidden="1">
      <c r="A502" s="72"/>
      <c r="B502" s="72"/>
      <c r="C502" s="88" t="s">
        <v>236</v>
      </c>
      <c r="D502" s="11">
        <f>SUM(D503:D505)</f>
        <v>180309336</v>
      </c>
      <c r="E502" s="11">
        <f>SUM(E503:E505)</f>
        <v>45309336</v>
      </c>
      <c r="F502" s="89">
        <f>E502/D502*100</f>
        <v>25.128668878243776</v>
      </c>
      <c r="G502" s="73"/>
      <c r="H502" s="73"/>
      <c r="I502" s="107"/>
      <c r="J502" s="107"/>
      <c r="K502" s="107"/>
      <c r="L502" s="107"/>
      <c r="M502" s="66"/>
      <c r="N502" s="73"/>
    </row>
    <row r="503" spans="1:14" s="52" customFormat="1" ht="10.5" customHeight="1" hidden="1">
      <c r="A503" s="72"/>
      <c r="B503" s="72"/>
      <c r="C503" s="90" t="s">
        <v>237</v>
      </c>
      <c r="D503" s="91">
        <v>45309336</v>
      </c>
      <c r="E503" s="91">
        <v>45309336</v>
      </c>
      <c r="F503" s="89">
        <f>E503/D503*100</f>
        <v>100</v>
      </c>
      <c r="G503" s="73"/>
      <c r="H503" s="73"/>
      <c r="I503" s="107"/>
      <c r="J503" s="107"/>
      <c r="K503" s="107"/>
      <c r="L503" s="107"/>
      <c r="M503" s="107"/>
      <c r="N503" s="73"/>
    </row>
    <row r="504" spans="1:14" s="52" customFormat="1" ht="9.75" customHeight="1" hidden="1">
      <c r="A504" s="72"/>
      <c r="B504" s="72"/>
      <c r="C504" s="90" t="s">
        <v>238</v>
      </c>
      <c r="D504" s="91">
        <v>90000000</v>
      </c>
      <c r="E504" s="91"/>
      <c r="F504" s="89">
        <f>E504/D504*100</f>
        <v>0</v>
      </c>
      <c r="G504" s="73"/>
      <c r="H504" s="73"/>
      <c r="I504" s="107"/>
      <c r="J504" s="107"/>
      <c r="K504" s="107"/>
      <c r="L504" s="107"/>
      <c r="M504" s="107"/>
      <c r="N504" s="73"/>
    </row>
    <row r="505" spans="1:14" s="52" customFormat="1" ht="11.25" hidden="1">
      <c r="A505" s="72"/>
      <c r="B505" s="72"/>
      <c r="C505" s="90" t="s">
        <v>305</v>
      </c>
      <c r="D505" s="91">
        <v>45000000</v>
      </c>
      <c r="E505" s="91"/>
      <c r="F505" s="89">
        <f>E505/D505*100</f>
        <v>0</v>
      </c>
      <c r="G505" s="73"/>
      <c r="H505" s="73"/>
      <c r="I505" s="107"/>
      <c r="J505" s="107"/>
      <c r="K505" s="107"/>
      <c r="L505" s="107"/>
      <c r="M505" s="107"/>
      <c r="N505" s="73"/>
    </row>
    <row r="506" spans="1:14" s="52" customFormat="1" ht="12" customHeight="1" hidden="1">
      <c r="A506" s="72"/>
      <c r="B506" s="72"/>
      <c r="C506" s="88" t="s">
        <v>239</v>
      </c>
      <c r="D506" s="11">
        <f>SUM(H499,D502)</f>
        <v>926657088</v>
      </c>
      <c r="E506" s="11">
        <f>SUM(E502,M499)</f>
        <v>815872117.47</v>
      </c>
      <c r="F506" s="89">
        <f>E506/D506*100</f>
        <v>88.04466377426556</v>
      </c>
      <c r="G506" s="73"/>
      <c r="H506" s="73"/>
      <c r="I506" s="107"/>
      <c r="J506" s="107"/>
      <c r="K506" s="107"/>
      <c r="L506" s="107"/>
      <c r="M506" s="107"/>
      <c r="N506" s="73"/>
    </row>
    <row r="507" spans="2:8" ht="12" customHeight="1">
      <c r="B507" s="13" t="s">
        <v>319</v>
      </c>
      <c r="H507" s="93"/>
    </row>
    <row r="509" spans="4:13" ht="12" customHeight="1">
      <c r="D509" s="97"/>
      <c r="M509" s="108"/>
    </row>
    <row r="510" ht="9.75">
      <c r="G510" s="97"/>
    </row>
  </sheetData>
  <mergeCells count="95">
    <mergeCell ref="A472:A485"/>
    <mergeCell ref="B472:B473"/>
    <mergeCell ref="A4:A5"/>
    <mergeCell ref="B480:B481"/>
    <mergeCell ref="B366:B369"/>
    <mergeCell ref="A140:A157"/>
    <mergeCell ref="B465:B466"/>
    <mergeCell ref="B453:C453"/>
    <mergeCell ref="B462:B463"/>
    <mergeCell ref="B103:B106"/>
    <mergeCell ref="B16:B21"/>
    <mergeCell ref="B195:B196"/>
    <mergeCell ref="B300:B301"/>
    <mergeCell ref="B216:B224"/>
    <mergeCell ref="B236:B243"/>
    <mergeCell ref="B151:B163"/>
    <mergeCell ref="B267:B268"/>
    <mergeCell ref="B30:B35"/>
    <mergeCell ref="B77:B79"/>
    <mergeCell ref="B140:B141"/>
    <mergeCell ref="A131:A138"/>
    <mergeCell ref="A42:B42"/>
    <mergeCell ref="A43:A46"/>
    <mergeCell ref="A64:A67"/>
    <mergeCell ref="A122:A128"/>
    <mergeCell ref="B71:B74"/>
    <mergeCell ref="B44:C44"/>
    <mergeCell ref="B64:B65"/>
    <mergeCell ref="B45:B46"/>
    <mergeCell ref="B131:B134"/>
    <mergeCell ref="B123:C123"/>
    <mergeCell ref="B58:B60"/>
    <mergeCell ref="B136:B137"/>
    <mergeCell ref="B116:B119"/>
    <mergeCell ref="B143:B149"/>
    <mergeCell ref="B226:B234"/>
    <mergeCell ref="B211:B214"/>
    <mergeCell ref="B172:B174"/>
    <mergeCell ref="B183:B184"/>
    <mergeCell ref="B165:B169"/>
    <mergeCell ref="A1:N1"/>
    <mergeCell ref="D2:H2"/>
    <mergeCell ref="I2:M2"/>
    <mergeCell ref="A7:A10"/>
    <mergeCell ref="A2:A3"/>
    <mergeCell ref="B2:B3"/>
    <mergeCell ref="C2:C3"/>
    <mergeCell ref="N2:N3"/>
    <mergeCell ref="B7:B14"/>
    <mergeCell ref="A6:C6"/>
    <mergeCell ref="B295:B296"/>
    <mergeCell ref="B285:B288"/>
    <mergeCell ref="B186:B189"/>
    <mergeCell ref="B282:B283"/>
    <mergeCell ref="B273:B277"/>
    <mergeCell ref="B390:B392"/>
    <mergeCell ref="A282:A285"/>
    <mergeCell ref="B246:B249"/>
    <mergeCell ref="A420:A428"/>
    <mergeCell ref="B414:B418"/>
    <mergeCell ref="B411:B412"/>
    <mergeCell ref="B319:B323"/>
    <mergeCell ref="B325:B329"/>
    <mergeCell ref="B395:B399"/>
    <mergeCell ref="B400:C400"/>
    <mergeCell ref="B445:B446"/>
    <mergeCell ref="B483:B484"/>
    <mergeCell ref="A308:A315"/>
    <mergeCell ref="B308:B316"/>
    <mergeCell ref="B372:B374"/>
    <mergeCell ref="A372:A393"/>
    <mergeCell ref="B393:C393"/>
    <mergeCell ref="B381:B382"/>
    <mergeCell ref="B376:B379"/>
    <mergeCell ref="B332:B334"/>
    <mergeCell ref="B401:B408"/>
    <mergeCell ref="B384:B387"/>
    <mergeCell ref="A487:A492"/>
    <mergeCell ref="B487:B488"/>
    <mergeCell ref="B492:B496"/>
    <mergeCell ref="A401:A403"/>
    <mergeCell ref="B420:B427"/>
    <mergeCell ref="B429:B433"/>
    <mergeCell ref="B438:B442"/>
    <mergeCell ref="A452:A456"/>
    <mergeCell ref="B336:B339"/>
    <mergeCell ref="B27:B28"/>
    <mergeCell ref="B176:B178"/>
    <mergeCell ref="B357:B361"/>
    <mergeCell ref="B348:B349"/>
    <mergeCell ref="B351:B353"/>
    <mergeCell ref="B344:B346"/>
    <mergeCell ref="B304:B305"/>
    <mergeCell ref="B260:B261"/>
    <mergeCell ref="B185:C185"/>
  </mergeCells>
  <printOptions/>
  <pageMargins left="0.2362204724409449" right="0.15748031496062992" top="0.61" bottom="0.26" header="0.5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Radkiewicz</dc:creator>
  <cp:keywords/>
  <dc:description/>
  <cp:lastModifiedBy>Anna Zakrzewska</cp:lastModifiedBy>
  <cp:lastPrinted>2007-03-06T09:32:00Z</cp:lastPrinted>
  <dcterms:created xsi:type="dcterms:W3CDTF">2001-04-03T07:57:11Z</dcterms:created>
  <dcterms:modified xsi:type="dcterms:W3CDTF">2007-03-06T12:04:29Z</dcterms:modified>
  <cp:category/>
  <cp:version/>
  <cp:contentType/>
  <cp:contentStatus/>
</cp:coreProperties>
</file>