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20" windowHeight="6465" tabRatio="606" activeTab="1"/>
  </bookViews>
  <sheets>
    <sheet name="sprawozdanie 2006" sheetId="1" r:id="rId1"/>
    <sheet name="dane stastystyczne 2006" sheetId="2" r:id="rId2"/>
    <sheet name="Arkusz4" sheetId="3" r:id="rId3"/>
  </sheets>
  <definedNames>
    <definedName name="_xlnm.Print_Titles" localSheetId="1">'dane stastystyczne 2006'!$A:$A,'dane stastystyczne 2006'!$4:$6</definedName>
    <definedName name="_xlnm.Print_Titles" localSheetId="0">'sprawozdanie 2006'!$A:$A,'sprawozdanie 2006'!$4:$4</definedName>
  </definedNames>
  <calcPr fullCalcOnLoad="1" fullPrecision="0"/>
</workbook>
</file>

<file path=xl/sharedStrings.xml><?xml version="1.0" encoding="utf-8"?>
<sst xmlns="http://schemas.openxmlformats.org/spreadsheetml/2006/main" count="195" uniqueCount="126">
  <si>
    <t>Nazwa placówki</t>
  </si>
  <si>
    <t>Plan</t>
  </si>
  <si>
    <t>III LO</t>
  </si>
  <si>
    <t>IV LO</t>
  </si>
  <si>
    <t>VI LO</t>
  </si>
  <si>
    <t>VIII LO</t>
  </si>
  <si>
    <t>XIII LO</t>
  </si>
  <si>
    <t>Placówka</t>
  </si>
  <si>
    <t>Liczba etatów kalkulacyjnych</t>
  </si>
  <si>
    <t>plan</t>
  </si>
  <si>
    <t>pedagod.</t>
  </si>
  <si>
    <t>obsługa</t>
  </si>
  <si>
    <t>razem</t>
  </si>
  <si>
    <t>I   LO</t>
  </si>
  <si>
    <t>II  LO</t>
  </si>
  <si>
    <t>V  LO</t>
  </si>
  <si>
    <t>VII LO</t>
  </si>
  <si>
    <t>IX  LO</t>
  </si>
  <si>
    <t>X   LO</t>
  </si>
  <si>
    <t>XII  LO</t>
  </si>
  <si>
    <t>XIV LO</t>
  </si>
  <si>
    <t>Zesp.Sz.Ad.Ekonomicznych</t>
  </si>
  <si>
    <t>Realizacja programu</t>
  </si>
  <si>
    <t>stażysci</t>
  </si>
  <si>
    <t>Kolegium Miejskie</t>
  </si>
  <si>
    <t>Ośrodek Szkolno-Wych Nr 1</t>
  </si>
  <si>
    <t>Zespół Szkół Budowlanych</t>
  </si>
  <si>
    <t>Zespół Szkół Mechanicznych</t>
  </si>
  <si>
    <t>Zespół Szkół Budown.Okręt.</t>
  </si>
  <si>
    <t>Zespół Szkół Zawodowych Nr 1</t>
  </si>
  <si>
    <t>Zespół Szkół Zawodowych Nr 2</t>
  </si>
  <si>
    <t>Spec.Ośrodek Szk-Wych Nr 1</t>
  </si>
  <si>
    <t>Spec.Ośrodek Szk-Wych Nr 2</t>
  </si>
  <si>
    <t>Specj.Ośr.Szk.Wych   85403</t>
  </si>
  <si>
    <t>Poradnia Psych-Pedagog Nr 1</t>
  </si>
  <si>
    <t>Poradnia Psych-Pedagog Nr 2</t>
  </si>
  <si>
    <t>Poradnia Psych-Pedagog Nr 3</t>
  </si>
  <si>
    <t>Poradnia Psych-Pedagog 85406</t>
  </si>
  <si>
    <t>Internaty i bursy szkolne 85410</t>
  </si>
  <si>
    <t>§ 4010</t>
  </si>
  <si>
    <t>§ 4040</t>
  </si>
  <si>
    <t>§ 4110</t>
  </si>
  <si>
    <t>§ 4120</t>
  </si>
  <si>
    <t>§4260</t>
  </si>
  <si>
    <t>dyplom.</t>
  </si>
  <si>
    <t>zatrudnienie</t>
  </si>
  <si>
    <t>Razem</t>
  </si>
  <si>
    <t>adm.</t>
  </si>
  <si>
    <t>kontrakt</t>
  </si>
  <si>
    <t>mian.</t>
  </si>
  <si>
    <t>podstawy programowe</t>
  </si>
  <si>
    <t>klasy IB</t>
  </si>
  <si>
    <t>klasy  dwujęzyczne</t>
  </si>
  <si>
    <t>nauczanie indywidualne</t>
  </si>
  <si>
    <t>pozostałe biblioteka pedagodzy</t>
  </si>
  <si>
    <t>§ 4270</t>
  </si>
  <si>
    <t>Zespół Szkól  Adm.Ekonomicznych</t>
  </si>
  <si>
    <t>Zespół Szkół Chłodniczych i Elektronicznych</t>
  </si>
  <si>
    <t>Zespół Szkół Hotelarsko-Gastronom.</t>
  </si>
  <si>
    <t>Zesp.Sz.Budowlanych</t>
  </si>
  <si>
    <t>Technikum Transportowe</t>
  </si>
  <si>
    <t>Zespół Szkół Usługowych</t>
  </si>
  <si>
    <t>ilość osób</t>
  </si>
  <si>
    <t>Szkoły Zawodowe                80130</t>
  </si>
  <si>
    <t>Szkoła Muzyczna                80132</t>
  </si>
  <si>
    <t>Licea Profilowane               80123</t>
  </si>
  <si>
    <t>Gimnazja Specjalne             80111</t>
  </si>
  <si>
    <t>Szkoły Podstaw.Specj          80102</t>
  </si>
  <si>
    <t>Zespól Szkół Ogólnokształcącyc Nr 6</t>
  </si>
  <si>
    <t>Zespół Szkół Specjalnych nr 17</t>
  </si>
  <si>
    <t>Licea ogólnokształcące  specjalne      80121</t>
  </si>
  <si>
    <t>Licea ogólnokształcące   80120</t>
  </si>
  <si>
    <t>Zespół Szkół Hotelarsko-Gastronomicznych</t>
  </si>
  <si>
    <t>Zespól Szkół Usługowych</t>
  </si>
  <si>
    <t>Zespół Szkół Budownictwa Okrętowego</t>
  </si>
  <si>
    <t>Zespól Szkól Specjalnych Nr 17</t>
  </si>
  <si>
    <t>Specjalny Ośrodek Szkolno-Wych Nr 1</t>
  </si>
  <si>
    <t>Specjalny Ośrodek Szkolno-Wych Nr 2</t>
  </si>
  <si>
    <t>Szkoły zawodowe specjalne 80134</t>
  </si>
  <si>
    <t>Zespól Szkół Budownictwa Okrętowego 80140</t>
  </si>
  <si>
    <t>Gdyński Ośrodek Dokszt.Nauczycieli   80141</t>
  </si>
  <si>
    <t>Zespół Szkół Specjalnych Nr 17   - 85401</t>
  </si>
  <si>
    <t>Młodzieżowy Dom Kultury   85407</t>
  </si>
  <si>
    <t>Szkolne Schronisko Młodzieżowe 85417</t>
  </si>
  <si>
    <t>Młodzieżowy Dom Kultury   92601</t>
  </si>
  <si>
    <t>RAZEM  801</t>
  </si>
  <si>
    <t>§6050</t>
  </si>
  <si>
    <t>§ 6060</t>
  </si>
  <si>
    <t>liczba uczniów</t>
  </si>
  <si>
    <t>Zadania własne</t>
  </si>
  <si>
    <t>Wydatki ogółem</t>
  </si>
  <si>
    <t>Dotacje i subwencje</t>
  </si>
  <si>
    <t>Środki własne miasta</t>
  </si>
  <si>
    <t>% udziału miasta w wydatkach ogółem</t>
  </si>
  <si>
    <t>szkolnictwo podstawowe i gminazjalne (finansowane z subwencji oświatowej dla gmin i częściowo z dotacji - bez świetlic)</t>
  </si>
  <si>
    <t>szkoły ponadpodstawowe, poradnie psychologiczno-pedagogiczne, MDK, Szkoła Muzyczna, Schronisko Młodzieżowe (finansowane z subwencji oświatowej dla powiatu i częściowo z dotacji - bez świetlic)</t>
  </si>
  <si>
    <t>Pozostałe zadania (przedszkola, oddziały "0", świetlice, kolonie i obozy, stypendia, dokształcanie nauczycieli, szkoły otwarte, dowożenie uczniów do szkół, utrzymanie obiektów sportowych, wypłata świadczeń z ZFŚS)</t>
  </si>
  <si>
    <t>RAZEM</t>
  </si>
  <si>
    <t>miesięczny koszt ucznia</t>
  </si>
  <si>
    <t>Pozostałe wydatki</t>
  </si>
  <si>
    <t>Wydatki realizowane przez Wydział Edukacji</t>
  </si>
  <si>
    <t>Wydatki realizowane przez Wydział Inwestycji</t>
  </si>
  <si>
    <t>Dotacje dla placówek niepublicznych</t>
  </si>
  <si>
    <t>Wydatki realizowane przez Wydział Budynków</t>
  </si>
  <si>
    <t>Wykonanie</t>
  </si>
  <si>
    <t>średnia ilość uczniów</t>
  </si>
  <si>
    <t>ZS Ogólnokształcących Nr 6</t>
  </si>
  <si>
    <t>Szkoły zawod. specjalne 80134</t>
  </si>
  <si>
    <t>Młodzież. Dom Kultury 85407</t>
  </si>
  <si>
    <t>etaty pedagogiczne</t>
  </si>
  <si>
    <t>Ogółem, w tym:</t>
  </si>
  <si>
    <t>Razem,  w tym:</t>
  </si>
  <si>
    <t>program poza minimum</t>
  </si>
  <si>
    <t>liczba oddziałów</t>
  </si>
  <si>
    <t>Szkoły Podstaw.Specj     80102</t>
  </si>
  <si>
    <t>Gimnazja Specjalne       80111</t>
  </si>
  <si>
    <t>Licea Profilowane           80123</t>
  </si>
  <si>
    <t>Szkoły Zawodowe           80130</t>
  </si>
  <si>
    <t>Szkoła Muzyczna           80132</t>
  </si>
  <si>
    <t>Zespól Szkół Budownictwa Okrętowego          80140</t>
  </si>
  <si>
    <t>Internaty i bursy szkol.   85410</t>
  </si>
  <si>
    <t>Szkolne Schronisko Młodzieżowe         85417</t>
  </si>
  <si>
    <t>Załącznik nr 7</t>
  </si>
  <si>
    <t>Załącznik nr 8</t>
  </si>
  <si>
    <t>ZESTAWIENIE WYKONANIA JEDNOSTKOWYCH PLANÓW FINANSOWYCH SZKÓŁ PONADPODSTAWOWYCH I PLACÓWEK EDUKACYJNO - WYCHOWAWCZYCH ZA 2006 ROK</t>
  </si>
  <si>
    <t>ZESTAWIENIE WYKONANIA ZADAŃ RZECZOWYCH SZKÓŁ PONADPODSTAWOWYCH I PLACÓWEK EDUKACYJNO - WYCHOWAWCZYCH ZA 2006 ROK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</si>
</sst>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0.0%"/>
    <numFmt numFmtId="169" formatCode="0.000%"/>
    <numFmt numFmtId="170" formatCode="0.00000"/>
    <numFmt numFmtId="171" formatCode="0.0000"/>
    <numFmt numFmtId="172" formatCode="0.000"/>
    <numFmt numFmtId="173" formatCode="0.0"/>
    <numFmt numFmtId="174" formatCode="0.0000000"/>
    <numFmt numFmtId="175" formatCode="0.00000000"/>
    <numFmt numFmtId="176" formatCode="0.000000"/>
    <numFmt numFmtId="177" formatCode="d/mm"/>
  </numFmts>
  <fonts count="2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Arial CE"/>
      <family val="2"/>
    </font>
    <font>
      <i/>
      <sz val="8"/>
      <name val="Arial CE"/>
      <family val="2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i/>
      <sz val="8"/>
      <name val="Arial Narrow"/>
      <family val="2"/>
    </font>
    <font>
      <b/>
      <i/>
      <sz val="8"/>
      <name val="Arial Narrow"/>
      <family val="2"/>
    </font>
    <font>
      <i/>
      <sz val="10"/>
      <name val="Arial Narrow"/>
      <family val="2"/>
    </font>
    <font>
      <sz val="8"/>
      <name val="Arial CE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2"/>
      <name val="Arial CE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2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3" fontId="0" fillId="0" borderId="1" xfId="0" applyNumberForma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1" fillId="0" borderId="1" xfId="0" applyFont="1" applyBorder="1" applyAlignment="1">
      <alignment horizontal="right" wrapText="1"/>
    </xf>
    <xf numFmtId="3" fontId="1" fillId="0" borderId="1" xfId="0" applyNumberFormat="1" applyFont="1" applyBorder="1" applyAlignment="1">
      <alignment wrapText="1"/>
    </xf>
    <xf numFmtId="9" fontId="0" fillId="0" borderId="1" xfId="17" applyBorder="1" applyAlignment="1">
      <alignment wrapText="1"/>
    </xf>
    <xf numFmtId="0" fontId="2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3" fontId="25" fillId="0" borderId="1" xfId="0" applyNumberFormat="1" applyFont="1" applyBorder="1" applyAlignment="1">
      <alignment vertical="center"/>
    </xf>
    <xf numFmtId="164" fontId="25" fillId="0" borderId="1" xfId="0" applyNumberFormat="1" applyFont="1" applyBorder="1" applyAlignment="1">
      <alignment vertical="center"/>
    </xf>
    <xf numFmtId="3" fontId="25" fillId="0" borderId="1" xfId="0" applyNumberFormat="1" applyFont="1" applyFill="1" applyBorder="1" applyAlignment="1">
      <alignment vertical="center"/>
    </xf>
    <xf numFmtId="3" fontId="23" fillId="0" borderId="1" xfId="0" applyNumberFormat="1" applyFont="1" applyBorder="1" applyAlignment="1">
      <alignment vertical="center"/>
    </xf>
    <xf numFmtId="164" fontId="23" fillId="0" borderId="1" xfId="0" applyNumberFormat="1" applyFont="1" applyBorder="1" applyAlignment="1">
      <alignment vertical="center"/>
    </xf>
    <xf numFmtId="3" fontId="23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3" fontId="23" fillId="0" borderId="1" xfId="0" applyNumberFormat="1" applyFont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4" fillId="0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horizontal="centerContinuous" vertical="center"/>
    </xf>
    <xf numFmtId="3" fontId="12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18" fillId="0" borderId="1" xfId="0" applyNumberFormat="1" applyFont="1" applyBorder="1" applyAlignment="1">
      <alignment horizontal="right" vertical="center"/>
    </xf>
    <xf numFmtId="4" fontId="18" fillId="0" borderId="1" xfId="0" applyNumberFormat="1" applyFont="1" applyBorder="1" applyAlignment="1">
      <alignment horizontal="right" vertical="center"/>
    </xf>
    <xf numFmtId="4" fontId="17" fillId="0" borderId="1" xfId="0" applyNumberFormat="1" applyFont="1" applyBorder="1" applyAlignment="1">
      <alignment horizontal="right" vertical="center"/>
    </xf>
    <xf numFmtId="4" fontId="18" fillId="0" borderId="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164" fontId="18" fillId="0" borderId="1" xfId="0" applyNumberFormat="1" applyFont="1" applyBorder="1" applyAlignment="1">
      <alignment horizontal="right" vertical="center"/>
    </xf>
    <xf numFmtId="164" fontId="17" fillId="0" borderId="1" xfId="0" applyNumberFormat="1" applyFont="1" applyBorder="1" applyAlignment="1">
      <alignment horizontal="right" vertical="center"/>
    </xf>
    <xf numFmtId="3" fontId="17" fillId="0" borderId="1" xfId="0" applyNumberFormat="1" applyFont="1" applyFill="1" applyBorder="1" applyAlignment="1">
      <alignment horizontal="right" vertical="center"/>
    </xf>
    <xf numFmtId="164" fontId="17" fillId="0" borderId="1" xfId="0" applyNumberFormat="1" applyFont="1" applyFill="1" applyBorder="1" applyAlignment="1">
      <alignment horizontal="right" vertical="center"/>
    </xf>
    <xf numFmtId="4" fontId="17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4" fontId="17" fillId="0" borderId="1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/>
    </xf>
    <xf numFmtId="4" fontId="20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3" fontId="18" fillId="0" borderId="1" xfId="0" applyNumberFormat="1" applyFont="1" applyFill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center"/>
    </xf>
    <xf numFmtId="164" fontId="18" fillId="0" borderId="1" xfId="0" applyNumberFormat="1" applyFont="1" applyFill="1" applyBorder="1" applyAlignment="1">
      <alignment horizontal="right" vertical="center"/>
    </xf>
    <xf numFmtId="4" fontId="18" fillId="0" borderId="1" xfId="0" applyNumberFormat="1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1" xfId="0" applyFont="1" applyBorder="1" applyAlignment="1">
      <alignment vertical="center"/>
    </xf>
    <xf numFmtId="4" fontId="20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3" fontId="12" fillId="0" borderId="2" xfId="0" applyNumberFormat="1" applyFont="1" applyBorder="1" applyAlignment="1">
      <alignment horizontal="left" vertical="center"/>
    </xf>
    <xf numFmtId="3" fontId="12" fillId="0" borderId="3" xfId="0" applyNumberFormat="1" applyFont="1" applyBorder="1" applyAlignment="1">
      <alignment horizontal="left" vertical="center"/>
    </xf>
    <xf numFmtId="3" fontId="12" fillId="0" borderId="4" xfId="0" applyNumberFormat="1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3" fontId="24" fillId="0" borderId="5" xfId="0" applyNumberFormat="1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5"/>
  <sheetViews>
    <sheetView showZeros="0" workbookViewId="0" topLeftCell="A1">
      <pane xSplit="1" ySplit="4" topLeftCell="B6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63" sqref="A63"/>
    </sheetView>
  </sheetViews>
  <sheetFormatPr defaultColWidth="9.00390625" defaultRowHeight="12.75"/>
  <cols>
    <col min="1" max="1" width="38.25390625" style="9" customWidth="1"/>
    <col min="2" max="2" width="7.25390625" style="9" customWidth="1"/>
    <col min="3" max="3" width="9.625" style="9" customWidth="1"/>
    <col min="4" max="4" width="11.125" style="9" customWidth="1"/>
    <col min="5" max="5" width="9.125" style="10" bestFit="1" customWidth="1"/>
    <col min="6" max="6" width="9.375" style="9" customWidth="1"/>
    <col min="7" max="8" width="7.875" style="9" bestFit="1" customWidth="1"/>
    <col min="9" max="9" width="6.875" style="9" customWidth="1"/>
    <col min="10" max="10" width="7.875" style="9" bestFit="1" customWidth="1"/>
    <col min="11" max="11" width="6.625" style="9" customWidth="1"/>
    <col min="12" max="13" width="7.375" style="9" customWidth="1"/>
    <col min="14" max="14" width="8.875" style="9" customWidth="1"/>
    <col min="15" max="16384" width="9.125" style="9" customWidth="1"/>
  </cols>
  <sheetData>
    <row r="1" ht="12.75">
      <c r="O1" s="81"/>
    </row>
    <row r="2" spans="1:44" s="38" customFormat="1" ht="30.75" customHeight="1">
      <c r="A2" s="99" t="s">
        <v>124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  <c r="N2" s="81" t="s">
        <v>122</v>
      </c>
      <c r="O2" s="81"/>
      <c r="P2" s="79"/>
      <c r="Q2" s="79"/>
      <c r="R2" s="79"/>
      <c r="S2" s="79"/>
      <c r="T2" s="79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</row>
    <row r="3" ht="5.25" customHeight="1">
      <c r="A3" s="8"/>
    </row>
    <row r="4" spans="1:14" s="31" customFormat="1" ht="36.75" customHeight="1">
      <c r="A4" s="12" t="s">
        <v>0</v>
      </c>
      <c r="B4" s="11" t="s">
        <v>105</v>
      </c>
      <c r="C4" s="11" t="s">
        <v>98</v>
      </c>
      <c r="D4" s="12" t="s">
        <v>1</v>
      </c>
      <c r="E4" s="13" t="s">
        <v>104</v>
      </c>
      <c r="F4" s="14" t="s">
        <v>39</v>
      </c>
      <c r="G4" s="12" t="s">
        <v>40</v>
      </c>
      <c r="H4" s="12" t="s">
        <v>41</v>
      </c>
      <c r="I4" s="12" t="s">
        <v>42</v>
      </c>
      <c r="J4" s="12" t="s">
        <v>43</v>
      </c>
      <c r="K4" s="12" t="s">
        <v>55</v>
      </c>
      <c r="L4" s="12" t="s">
        <v>86</v>
      </c>
      <c r="M4" s="12" t="s">
        <v>87</v>
      </c>
      <c r="N4" s="11" t="s">
        <v>99</v>
      </c>
    </row>
    <row r="5" spans="1:14" ht="12.75">
      <c r="A5" s="15" t="s">
        <v>68</v>
      </c>
      <c r="B5" s="16">
        <v>23</v>
      </c>
      <c r="C5" s="17">
        <f>E5/B5/12</f>
        <v>2037.9</v>
      </c>
      <c r="D5" s="16">
        <v>574991</v>
      </c>
      <c r="E5" s="18">
        <v>562465</v>
      </c>
      <c r="F5" s="16">
        <v>397681</v>
      </c>
      <c r="G5" s="16">
        <v>30754</v>
      </c>
      <c r="H5" s="16">
        <v>71122</v>
      </c>
      <c r="I5" s="16">
        <v>10073</v>
      </c>
      <c r="J5" s="16">
        <v>3756</v>
      </c>
      <c r="K5" s="16"/>
      <c r="L5" s="16"/>
      <c r="M5" s="16"/>
      <c r="N5" s="16">
        <f>E5-SUM(F5:M5)</f>
        <v>49079</v>
      </c>
    </row>
    <row r="6" spans="1:14" ht="12.75">
      <c r="A6" s="15" t="s">
        <v>69</v>
      </c>
      <c r="B6" s="16">
        <v>78</v>
      </c>
      <c r="C6" s="17">
        <f aca="true" t="shared" si="0" ref="C6:C77">E6/B6/12</f>
        <v>2170.3</v>
      </c>
      <c r="D6" s="16">
        <v>2059194</v>
      </c>
      <c r="E6" s="18">
        <v>2031400</v>
      </c>
      <c r="F6" s="16">
        <v>1376714</v>
      </c>
      <c r="G6" s="16">
        <v>108523</v>
      </c>
      <c r="H6" s="16">
        <v>250763</v>
      </c>
      <c r="I6" s="16">
        <v>34238</v>
      </c>
      <c r="J6" s="16">
        <v>129129</v>
      </c>
      <c r="K6" s="16">
        <v>44045</v>
      </c>
      <c r="L6" s="16">
        <v>9845</v>
      </c>
      <c r="M6" s="16"/>
      <c r="N6" s="16">
        <f aca="true" t="shared" si="1" ref="N6:N76">E6-SUM(F6:M6)</f>
        <v>78143</v>
      </c>
    </row>
    <row r="7" spans="1:14" ht="12.75">
      <c r="A7" s="15" t="s">
        <v>25</v>
      </c>
      <c r="B7" s="16">
        <v>125</v>
      </c>
      <c r="C7" s="17">
        <f t="shared" si="0"/>
        <v>1230.9</v>
      </c>
      <c r="D7" s="16">
        <v>1863579</v>
      </c>
      <c r="E7" s="18">
        <v>1846348</v>
      </c>
      <c r="F7" s="16">
        <v>1308063</v>
      </c>
      <c r="G7" s="16">
        <v>107231</v>
      </c>
      <c r="H7" s="16">
        <v>242777</v>
      </c>
      <c r="I7" s="16">
        <v>33828</v>
      </c>
      <c r="J7" s="16">
        <v>17323</v>
      </c>
      <c r="K7" s="16">
        <v>25000</v>
      </c>
      <c r="L7" s="16"/>
      <c r="M7" s="16"/>
      <c r="N7" s="16">
        <f t="shared" si="1"/>
        <v>112126</v>
      </c>
    </row>
    <row r="8" spans="1:14" ht="12.75">
      <c r="A8" s="33" t="s">
        <v>114</v>
      </c>
      <c r="B8" s="19">
        <f>SUM(B5:B7)</f>
        <v>226</v>
      </c>
      <c r="C8" s="20">
        <f t="shared" si="0"/>
        <v>1637.2</v>
      </c>
      <c r="D8" s="19">
        <f>SUM(D5:D7)</f>
        <v>4497764</v>
      </c>
      <c r="E8" s="21">
        <f>SUM(E5:E7)</f>
        <v>4440213</v>
      </c>
      <c r="F8" s="19">
        <f aca="true" t="shared" si="2" ref="F8:K8">SUM(F5:F7)</f>
        <v>3082458</v>
      </c>
      <c r="G8" s="19">
        <f t="shared" si="2"/>
        <v>246508</v>
      </c>
      <c r="H8" s="19">
        <f t="shared" si="2"/>
        <v>564662</v>
      </c>
      <c r="I8" s="19">
        <f t="shared" si="2"/>
        <v>78139</v>
      </c>
      <c r="J8" s="19">
        <f t="shared" si="2"/>
        <v>150208</v>
      </c>
      <c r="K8" s="19">
        <f t="shared" si="2"/>
        <v>69045</v>
      </c>
      <c r="L8" s="19">
        <f>SUM(L5:L7)</f>
        <v>9845</v>
      </c>
      <c r="M8" s="19">
        <f>SUM(M5:M7)</f>
        <v>0</v>
      </c>
      <c r="N8" s="19">
        <f>SUM(N5:N7)</f>
        <v>239348</v>
      </c>
    </row>
    <row r="9" spans="1:14" ht="12.75">
      <c r="A9" s="15" t="s">
        <v>68</v>
      </c>
      <c r="B9" s="16">
        <v>14</v>
      </c>
      <c r="C9" s="17">
        <f t="shared" si="0"/>
        <v>1790.3</v>
      </c>
      <c r="D9" s="16">
        <v>331125</v>
      </c>
      <c r="E9" s="18">
        <v>300775</v>
      </c>
      <c r="F9" s="16">
        <v>219354</v>
      </c>
      <c r="G9" s="16">
        <v>16817</v>
      </c>
      <c r="H9" s="16">
        <v>39316</v>
      </c>
      <c r="I9" s="16">
        <v>5426</v>
      </c>
      <c r="J9" s="16">
        <v>1827</v>
      </c>
      <c r="K9" s="16"/>
      <c r="L9" s="16"/>
      <c r="M9" s="16"/>
      <c r="N9" s="16">
        <f t="shared" si="1"/>
        <v>18035</v>
      </c>
    </row>
    <row r="10" spans="1:14" ht="12.75">
      <c r="A10" s="15" t="s">
        <v>69</v>
      </c>
      <c r="B10" s="16">
        <v>97</v>
      </c>
      <c r="C10" s="17">
        <f t="shared" si="0"/>
        <v>1327.4</v>
      </c>
      <c r="D10" s="16">
        <v>1559900</v>
      </c>
      <c r="E10" s="18">
        <v>1545128</v>
      </c>
      <c r="F10" s="16">
        <v>1137210</v>
      </c>
      <c r="G10" s="16">
        <v>83573</v>
      </c>
      <c r="H10" s="16">
        <v>219422</v>
      </c>
      <c r="I10" s="16">
        <v>28909</v>
      </c>
      <c r="J10" s="16"/>
      <c r="K10" s="16"/>
      <c r="L10" s="16"/>
      <c r="M10" s="16"/>
      <c r="N10" s="16">
        <f t="shared" si="1"/>
        <v>76014</v>
      </c>
    </row>
    <row r="11" spans="1:14" ht="12.75">
      <c r="A11" s="15" t="s">
        <v>25</v>
      </c>
      <c r="B11" s="16">
        <v>31</v>
      </c>
      <c r="C11" s="17">
        <f t="shared" si="0"/>
        <v>1218.7</v>
      </c>
      <c r="D11" s="16">
        <v>461627</v>
      </c>
      <c r="E11" s="18">
        <v>453352</v>
      </c>
      <c r="F11" s="16">
        <v>345676</v>
      </c>
      <c r="G11" s="16">
        <v>24447</v>
      </c>
      <c r="H11" s="16">
        <v>59855</v>
      </c>
      <c r="I11" s="16">
        <v>8293</v>
      </c>
      <c r="J11" s="16">
        <v>377</v>
      </c>
      <c r="K11" s="16"/>
      <c r="L11" s="16"/>
      <c r="M11" s="16"/>
      <c r="N11" s="16">
        <f t="shared" si="1"/>
        <v>14704</v>
      </c>
    </row>
    <row r="12" spans="1:14" ht="12.75">
      <c r="A12" s="33" t="s">
        <v>115</v>
      </c>
      <c r="B12" s="19">
        <f aca="true" t="shared" si="3" ref="B12:N12">SUM(B9:B11)</f>
        <v>142</v>
      </c>
      <c r="C12" s="20">
        <f t="shared" si="0"/>
        <v>1349.3</v>
      </c>
      <c r="D12" s="19">
        <f t="shared" si="3"/>
        <v>2352652</v>
      </c>
      <c r="E12" s="21">
        <f t="shared" si="3"/>
        <v>2299255</v>
      </c>
      <c r="F12" s="19">
        <f t="shared" si="3"/>
        <v>1702240</v>
      </c>
      <c r="G12" s="19">
        <f t="shared" si="3"/>
        <v>124837</v>
      </c>
      <c r="H12" s="19">
        <f t="shared" si="3"/>
        <v>318593</v>
      </c>
      <c r="I12" s="19">
        <f t="shared" si="3"/>
        <v>42628</v>
      </c>
      <c r="J12" s="19">
        <f t="shared" si="3"/>
        <v>2204</v>
      </c>
      <c r="K12" s="19">
        <f t="shared" si="3"/>
        <v>0</v>
      </c>
      <c r="L12" s="19">
        <f t="shared" si="3"/>
        <v>0</v>
      </c>
      <c r="M12" s="19">
        <f t="shared" si="3"/>
        <v>0</v>
      </c>
      <c r="N12" s="19">
        <f t="shared" si="3"/>
        <v>108753</v>
      </c>
    </row>
    <row r="13" spans="1:14" ht="12.75">
      <c r="A13" s="15" t="s">
        <v>13</v>
      </c>
      <c r="B13" s="16">
        <v>532</v>
      </c>
      <c r="C13" s="17">
        <f t="shared" si="0"/>
        <v>369.5</v>
      </c>
      <c r="D13" s="16">
        <v>2393589</v>
      </c>
      <c r="E13" s="18">
        <v>2359206</v>
      </c>
      <c r="F13" s="16">
        <v>1498939</v>
      </c>
      <c r="G13" s="16">
        <v>115493</v>
      </c>
      <c r="H13" s="16">
        <v>276585</v>
      </c>
      <c r="I13" s="16">
        <v>38654</v>
      </c>
      <c r="J13" s="16">
        <v>17382</v>
      </c>
      <c r="K13" s="16">
        <v>19727</v>
      </c>
      <c r="L13" s="16">
        <v>0</v>
      </c>
      <c r="M13" s="16">
        <v>0</v>
      </c>
      <c r="N13" s="16">
        <f t="shared" si="1"/>
        <v>392426</v>
      </c>
    </row>
    <row r="14" spans="1:14" ht="12.75">
      <c r="A14" s="15" t="s">
        <v>14</v>
      </c>
      <c r="B14" s="16">
        <v>564</v>
      </c>
      <c r="C14" s="17">
        <f t="shared" si="0"/>
        <v>417.6</v>
      </c>
      <c r="D14" s="16">
        <v>2859298</v>
      </c>
      <c r="E14" s="18">
        <v>2826117</v>
      </c>
      <c r="F14" s="16">
        <v>1978292</v>
      </c>
      <c r="G14" s="16">
        <v>148456</v>
      </c>
      <c r="H14" s="16">
        <v>347283</v>
      </c>
      <c r="I14" s="16">
        <v>48503</v>
      </c>
      <c r="J14" s="16">
        <v>141717</v>
      </c>
      <c r="K14" s="16">
        <v>1500</v>
      </c>
      <c r="L14" s="16">
        <v>0</v>
      </c>
      <c r="M14" s="16">
        <v>0</v>
      </c>
      <c r="N14" s="16">
        <f t="shared" si="1"/>
        <v>160366</v>
      </c>
    </row>
    <row r="15" spans="1:14" s="22" customFormat="1" ht="12.75">
      <c r="A15" s="15" t="s">
        <v>2</v>
      </c>
      <c r="B15" s="16">
        <v>660</v>
      </c>
      <c r="C15" s="17">
        <f t="shared" si="0"/>
        <v>522.9</v>
      </c>
      <c r="D15" s="16">
        <v>4201577</v>
      </c>
      <c r="E15" s="18">
        <v>4141646</v>
      </c>
      <c r="F15" s="16">
        <v>2704610</v>
      </c>
      <c r="G15" s="16">
        <v>211512</v>
      </c>
      <c r="H15" s="16">
        <v>492128</v>
      </c>
      <c r="I15" s="16">
        <v>64586</v>
      </c>
      <c r="J15" s="16">
        <v>183462</v>
      </c>
      <c r="K15" s="16">
        <v>24000</v>
      </c>
      <c r="L15" s="16">
        <v>0</v>
      </c>
      <c r="M15" s="16">
        <v>0</v>
      </c>
      <c r="N15" s="16">
        <f t="shared" si="1"/>
        <v>461348</v>
      </c>
    </row>
    <row r="16" spans="1:14" s="22" customFormat="1" ht="12.75">
      <c r="A16" s="15" t="s">
        <v>3</v>
      </c>
      <c r="B16" s="16">
        <v>554</v>
      </c>
      <c r="C16" s="17">
        <f t="shared" si="0"/>
        <v>366.4</v>
      </c>
      <c r="D16" s="16">
        <v>2533790</v>
      </c>
      <c r="E16" s="18">
        <v>2436145</v>
      </c>
      <c r="F16" s="16">
        <v>1653416</v>
      </c>
      <c r="G16" s="16">
        <v>127934</v>
      </c>
      <c r="H16" s="16">
        <v>279499</v>
      </c>
      <c r="I16" s="16">
        <v>40680</v>
      </c>
      <c r="J16" s="16">
        <v>142115</v>
      </c>
      <c r="K16" s="16">
        <v>17500</v>
      </c>
      <c r="L16" s="16">
        <v>0</v>
      </c>
      <c r="M16" s="16">
        <v>0</v>
      </c>
      <c r="N16" s="16">
        <f t="shared" si="1"/>
        <v>175001</v>
      </c>
    </row>
    <row r="17" spans="1:14" ht="12.75">
      <c r="A17" s="15" t="s">
        <v>15</v>
      </c>
      <c r="B17" s="16">
        <v>486</v>
      </c>
      <c r="C17" s="17">
        <f t="shared" si="0"/>
        <v>386.8</v>
      </c>
      <c r="D17" s="16">
        <v>2309165</v>
      </c>
      <c r="E17" s="18">
        <v>2255571</v>
      </c>
      <c r="F17" s="16">
        <v>1574630</v>
      </c>
      <c r="G17" s="16">
        <v>115940</v>
      </c>
      <c r="H17" s="16">
        <v>290055</v>
      </c>
      <c r="I17" s="16">
        <v>40244</v>
      </c>
      <c r="J17" s="16">
        <v>71685</v>
      </c>
      <c r="K17" s="16">
        <v>2005</v>
      </c>
      <c r="L17" s="16">
        <v>0</v>
      </c>
      <c r="M17" s="16">
        <v>0</v>
      </c>
      <c r="N17" s="16">
        <f t="shared" si="1"/>
        <v>161012</v>
      </c>
    </row>
    <row r="18" spans="1:14" ht="12.75">
      <c r="A18" s="15" t="s">
        <v>4</v>
      </c>
      <c r="B18" s="16">
        <v>573</v>
      </c>
      <c r="C18" s="17">
        <f t="shared" si="0"/>
        <v>391.7</v>
      </c>
      <c r="D18" s="16">
        <v>2726327</v>
      </c>
      <c r="E18" s="18">
        <v>2693231</v>
      </c>
      <c r="F18" s="16">
        <v>1834214</v>
      </c>
      <c r="G18" s="16">
        <v>139103</v>
      </c>
      <c r="H18" s="16">
        <v>329164</v>
      </c>
      <c r="I18" s="16">
        <v>46415</v>
      </c>
      <c r="J18" s="16">
        <v>94834</v>
      </c>
      <c r="K18" s="16">
        <v>10826</v>
      </c>
      <c r="L18" s="16">
        <v>60000</v>
      </c>
      <c r="M18" s="16">
        <v>0</v>
      </c>
      <c r="N18" s="16">
        <f t="shared" si="1"/>
        <v>178675</v>
      </c>
    </row>
    <row r="19" spans="1:14" ht="12.75">
      <c r="A19" s="15" t="s">
        <v>16</v>
      </c>
      <c r="B19" s="16">
        <v>181</v>
      </c>
      <c r="C19" s="17">
        <f t="shared" si="0"/>
        <v>446.9</v>
      </c>
      <c r="D19" s="16">
        <v>982787</v>
      </c>
      <c r="E19" s="18">
        <v>970752</v>
      </c>
      <c r="F19" s="16">
        <v>657292</v>
      </c>
      <c r="G19" s="16">
        <v>48742</v>
      </c>
      <c r="H19" s="16">
        <v>110008</v>
      </c>
      <c r="I19" s="16">
        <v>15787</v>
      </c>
      <c r="J19" s="16">
        <v>45622</v>
      </c>
      <c r="K19" s="16">
        <v>32000</v>
      </c>
      <c r="L19" s="16">
        <v>0</v>
      </c>
      <c r="M19" s="16">
        <v>0</v>
      </c>
      <c r="N19" s="16">
        <f t="shared" si="1"/>
        <v>61301</v>
      </c>
    </row>
    <row r="20" spans="1:14" ht="12.75">
      <c r="A20" s="15" t="s">
        <v>5</v>
      </c>
      <c r="B20" s="16">
        <v>314</v>
      </c>
      <c r="C20" s="17">
        <f t="shared" si="0"/>
        <v>475.2</v>
      </c>
      <c r="D20" s="16">
        <v>1933295</v>
      </c>
      <c r="E20" s="18">
        <v>1790532</v>
      </c>
      <c r="F20" s="16">
        <v>1245840</v>
      </c>
      <c r="G20" s="16">
        <v>98159</v>
      </c>
      <c r="H20" s="16">
        <v>185044</v>
      </c>
      <c r="I20" s="16">
        <v>31520</v>
      </c>
      <c r="J20" s="16">
        <v>83263</v>
      </c>
      <c r="K20" s="16">
        <v>31482</v>
      </c>
      <c r="L20" s="16">
        <v>0</v>
      </c>
      <c r="M20" s="16">
        <v>0</v>
      </c>
      <c r="N20" s="16">
        <f t="shared" si="1"/>
        <v>115224</v>
      </c>
    </row>
    <row r="21" spans="1:14" ht="12.75">
      <c r="A21" s="15" t="s">
        <v>17</v>
      </c>
      <c r="B21" s="16">
        <v>523</v>
      </c>
      <c r="C21" s="17">
        <f t="shared" si="0"/>
        <v>357.6</v>
      </c>
      <c r="D21" s="16">
        <v>2255201</v>
      </c>
      <c r="E21" s="18">
        <v>2244202</v>
      </c>
      <c r="F21" s="16">
        <v>1547030</v>
      </c>
      <c r="G21" s="16">
        <v>113090</v>
      </c>
      <c r="H21" s="16">
        <v>283636</v>
      </c>
      <c r="I21" s="16">
        <v>39140</v>
      </c>
      <c r="J21" s="16">
        <v>56214</v>
      </c>
      <c r="K21" s="16">
        <v>3200</v>
      </c>
      <c r="L21" s="16">
        <v>0</v>
      </c>
      <c r="M21" s="16">
        <v>0</v>
      </c>
      <c r="N21" s="16">
        <f t="shared" si="1"/>
        <v>201892</v>
      </c>
    </row>
    <row r="22" spans="1:14" s="22" customFormat="1" ht="12.75">
      <c r="A22" s="15" t="s">
        <v>18</v>
      </c>
      <c r="B22" s="16">
        <v>418</v>
      </c>
      <c r="C22" s="17">
        <f t="shared" si="0"/>
        <v>359.4</v>
      </c>
      <c r="D22" s="16">
        <v>1846820</v>
      </c>
      <c r="E22" s="18">
        <v>1802840</v>
      </c>
      <c r="F22" s="16">
        <v>1165411</v>
      </c>
      <c r="G22" s="16">
        <v>90708</v>
      </c>
      <c r="H22" s="16">
        <v>213343</v>
      </c>
      <c r="I22" s="16">
        <v>28427</v>
      </c>
      <c r="J22" s="16">
        <v>102676</v>
      </c>
      <c r="K22" s="16">
        <v>67098</v>
      </c>
      <c r="L22" s="16">
        <v>0</v>
      </c>
      <c r="M22" s="16">
        <v>0</v>
      </c>
      <c r="N22" s="16">
        <f t="shared" si="1"/>
        <v>135177</v>
      </c>
    </row>
    <row r="23" spans="1:14" ht="12.75">
      <c r="A23" s="15" t="s">
        <v>19</v>
      </c>
      <c r="B23" s="16">
        <v>276</v>
      </c>
      <c r="C23" s="17">
        <f t="shared" si="0"/>
        <v>381.8</v>
      </c>
      <c r="D23" s="16">
        <v>1268013</v>
      </c>
      <c r="E23" s="18">
        <v>1264591</v>
      </c>
      <c r="F23" s="16">
        <v>924903</v>
      </c>
      <c r="G23" s="16">
        <v>66876</v>
      </c>
      <c r="H23" s="16">
        <v>164127</v>
      </c>
      <c r="I23" s="16">
        <v>22447</v>
      </c>
      <c r="J23" s="16">
        <v>12052</v>
      </c>
      <c r="K23" s="16">
        <v>211</v>
      </c>
      <c r="L23" s="16">
        <v>0</v>
      </c>
      <c r="M23" s="16">
        <v>0</v>
      </c>
      <c r="N23" s="16">
        <f t="shared" si="1"/>
        <v>73975</v>
      </c>
    </row>
    <row r="24" spans="1:14" ht="12.75">
      <c r="A24" s="15" t="s">
        <v>6</v>
      </c>
      <c r="B24" s="16">
        <v>309</v>
      </c>
      <c r="C24" s="17">
        <f t="shared" si="0"/>
        <v>493</v>
      </c>
      <c r="D24" s="16">
        <v>1861929</v>
      </c>
      <c r="E24" s="18">
        <v>1827944</v>
      </c>
      <c r="F24" s="16">
        <v>1138766</v>
      </c>
      <c r="G24" s="16">
        <v>90428</v>
      </c>
      <c r="H24" s="16">
        <v>202769</v>
      </c>
      <c r="I24" s="16">
        <v>28172</v>
      </c>
      <c r="J24" s="16">
        <v>171094</v>
      </c>
      <c r="K24" s="16">
        <v>50016</v>
      </c>
      <c r="L24" s="16">
        <v>56120</v>
      </c>
      <c r="M24" s="16">
        <v>0</v>
      </c>
      <c r="N24" s="16">
        <f t="shared" si="1"/>
        <v>90579</v>
      </c>
    </row>
    <row r="25" spans="1:14" ht="12.75">
      <c r="A25" s="15" t="s">
        <v>20</v>
      </c>
      <c r="B25" s="16">
        <v>540</v>
      </c>
      <c r="C25" s="17">
        <f t="shared" si="0"/>
        <v>354.7</v>
      </c>
      <c r="D25" s="16">
        <v>2327353</v>
      </c>
      <c r="E25" s="18">
        <v>2298684</v>
      </c>
      <c r="F25" s="16">
        <v>1590625</v>
      </c>
      <c r="G25" s="16">
        <v>123479</v>
      </c>
      <c r="H25" s="16">
        <v>290160</v>
      </c>
      <c r="I25" s="16">
        <v>40282</v>
      </c>
      <c r="J25" s="16">
        <v>101907</v>
      </c>
      <c r="K25" s="16">
        <v>0</v>
      </c>
      <c r="L25" s="16">
        <v>0</v>
      </c>
      <c r="M25" s="16">
        <v>0</v>
      </c>
      <c r="N25" s="16">
        <f t="shared" si="1"/>
        <v>152231</v>
      </c>
    </row>
    <row r="26" spans="1:14" s="22" customFormat="1" ht="12.75">
      <c r="A26" s="15" t="s">
        <v>24</v>
      </c>
      <c r="B26" s="16">
        <v>310</v>
      </c>
      <c r="C26" s="17">
        <f>E26/B26/12</f>
        <v>173</v>
      </c>
      <c r="D26" s="16">
        <v>675724</v>
      </c>
      <c r="E26" s="18">
        <v>643579</v>
      </c>
      <c r="F26" s="16">
        <v>432099</v>
      </c>
      <c r="G26" s="16">
        <v>38878</v>
      </c>
      <c r="H26" s="16">
        <v>80324</v>
      </c>
      <c r="I26" s="16">
        <v>11375</v>
      </c>
      <c r="J26" s="16">
        <v>18229</v>
      </c>
      <c r="K26" s="16">
        <v>10980</v>
      </c>
      <c r="L26" s="16">
        <v>0</v>
      </c>
      <c r="M26" s="16">
        <v>0</v>
      </c>
      <c r="N26" s="16">
        <f>E26-SUM(F26:M26)</f>
        <v>51694</v>
      </c>
    </row>
    <row r="27" spans="1:14" s="22" customFormat="1" ht="12.75">
      <c r="A27" s="15" t="s">
        <v>102</v>
      </c>
      <c r="B27" s="16"/>
      <c r="C27" s="17"/>
      <c r="D27" s="16">
        <f>1894184+824820</f>
        <v>2719004</v>
      </c>
      <c r="E27" s="18">
        <f>1883646+818510</f>
        <v>2702156</v>
      </c>
      <c r="F27" s="16"/>
      <c r="G27" s="16"/>
      <c r="H27" s="16"/>
      <c r="I27" s="16"/>
      <c r="J27" s="16"/>
      <c r="K27" s="16"/>
      <c r="L27" s="16"/>
      <c r="M27" s="16"/>
      <c r="N27" s="16">
        <f>E27-SUM(F27:M27)</f>
        <v>2702156</v>
      </c>
    </row>
    <row r="28" spans="1:14" s="22" customFormat="1" ht="12.75">
      <c r="A28" s="15" t="s">
        <v>100</v>
      </c>
      <c r="B28" s="16"/>
      <c r="C28" s="17"/>
      <c r="D28" s="16">
        <f>15238+4148+56585</f>
        <v>75971</v>
      </c>
      <c r="E28" s="18">
        <f>12031+219</f>
        <v>12250</v>
      </c>
      <c r="F28" s="16"/>
      <c r="G28" s="16"/>
      <c r="H28" s="16"/>
      <c r="I28" s="16"/>
      <c r="J28" s="16"/>
      <c r="K28" s="16"/>
      <c r="L28" s="16"/>
      <c r="M28" s="16"/>
      <c r="N28" s="16">
        <f>E28-SUM(F28:M28)</f>
        <v>12250</v>
      </c>
    </row>
    <row r="29" spans="1:14" s="22" customFormat="1" ht="12.75">
      <c r="A29" s="15" t="s">
        <v>101</v>
      </c>
      <c r="B29" s="16"/>
      <c r="C29" s="17"/>
      <c r="D29" s="16">
        <v>82000</v>
      </c>
      <c r="E29" s="18">
        <f>4051+1317</f>
        <v>5368</v>
      </c>
      <c r="F29" s="16"/>
      <c r="G29" s="16"/>
      <c r="H29" s="16"/>
      <c r="I29" s="16"/>
      <c r="J29" s="16"/>
      <c r="K29" s="16"/>
      <c r="L29" s="16"/>
      <c r="M29" s="16"/>
      <c r="N29" s="16">
        <f>E29-SUM(F29:M29)</f>
        <v>5368</v>
      </c>
    </row>
    <row r="30" spans="1:14" ht="12.75">
      <c r="A30" s="33" t="s">
        <v>71</v>
      </c>
      <c r="B30" s="19">
        <f>SUM(B13:B29)</f>
        <v>6240</v>
      </c>
      <c r="C30" s="20">
        <f t="shared" si="0"/>
        <v>431</v>
      </c>
      <c r="D30" s="19">
        <f>SUM(D13:D29)</f>
        <v>33051843</v>
      </c>
      <c r="E30" s="21">
        <f>SUM(E13:E29)</f>
        <v>32274814</v>
      </c>
      <c r="F30" s="19">
        <f aca="true" t="shared" si="4" ref="F30:K30">SUM(F13:F29)</f>
        <v>19946067</v>
      </c>
      <c r="G30" s="19">
        <f t="shared" si="4"/>
        <v>1528798</v>
      </c>
      <c r="H30" s="19">
        <f t="shared" si="4"/>
        <v>3544125</v>
      </c>
      <c r="I30" s="19">
        <f t="shared" si="4"/>
        <v>496232</v>
      </c>
      <c r="J30" s="19">
        <f t="shared" si="4"/>
        <v>1242252</v>
      </c>
      <c r="K30" s="19">
        <f t="shared" si="4"/>
        <v>270545</v>
      </c>
      <c r="L30" s="19">
        <f>SUM(L13:L29)</f>
        <v>116120</v>
      </c>
      <c r="M30" s="19">
        <f>SUM(M13:M29)</f>
        <v>0</v>
      </c>
      <c r="N30" s="19">
        <f>SUM(N13:N29)</f>
        <v>5130675</v>
      </c>
    </row>
    <row r="31" spans="1:14" ht="12.75">
      <c r="A31" s="32" t="s">
        <v>106</v>
      </c>
      <c r="B31" s="16">
        <v>10</v>
      </c>
      <c r="C31" s="17">
        <f t="shared" si="0"/>
        <v>1764.9</v>
      </c>
      <c r="D31" s="16">
        <v>220955</v>
      </c>
      <c r="E31" s="18">
        <v>211786</v>
      </c>
      <c r="F31" s="16">
        <v>163230</v>
      </c>
      <c r="G31" s="16">
        <v>6994</v>
      </c>
      <c r="H31" s="16">
        <v>28899</v>
      </c>
      <c r="I31" s="16">
        <v>4016</v>
      </c>
      <c r="J31" s="16">
        <v>0</v>
      </c>
      <c r="K31" s="16">
        <v>0</v>
      </c>
      <c r="L31" s="16">
        <v>0</v>
      </c>
      <c r="M31" s="16">
        <v>0</v>
      </c>
      <c r="N31" s="16">
        <f t="shared" si="1"/>
        <v>8647</v>
      </c>
    </row>
    <row r="32" spans="1:14" s="25" customFormat="1" ht="15" customHeight="1">
      <c r="A32" s="80" t="s">
        <v>70</v>
      </c>
      <c r="B32" s="23">
        <f>B31</f>
        <v>10</v>
      </c>
      <c r="C32" s="20">
        <f t="shared" si="0"/>
        <v>1764.9</v>
      </c>
      <c r="D32" s="23">
        <f>D31</f>
        <v>220955</v>
      </c>
      <c r="E32" s="24">
        <f>E31</f>
        <v>211786</v>
      </c>
      <c r="F32" s="23">
        <f aca="true" t="shared" si="5" ref="F32:N32">F31</f>
        <v>163230</v>
      </c>
      <c r="G32" s="23">
        <f t="shared" si="5"/>
        <v>6994</v>
      </c>
      <c r="H32" s="23">
        <f t="shared" si="5"/>
        <v>28899</v>
      </c>
      <c r="I32" s="23">
        <f t="shared" si="5"/>
        <v>4016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8647</v>
      </c>
    </row>
    <row r="33" spans="1:14" ht="12.75">
      <c r="A33" s="26" t="s">
        <v>56</v>
      </c>
      <c r="B33" s="16">
        <v>151</v>
      </c>
      <c r="C33" s="17">
        <f t="shared" si="0"/>
        <v>441.8</v>
      </c>
      <c r="D33" s="16">
        <v>824321</v>
      </c>
      <c r="E33" s="18">
        <v>800588</v>
      </c>
      <c r="F33" s="16">
        <v>539378</v>
      </c>
      <c r="G33" s="16">
        <v>42320</v>
      </c>
      <c r="H33" s="16">
        <v>102741</v>
      </c>
      <c r="I33" s="16">
        <v>14219</v>
      </c>
      <c r="J33" s="16">
        <v>47284</v>
      </c>
      <c r="K33" s="16">
        <v>250</v>
      </c>
      <c r="L33" s="16">
        <v>0</v>
      </c>
      <c r="M33" s="16">
        <v>0</v>
      </c>
      <c r="N33" s="16">
        <f t="shared" si="1"/>
        <v>54396</v>
      </c>
    </row>
    <row r="34" spans="1:14" ht="12.75">
      <c r="A34" s="15" t="s">
        <v>72</v>
      </c>
      <c r="B34" s="16">
        <v>61</v>
      </c>
      <c r="C34" s="17">
        <f t="shared" si="0"/>
        <v>364.4</v>
      </c>
      <c r="D34" s="16">
        <v>271376</v>
      </c>
      <c r="E34" s="18">
        <v>266768</v>
      </c>
      <c r="F34" s="16">
        <v>185819</v>
      </c>
      <c r="G34" s="16">
        <v>14600</v>
      </c>
      <c r="H34" s="16">
        <v>34878</v>
      </c>
      <c r="I34" s="16">
        <v>4845</v>
      </c>
      <c r="J34" s="16">
        <v>3230</v>
      </c>
      <c r="K34" s="16">
        <v>0</v>
      </c>
      <c r="L34" s="16">
        <v>0</v>
      </c>
      <c r="M34" s="16">
        <v>0</v>
      </c>
      <c r="N34" s="16">
        <f t="shared" si="1"/>
        <v>23396</v>
      </c>
    </row>
    <row r="35" spans="1:14" ht="12.75">
      <c r="A35" s="15" t="s">
        <v>27</v>
      </c>
      <c r="B35" s="16">
        <v>35</v>
      </c>
      <c r="C35" s="17">
        <f t="shared" si="0"/>
        <v>365.5</v>
      </c>
      <c r="D35" s="16">
        <v>159233</v>
      </c>
      <c r="E35" s="18">
        <v>153530</v>
      </c>
      <c r="F35" s="16">
        <v>94301</v>
      </c>
      <c r="G35" s="16">
        <v>12008</v>
      </c>
      <c r="H35" s="16">
        <v>18150</v>
      </c>
      <c r="I35" s="16">
        <v>2485</v>
      </c>
      <c r="J35" s="16">
        <v>14462</v>
      </c>
      <c r="K35" s="16">
        <v>0</v>
      </c>
      <c r="L35" s="16">
        <v>0</v>
      </c>
      <c r="M35" s="16">
        <v>0</v>
      </c>
      <c r="N35" s="16">
        <f t="shared" si="1"/>
        <v>12124</v>
      </c>
    </row>
    <row r="36" spans="1:14" ht="12.75">
      <c r="A36" s="15" t="s">
        <v>73</v>
      </c>
      <c r="B36" s="16">
        <v>339</v>
      </c>
      <c r="C36" s="17">
        <f t="shared" si="0"/>
        <v>414.2</v>
      </c>
      <c r="D36" s="16">
        <v>1691185</v>
      </c>
      <c r="E36" s="18">
        <v>1685126</v>
      </c>
      <c r="F36" s="16">
        <v>1226692</v>
      </c>
      <c r="G36" s="16">
        <v>90716</v>
      </c>
      <c r="H36" s="16">
        <v>204714</v>
      </c>
      <c r="I36" s="16">
        <v>28129</v>
      </c>
      <c r="J36" s="16">
        <v>31947</v>
      </c>
      <c r="K36" s="16">
        <v>0</v>
      </c>
      <c r="L36" s="16">
        <v>0</v>
      </c>
      <c r="M36" s="16">
        <v>0</v>
      </c>
      <c r="N36" s="16">
        <f t="shared" si="1"/>
        <v>102928</v>
      </c>
    </row>
    <row r="37" spans="1:14" ht="12.75">
      <c r="A37" s="15" t="s">
        <v>57</v>
      </c>
      <c r="B37" s="16">
        <v>96</v>
      </c>
      <c r="C37" s="17">
        <f t="shared" si="0"/>
        <v>454.8</v>
      </c>
      <c r="D37" s="16">
        <v>527943</v>
      </c>
      <c r="E37" s="18">
        <v>523980</v>
      </c>
      <c r="F37" s="16">
        <v>368297</v>
      </c>
      <c r="G37" s="16">
        <v>31703</v>
      </c>
      <c r="H37" s="16">
        <v>67959</v>
      </c>
      <c r="I37" s="16">
        <v>9441</v>
      </c>
      <c r="J37" s="16">
        <v>12669</v>
      </c>
      <c r="K37" s="16">
        <v>0</v>
      </c>
      <c r="L37" s="16">
        <v>0</v>
      </c>
      <c r="M37" s="16">
        <v>0</v>
      </c>
      <c r="N37" s="16">
        <f t="shared" si="1"/>
        <v>33911</v>
      </c>
    </row>
    <row r="38" spans="1:14" ht="12.75">
      <c r="A38" s="15" t="s">
        <v>74</v>
      </c>
      <c r="B38" s="16">
        <v>77</v>
      </c>
      <c r="C38" s="17">
        <f t="shared" si="0"/>
        <v>268.9</v>
      </c>
      <c r="D38" s="16">
        <v>252360</v>
      </c>
      <c r="E38" s="18">
        <v>248427</v>
      </c>
      <c r="F38" s="16">
        <v>152681</v>
      </c>
      <c r="G38" s="16">
        <v>11273</v>
      </c>
      <c r="H38" s="16">
        <v>28617</v>
      </c>
      <c r="I38" s="16">
        <v>3952</v>
      </c>
      <c r="J38" s="16">
        <v>15603</v>
      </c>
      <c r="K38" s="16">
        <v>0</v>
      </c>
      <c r="L38" s="16">
        <v>0</v>
      </c>
      <c r="M38" s="16">
        <v>0</v>
      </c>
      <c r="N38" s="16">
        <f t="shared" si="1"/>
        <v>36301</v>
      </c>
    </row>
    <row r="39" spans="1:14" ht="12.75">
      <c r="A39" s="15" t="s">
        <v>29</v>
      </c>
      <c r="B39" s="16">
        <v>84</v>
      </c>
      <c r="C39" s="17">
        <f>E39/B39/12</f>
        <v>191.7</v>
      </c>
      <c r="D39" s="16">
        <v>203104</v>
      </c>
      <c r="E39" s="18">
        <v>193193</v>
      </c>
      <c r="F39" s="16">
        <v>128918</v>
      </c>
      <c r="G39" s="16">
        <v>8685</v>
      </c>
      <c r="H39" s="16">
        <v>24542</v>
      </c>
      <c r="I39" s="16">
        <v>3171</v>
      </c>
      <c r="J39" s="16">
        <v>10759</v>
      </c>
      <c r="K39" s="16">
        <v>0</v>
      </c>
      <c r="L39" s="16">
        <v>0</v>
      </c>
      <c r="M39" s="16">
        <v>0</v>
      </c>
      <c r="N39" s="16">
        <f>E39-SUM(F39:M39)</f>
        <v>17118</v>
      </c>
    </row>
    <row r="40" spans="1:14" ht="12.75">
      <c r="A40" s="15" t="s">
        <v>102</v>
      </c>
      <c r="B40" s="16"/>
      <c r="C40" s="17"/>
      <c r="D40" s="16">
        <v>155453</v>
      </c>
      <c r="E40" s="18">
        <v>151965</v>
      </c>
      <c r="F40" s="16"/>
      <c r="G40" s="16"/>
      <c r="H40" s="16"/>
      <c r="I40" s="16"/>
      <c r="J40" s="16"/>
      <c r="K40" s="16"/>
      <c r="L40" s="16"/>
      <c r="M40" s="16"/>
      <c r="N40" s="16">
        <f t="shared" si="1"/>
        <v>151965</v>
      </c>
    </row>
    <row r="41" spans="1:14" s="22" customFormat="1" ht="12.75">
      <c r="A41" s="33" t="s">
        <v>116</v>
      </c>
      <c r="B41" s="19">
        <f>SUM(B33:B40)</f>
        <v>843</v>
      </c>
      <c r="C41" s="20">
        <f t="shared" si="0"/>
        <v>397.7</v>
      </c>
      <c r="D41" s="19">
        <f>SUM(D33:D40)</f>
        <v>4084975</v>
      </c>
      <c r="E41" s="21">
        <f>SUM(E33:E40)</f>
        <v>4023577</v>
      </c>
      <c r="F41" s="19">
        <f aca="true" t="shared" si="6" ref="F41:N41">SUM(F33:F40)</f>
        <v>2696086</v>
      </c>
      <c r="G41" s="19">
        <f t="shared" si="6"/>
        <v>211305</v>
      </c>
      <c r="H41" s="19">
        <f t="shared" si="6"/>
        <v>481601</v>
      </c>
      <c r="I41" s="19">
        <f t="shared" si="6"/>
        <v>66242</v>
      </c>
      <c r="J41" s="19">
        <f t="shared" si="6"/>
        <v>135954</v>
      </c>
      <c r="K41" s="19">
        <f t="shared" si="6"/>
        <v>250</v>
      </c>
      <c r="L41" s="19">
        <f t="shared" si="6"/>
        <v>0</v>
      </c>
      <c r="M41" s="19">
        <f t="shared" si="6"/>
        <v>0</v>
      </c>
      <c r="N41" s="19">
        <f t="shared" si="6"/>
        <v>432139</v>
      </c>
    </row>
    <row r="42" spans="1:14" s="27" customFormat="1" ht="14.25" customHeight="1">
      <c r="A42" s="15" t="s">
        <v>21</v>
      </c>
      <c r="B42" s="16">
        <v>560</v>
      </c>
      <c r="C42" s="17">
        <f t="shared" si="0"/>
        <v>394.6</v>
      </c>
      <c r="D42" s="16">
        <v>2694877</v>
      </c>
      <c r="E42" s="18">
        <v>2652047</v>
      </c>
      <c r="F42" s="16">
        <v>1733464</v>
      </c>
      <c r="G42" s="16">
        <v>134348</v>
      </c>
      <c r="H42" s="16">
        <v>304976</v>
      </c>
      <c r="I42" s="16">
        <v>42684</v>
      </c>
      <c r="J42" s="16">
        <v>141630</v>
      </c>
      <c r="K42" s="16">
        <v>110050</v>
      </c>
      <c r="L42" s="16">
        <v>0</v>
      </c>
      <c r="M42" s="16">
        <v>0</v>
      </c>
      <c r="N42" s="16">
        <f t="shared" si="1"/>
        <v>184895</v>
      </c>
    </row>
    <row r="43" spans="1:14" s="22" customFormat="1" ht="12.75">
      <c r="A43" s="15" t="s">
        <v>26</v>
      </c>
      <c r="B43" s="16">
        <v>400</v>
      </c>
      <c r="C43" s="17">
        <f t="shared" si="0"/>
        <v>314.3</v>
      </c>
      <c r="D43" s="18">
        <v>1529616</v>
      </c>
      <c r="E43" s="18">
        <f>1508705-4</f>
        <v>1508701</v>
      </c>
      <c r="F43" s="16">
        <v>1050678</v>
      </c>
      <c r="G43" s="16">
        <v>77974</v>
      </c>
      <c r="H43" s="16">
        <v>175189</v>
      </c>
      <c r="I43" s="16">
        <v>26564</v>
      </c>
      <c r="J43" s="16">
        <v>50824</v>
      </c>
      <c r="K43" s="16">
        <v>0</v>
      </c>
      <c r="L43" s="16">
        <v>0</v>
      </c>
      <c r="M43" s="16">
        <v>0</v>
      </c>
      <c r="N43" s="16">
        <f t="shared" si="1"/>
        <v>127472</v>
      </c>
    </row>
    <row r="44" spans="1:14" s="22" customFormat="1" ht="12.75">
      <c r="A44" s="15" t="s">
        <v>57</v>
      </c>
      <c r="B44" s="16">
        <v>528</v>
      </c>
      <c r="C44" s="17">
        <f t="shared" si="0"/>
        <v>498.6</v>
      </c>
      <c r="D44" s="16">
        <v>3196180</v>
      </c>
      <c r="E44" s="18">
        <v>3159011</v>
      </c>
      <c r="F44" s="16">
        <v>2080598</v>
      </c>
      <c r="G44" s="16">
        <v>153838</v>
      </c>
      <c r="H44" s="16">
        <v>348475</v>
      </c>
      <c r="I44" s="16">
        <v>52076</v>
      </c>
      <c r="J44" s="16">
        <v>234460</v>
      </c>
      <c r="K44" s="16">
        <v>89990</v>
      </c>
      <c r="L44" s="16">
        <v>0</v>
      </c>
      <c r="M44" s="16">
        <v>0</v>
      </c>
      <c r="N44" s="16">
        <f t="shared" si="1"/>
        <v>199574</v>
      </c>
    </row>
    <row r="45" spans="1:14" s="22" customFormat="1" ht="12.75">
      <c r="A45" s="15" t="s">
        <v>58</v>
      </c>
      <c r="B45" s="16">
        <v>671</v>
      </c>
      <c r="C45" s="17">
        <f t="shared" si="0"/>
        <v>425.6</v>
      </c>
      <c r="D45" s="16">
        <v>3464349</v>
      </c>
      <c r="E45" s="18">
        <v>3427011</v>
      </c>
      <c r="F45" s="16">
        <v>2165244</v>
      </c>
      <c r="G45" s="16">
        <v>166800</v>
      </c>
      <c r="H45" s="16">
        <v>395103</v>
      </c>
      <c r="I45" s="16">
        <v>54793</v>
      </c>
      <c r="J45" s="16">
        <v>107092</v>
      </c>
      <c r="K45" s="16">
        <v>243857</v>
      </c>
      <c r="L45" s="16">
        <v>0</v>
      </c>
      <c r="M45" s="16">
        <v>21287</v>
      </c>
      <c r="N45" s="16">
        <f t="shared" si="1"/>
        <v>272835</v>
      </c>
    </row>
    <row r="46" spans="1:14" s="27" customFormat="1" ht="13.5">
      <c r="A46" s="15" t="s">
        <v>27</v>
      </c>
      <c r="B46" s="16">
        <v>401</v>
      </c>
      <c r="C46" s="17">
        <f t="shared" si="0"/>
        <v>466.2</v>
      </c>
      <c r="D46" s="16">
        <v>2256437</v>
      </c>
      <c r="E46" s="18">
        <v>2243298</v>
      </c>
      <c r="F46" s="16">
        <v>1451279</v>
      </c>
      <c r="G46" s="16">
        <v>107355</v>
      </c>
      <c r="H46" s="16">
        <v>263435</v>
      </c>
      <c r="I46" s="16">
        <v>36059</v>
      </c>
      <c r="J46" s="16">
        <v>235471</v>
      </c>
      <c r="K46" s="16">
        <v>1600</v>
      </c>
      <c r="L46" s="16">
        <v>0</v>
      </c>
      <c r="M46" s="16">
        <v>0</v>
      </c>
      <c r="N46" s="16">
        <f t="shared" si="1"/>
        <v>148099</v>
      </c>
    </row>
    <row r="47" spans="1:14" s="22" customFormat="1" ht="12.75">
      <c r="A47" s="15" t="s">
        <v>61</v>
      </c>
      <c r="B47" s="16">
        <v>224</v>
      </c>
      <c r="C47" s="17">
        <f t="shared" si="0"/>
        <v>804.9</v>
      </c>
      <c r="D47" s="16">
        <v>2174971</v>
      </c>
      <c r="E47" s="18">
        <v>2163654</v>
      </c>
      <c r="F47" s="16">
        <v>1250874</v>
      </c>
      <c r="G47" s="16">
        <v>109109</v>
      </c>
      <c r="H47" s="16">
        <v>215193</v>
      </c>
      <c r="I47" s="16">
        <v>29223</v>
      </c>
      <c r="J47" s="16">
        <v>174928</v>
      </c>
      <c r="K47" s="16">
        <v>253600</v>
      </c>
      <c r="L47" s="16">
        <v>0</v>
      </c>
      <c r="M47" s="16">
        <v>0</v>
      </c>
      <c r="N47" s="16">
        <f t="shared" si="1"/>
        <v>130727</v>
      </c>
    </row>
    <row r="48" spans="1:14" s="22" customFormat="1" ht="12.75">
      <c r="A48" s="15" t="s">
        <v>28</v>
      </c>
      <c r="B48" s="16">
        <v>451</v>
      </c>
      <c r="C48" s="17">
        <f t="shared" si="0"/>
        <v>400.8</v>
      </c>
      <c r="D48" s="16">
        <v>2174550</v>
      </c>
      <c r="E48" s="18">
        <v>2169392</v>
      </c>
      <c r="F48" s="16">
        <v>1392460</v>
      </c>
      <c r="G48" s="16">
        <v>115655</v>
      </c>
      <c r="H48" s="16">
        <v>260252</v>
      </c>
      <c r="I48" s="16">
        <v>35650</v>
      </c>
      <c r="J48" s="16">
        <v>115418</v>
      </c>
      <c r="K48" s="16">
        <v>550</v>
      </c>
      <c r="L48" s="16">
        <v>79997</v>
      </c>
      <c r="M48" s="16">
        <v>0</v>
      </c>
      <c r="N48" s="16">
        <f t="shared" si="1"/>
        <v>169410</v>
      </c>
    </row>
    <row r="49" spans="1:14" s="22" customFormat="1" ht="12.75">
      <c r="A49" s="15" t="s">
        <v>29</v>
      </c>
      <c r="B49" s="16">
        <v>260</v>
      </c>
      <c r="C49" s="17">
        <f t="shared" si="0"/>
        <v>412.2</v>
      </c>
      <c r="D49" s="16">
        <v>1306451</v>
      </c>
      <c r="E49" s="18">
        <v>1286001</v>
      </c>
      <c r="F49" s="16">
        <v>862133</v>
      </c>
      <c r="G49" s="16">
        <v>78214</v>
      </c>
      <c r="H49" s="16">
        <v>157179</v>
      </c>
      <c r="I49" s="16">
        <v>22110</v>
      </c>
      <c r="J49" s="16">
        <v>93956</v>
      </c>
      <c r="K49" s="16">
        <v>2000</v>
      </c>
      <c r="L49" s="16">
        <v>0</v>
      </c>
      <c r="M49" s="16">
        <v>0</v>
      </c>
      <c r="N49" s="16">
        <f t="shared" si="1"/>
        <v>70409</v>
      </c>
    </row>
    <row r="50" spans="1:14" s="22" customFormat="1" ht="12.75">
      <c r="A50" s="15" t="s">
        <v>30</v>
      </c>
      <c r="B50" s="16">
        <v>470</v>
      </c>
      <c r="C50" s="17">
        <f t="shared" si="0"/>
        <v>421.2</v>
      </c>
      <c r="D50" s="16">
        <v>2444518</v>
      </c>
      <c r="E50" s="18">
        <v>2375546</v>
      </c>
      <c r="F50" s="16">
        <v>1595170</v>
      </c>
      <c r="G50" s="16">
        <v>129229</v>
      </c>
      <c r="H50" s="16">
        <v>277879</v>
      </c>
      <c r="I50" s="16">
        <v>38836</v>
      </c>
      <c r="J50" s="16">
        <v>140545</v>
      </c>
      <c r="K50" s="16">
        <v>0</v>
      </c>
      <c r="L50" s="16">
        <v>0</v>
      </c>
      <c r="M50" s="16">
        <v>0</v>
      </c>
      <c r="N50" s="16">
        <f t="shared" si="1"/>
        <v>193887</v>
      </c>
    </row>
    <row r="51" spans="1:14" s="22" customFormat="1" ht="12.75">
      <c r="A51" s="15" t="s">
        <v>24</v>
      </c>
      <c r="B51" s="16">
        <v>185</v>
      </c>
      <c r="C51" s="17">
        <f t="shared" si="0"/>
        <v>283.7</v>
      </c>
      <c r="D51" s="16">
        <v>653617</v>
      </c>
      <c r="E51" s="18">
        <v>629839</v>
      </c>
      <c r="F51" s="16">
        <v>446926</v>
      </c>
      <c r="G51" s="16">
        <v>29886</v>
      </c>
      <c r="H51" s="16">
        <v>70137</v>
      </c>
      <c r="I51" s="16">
        <v>9968</v>
      </c>
      <c r="J51" s="16">
        <v>22913</v>
      </c>
      <c r="K51" s="16">
        <v>0</v>
      </c>
      <c r="L51" s="16">
        <v>0</v>
      </c>
      <c r="M51" s="16">
        <v>0</v>
      </c>
      <c r="N51" s="16">
        <f t="shared" si="1"/>
        <v>50009</v>
      </c>
    </row>
    <row r="52" spans="1:14" s="22" customFormat="1" ht="12.75">
      <c r="A52" s="15" t="s">
        <v>60</v>
      </c>
      <c r="B52" s="16">
        <v>433</v>
      </c>
      <c r="C52" s="17">
        <f>E52/B52/12</f>
        <v>375.5</v>
      </c>
      <c r="D52" s="16">
        <v>2021984</v>
      </c>
      <c r="E52" s="18">
        <v>1951224</v>
      </c>
      <c r="F52" s="16">
        <v>1357885</v>
      </c>
      <c r="G52" s="16">
        <v>102886</v>
      </c>
      <c r="H52" s="16">
        <v>247453</v>
      </c>
      <c r="I52" s="16">
        <v>34143</v>
      </c>
      <c r="J52" s="16">
        <v>67706</v>
      </c>
      <c r="K52" s="16">
        <v>10894</v>
      </c>
      <c r="L52" s="16">
        <v>0</v>
      </c>
      <c r="M52" s="16">
        <v>0</v>
      </c>
      <c r="N52" s="16">
        <f>E52-SUM(F52:M52)</f>
        <v>130257</v>
      </c>
    </row>
    <row r="53" spans="1:14" s="22" customFormat="1" ht="12.75">
      <c r="A53" s="15" t="s">
        <v>102</v>
      </c>
      <c r="B53" s="16"/>
      <c r="C53" s="17"/>
      <c r="D53" s="16">
        <f>1684569+2931</f>
        <v>1687500</v>
      </c>
      <c r="E53" s="18">
        <f>1684569+2894</f>
        <v>1687463</v>
      </c>
      <c r="F53" s="16"/>
      <c r="G53" s="16"/>
      <c r="H53" s="16"/>
      <c r="I53" s="16"/>
      <c r="J53" s="16"/>
      <c r="K53" s="16"/>
      <c r="L53" s="16"/>
      <c r="M53" s="16"/>
      <c r="N53" s="16">
        <f>E53-SUM(F53:M53)</f>
        <v>1687463</v>
      </c>
    </row>
    <row r="54" spans="1:14" s="22" customFormat="1" ht="12.75">
      <c r="A54" s="15" t="s">
        <v>100</v>
      </c>
      <c r="B54" s="16"/>
      <c r="C54" s="17"/>
      <c r="D54" s="16">
        <f>400+3003+6455</f>
        <v>9858</v>
      </c>
      <c r="E54" s="18">
        <f>133+5297</f>
        <v>5430</v>
      </c>
      <c r="F54" s="16"/>
      <c r="G54" s="16"/>
      <c r="H54" s="16"/>
      <c r="I54" s="16"/>
      <c r="J54" s="16"/>
      <c r="K54" s="16"/>
      <c r="L54" s="16"/>
      <c r="M54" s="16"/>
      <c r="N54" s="16">
        <f>E54-SUM(F54:M54)</f>
        <v>5430</v>
      </c>
    </row>
    <row r="55" spans="1:14" s="22" customFormat="1" ht="12.75">
      <c r="A55" s="15" t="s">
        <v>103</v>
      </c>
      <c r="B55" s="16"/>
      <c r="C55" s="17"/>
      <c r="D55" s="16">
        <v>40000</v>
      </c>
      <c r="E55" s="18">
        <v>39981</v>
      </c>
      <c r="F55" s="16"/>
      <c r="G55" s="16"/>
      <c r="H55" s="16"/>
      <c r="I55" s="16"/>
      <c r="J55" s="16"/>
      <c r="K55" s="16"/>
      <c r="L55" s="16"/>
      <c r="M55" s="16"/>
      <c r="N55" s="16">
        <f t="shared" si="1"/>
        <v>39981</v>
      </c>
    </row>
    <row r="56" spans="1:14" s="22" customFormat="1" ht="12.75">
      <c r="A56" s="33" t="s">
        <v>117</v>
      </c>
      <c r="B56" s="19">
        <f>SUM(B42:B55)</f>
        <v>4583</v>
      </c>
      <c r="C56" s="20">
        <f t="shared" si="0"/>
        <v>460</v>
      </c>
      <c r="D56" s="19">
        <f>SUM(D42:D55)</f>
        <v>25654908</v>
      </c>
      <c r="E56" s="21">
        <f>SUM(E42:E55)</f>
        <v>25298598</v>
      </c>
      <c r="F56" s="19">
        <f aca="true" t="shared" si="7" ref="F56:N56">SUM(F42:F55)</f>
        <v>15386711</v>
      </c>
      <c r="G56" s="19">
        <f t="shared" si="7"/>
        <v>1205294</v>
      </c>
      <c r="H56" s="19">
        <f t="shared" si="7"/>
        <v>2715271</v>
      </c>
      <c r="I56" s="19">
        <f t="shared" si="7"/>
        <v>382106</v>
      </c>
      <c r="J56" s="19">
        <f t="shared" si="7"/>
        <v>1384943</v>
      </c>
      <c r="K56" s="19">
        <f t="shared" si="7"/>
        <v>712541</v>
      </c>
      <c r="L56" s="19">
        <f t="shared" si="7"/>
        <v>79997</v>
      </c>
      <c r="M56" s="19">
        <f t="shared" si="7"/>
        <v>21287</v>
      </c>
      <c r="N56" s="19">
        <f t="shared" si="7"/>
        <v>3410448</v>
      </c>
    </row>
    <row r="57" spans="1:14" s="22" customFormat="1" ht="12" customHeight="1">
      <c r="A57" s="33" t="s">
        <v>118</v>
      </c>
      <c r="B57" s="19">
        <v>262</v>
      </c>
      <c r="C57" s="20">
        <f t="shared" si="0"/>
        <v>568.3</v>
      </c>
      <c r="D57" s="19">
        <v>1845070</v>
      </c>
      <c r="E57" s="21">
        <v>1786875</v>
      </c>
      <c r="F57" s="19">
        <v>1238579</v>
      </c>
      <c r="G57" s="19">
        <v>96115</v>
      </c>
      <c r="H57" s="19">
        <v>226430</v>
      </c>
      <c r="I57" s="19">
        <v>31087</v>
      </c>
      <c r="J57" s="19">
        <v>40423</v>
      </c>
      <c r="K57" s="19">
        <v>40630</v>
      </c>
      <c r="L57" s="19">
        <v>0</v>
      </c>
      <c r="M57" s="19">
        <v>0</v>
      </c>
      <c r="N57" s="19">
        <f t="shared" si="1"/>
        <v>113611</v>
      </c>
    </row>
    <row r="58" spans="1:14" s="28" customFormat="1" ht="12.75">
      <c r="A58" s="26" t="s">
        <v>75</v>
      </c>
      <c r="B58" s="16">
        <v>27</v>
      </c>
      <c r="C58" s="17">
        <f t="shared" si="0"/>
        <v>1193.8</v>
      </c>
      <c r="D58" s="16">
        <v>387156</v>
      </c>
      <c r="E58" s="18">
        <v>386807</v>
      </c>
      <c r="F58" s="16">
        <v>294815</v>
      </c>
      <c r="G58" s="16">
        <v>12306</v>
      </c>
      <c r="H58" s="16">
        <v>52684</v>
      </c>
      <c r="I58" s="16">
        <v>7553</v>
      </c>
      <c r="J58" s="16">
        <v>0</v>
      </c>
      <c r="K58" s="16">
        <v>0</v>
      </c>
      <c r="L58" s="16">
        <v>0</v>
      </c>
      <c r="M58" s="16">
        <v>0</v>
      </c>
      <c r="N58" s="16">
        <f t="shared" si="1"/>
        <v>19449</v>
      </c>
    </row>
    <row r="59" spans="1:14" s="27" customFormat="1" ht="13.5">
      <c r="A59" s="26" t="s">
        <v>76</v>
      </c>
      <c r="B59" s="16">
        <v>23</v>
      </c>
      <c r="C59" s="17">
        <f t="shared" si="0"/>
        <v>1242.2</v>
      </c>
      <c r="D59" s="16">
        <v>349416</v>
      </c>
      <c r="E59" s="18">
        <v>342849</v>
      </c>
      <c r="F59" s="16">
        <v>265735</v>
      </c>
      <c r="G59" s="16">
        <v>12577</v>
      </c>
      <c r="H59" s="16">
        <v>44066</v>
      </c>
      <c r="I59" s="16">
        <v>6094</v>
      </c>
      <c r="J59" s="16">
        <v>377</v>
      </c>
      <c r="K59" s="16">
        <v>0</v>
      </c>
      <c r="L59" s="16">
        <v>0</v>
      </c>
      <c r="M59" s="16">
        <v>0</v>
      </c>
      <c r="N59" s="16">
        <f t="shared" si="1"/>
        <v>14000</v>
      </c>
    </row>
    <row r="60" spans="1:14" s="27" customFormat="1" ht="13.5">
      <c r="A60" s="26" t="s">
        <v>77</v>
      </c>
      <c r="B60" s="16">
        <v>46</v>
      </c>
      <c r="C60" s="17">
        <f>E60/B60/12</f>
        <v>1909.5</v>
      </c>
      <c r="D60" s="16">
        <v>1071954</v>
      </c>
      <c r="E60" s="18">
        <v>1054035</v>
      </c>
      <c r="F60" s="16">
        <v>731575</v>
      </c>
      <c r="G60" s="16">
        <v>67013</v>
      </c>
      <c r="H60" s="16">
        <v>130960</v>
      </c>
      <c r="I60" s="16">
        <v>18164</v>
      </c>
      <c r="J60" s="16">
        <v>63703</v>
      </c>
      <c r="K60" s="16">
        <v>0</v>
      </c>
      <c r="L60" s="16">
        <v>0</v>
      </c>
      <c r="M60" s="16">
        <v>0</v>
      </c>
      <c r="N60" s="16">
        <f>E60-SUM(F60:M60)</f>
        <v>42620</v>
      </c>
    </row>
    <row r="61" spans="1:14" s="27" customFormat="1" ht="13.5">
      <c r="A61" s="15" t="s">
        <v>103</v>
      </c>
      <c r="B61" s="16"/>
      <c r="C61" s="17"/>
      <c r="D61" s="16">
        <v>252000</v>
      </c>
      <c r="E61" s="18">
        <v>106013</v>
      </c>
      <c r="F61" s="16"/>
      <c r="G61" s="16"/>
      <c r="H61" s="16"/>
      <c r="I61" s="16"/>
      <c r="J61" s="16"/>
      <c r="K61" s="16">
        <v>106013</v>
      </c>
      <c r="L61" s="16"/>
      <c r="M61" s="16"/>
      <c r="N61" s="16">
        <f t="shared" si="1"/>
        <v>0</v>
      </c>
    </row>
    <row r="62" spans="1:14" s="27" customFormat="1" ht="13.5">
      <c r="A62" s="33" t="s">
        <v>107</v>
      </c>
      <c r="B62" s="19">
        <f>SUM(B58:B61)</f>
        <v>96</v>
      </c>
      <c r="C62" s="20">
        <f t="shared" si="0"/>
        <v>1640.4</v>
      </c>
      <c r="D62" s="19">
        <f>SUM(D58:D61)</f>
        <v>2060526</v>
      </c>
      <c r="E62" s="21">
        <f>SUM(E58:E61)</f>
        <v>1889704</v>
      </c>
      <c r="F62" s="19">
        <f aca="true" t="shared" si="8" ref="F62:N62">SUM(F58:F61)</f>
        <v>1292125</v>
      </c>
      <c r="G62" s="19">
        <f t="shared" si="8"/>
        <v>91896</v>
      </c>
      <c r="H62" s="19">
        <f t="shared" si="8"/>
        <v>227710</v>
      </c>
      <c r="I62" s="19">
        <f t="shared" si="8"/>
        <v>31811</v>
      </c>
      <c r="J62" s="19">
        <f t="shared" si="8"/>
        <v>64080</v>
      </c>
      <c r="K62" s="19">
        <f t="shared" si="8"/>
        <v>106013</v>
      </c>
      <c r="L62" s="19">
        <f t="shared" si="8"/>
        <v>0</v>
      </c>
      <c r="M62" s="19">
        <f t="shared" si="8"/>
        <v>0</v>
      </c>
      <c r="N62" s="19">
        <f t="shared" si="8"/>
        <v>76069</v>
      </c>
    </row>
    <row r="63" spans="1:14" s="27" customFormat="1" ht="24">
      <c r="A63" s="80" t="s">
        <v>119</v>
      </c>
      <c r="B63" s="19">
        <v>22</v>
      </c>
      <c r="C63" s="20">
        <f t="shared" si="0"/>
        <v>326.9</v>
      </c>
      <c r="D63" s="19">
        <v>91383</v>
      </c>
      <c r="E63" s="21">
        <v>86289</v>
      </c>
      <c r="F63" s="19">
        <v>41563</v>
      </c>
      <c r="G63" s="19">
        <v>6405</v>
      </c>
      <c r="H63" s="19">
        <v>8490</v>
      </c>
      <c r="I63" s="19">
        <v>1126</v>
      </c>
      <c r="J63" s="19">
        <v>20800</v>
      </c>
      <c r="K63" s="19">
        <v>0</v>
      </c>
      <c r="L63" s="19">
        <v>0</v>
      </c>
      <c r="M63" s="19">
        <v>0</v>
      </c>
      <c r="N63" s="19">
        <f t="shared" si="1"/>
        <v>7905</v>
      </c>
    </row>
    <row r="64" spans="1:14" s="27" customFormat="1" ht="14.25" customHeight="1">
      <c r="A64" s="80" t="s">
        <v>80</v>
      </c>
      <c r="B64" s="19">
        <v>0</v>
      </c>
      <c r="C64" s="20"/>
      <c r="D64" s="19">
        <v>551247</v>
      </c>
      <c r="E64" s="21">
        <v>538634</v>
      </c>
      <c r="F64" s="19">
        <v>306920</v>
      </c>
      <c r="G64" s="19">
        <v>23249</v>
      </c>
      <c r="H64" s="19">
        <v>56653</v>
      </c>
      <c r="I64" s="19">
        <v>7863</v>
      </c>
      <c r="J64" s="19">
        <v>3575</v>
      </c>
      <c r="K64" s="19">
        <v>1007</v>
      </c>
      <c r="L64" s="19">
        <v>0</v>
      </c>
      <c r="M64" s="19">
        <v>0</v>
      </c>
      <c r="N64" s="19">
        <f t="shared" si="1"/>
        <v>139367</v>
      </c>
    </row>
    <row r="65" spans="1:14" s="27" customFormat="1" ht="13.5">
      <c r="A65" s="26" t="s">
        <v>31</v>
      </c>
      <c r="B65" s="16">
        <v>24</v>
      </c>
      <c r="C65" s="17">
        <f t="shared" si="0"/>
        <v>2576.1</v>
      </c>
      <c r="D65" s="16">
        <v>759000</v>
      </c>
      <c r="E65" s="18">
        <v>741914</v>
      </c>
      <c r="F65" s="16">
        <v>404900</v>
      </c>
      <c r="G65" s="16">
        <v>31013</v>
      </c>
      <c r="H65" s="16">
        <v>73577</v>
      </c>
      <c r="I65" s="16">
        <v>10361</v>
      </c>
      <c r="J65" s="16">
        <v>57241</v>
      </c>
      <c r="K65" s="16">
        <v>68175</v>
      </c>
      <c r="L65" s="16">
        <v>0</v>
      </c>
      <c r="M65" s="16">
        <v>4026</v>
      </c>
      <c r="N65" s="16">
        <f t="shared" si="1"/>
        <v>92621</v>
      </c>
    </row>
    <row r="66" spans="1:14" ht="12.75">
      <c r="A66" s="26" t="s">
        <v>32</v>
      </c>
      <c r="B66" s="16">
        <v>16</v>
      </c>
      <c r="C66" s="17">
        <f>E66/B66/12</f>
        <v>3513.9</v>
      </c>
      <c r="D66" s="16">
        <v>702074</v>
      </c>
      <c r="E66" s="18">
        <v>674677</v>
      </c>
      <c r="F66" s="16">
        <v>407754</v>
      </c>
      <c r="G66" s="16">
        <v>36521</v>
      </c>
      <c r="H66" s="16">
        <v>70388</v>
      </c>
      <c r="I66" s="16">
        <v>9775</v>
      </c>
      <c r="J66" s="16">
        <v>73686</v>
      </c>
      <c r="K66" s="16">
        <v>580</v>
      </c>
      <c r="L66" s="16">
        <v>0</v>
      </c>
      <c r="M66" s="16">
        <v>0</v>
      </c>
      <c r="N66" s="16">
        <f>E66-SUM(F66:M66)</f>
        <v>75973</v>
      </c>
    </row>
    <row r="67" spans="1:14" ht="12.75">
      <c r="A67" s="15" t="s">
        <v>100</v>
      </c>
      <c r="B67" s="16"/>
      <c r="C67" s="17"/>
      <c r="D67" s="16">
        <f>1529+190000+71388</f>
        <v>262917</v>
      </c>
      <c r="E67" s="18">
        <v>235767</v>
      </c>
      <c r="F67" s="16"/>
      <c r="G67" s="16"/>
      <c r="H67" s="16"/>
      <c r="I67" s="16"/>
      <c r="J67" s="16"/>
      <c r="K67" s="16">
        <f>235767-63330</f>
        <v>172437</v>
      </c>
      <c r="L67" s="16"/>
      <c r="M67" s="16"/>
      <c r="N67" s="16">
        <f>E67-SUM(F67:M67)</f>
        <v>63330</v>
      </c>
    </row>
    <row r="68" spans="1:14" ht="12.75">
      <c r="A68" s="15" t="s">
        <v>103</v>
      </c>
      <c r="B68" s="16"/>
      <c r="C68" s="17"/>
      <c r="D68" s="16">
        <f>187471</f>
        <v>187471</v>
      </c>
      <c r="E68" s="18">
        <v>176656</v>
      </c>
      <c r="F68" s="16"/>
      <c r="G68" s="16"/>
      <c r="H68" s="16"/>
      <c r="I68" s="16"/>
      <c r="J68" s="16"/>
      <c r="K68" s="16"/>
      <c r="L68" s="16"/>
      <c r="M68" s="16">
        <v>176656</v>
      </c>
      <c r="N68" s="16">
        <f t="shared" si="1"/>
        <v>0</v>
      </c>
    </row>
    <row r="69" spans="1:14" ht="12.75">
      <c r="A69" s="33" t="s">
        <v>33</v>
      </c>
      <c r="B69" s="19">
        <f>B65+B68</f>
        <v>24</v>
      </c>
      <c r="C69" s="20">
        <f t="shared" si="0"/>
        <v>6350.7</v>
      </c>
      <c r="D69" s="19">
        <f>SUM(D65:D68)</f>
        <v>1911462</v>
      </c>
      <c r="E69" s="21">
        <f>SUM(E65:E68)</f>
        <v>1829014</v>
      </c>
      <c r="F69" s="19">
        <f aca="true" t="shared" si="9" ref="F69:N69">SUM(F65:F68)</f>
        <v>812654</v>
      </c>
      <c r="G69" s="19">
        <f t="shared" si="9"/>
        <v>67534</v>
      </c>
      <c r="H69" s="19">
        <f t="shared" si="9"/>
        <v>143965</v>
      </c>
      <c r="I69" s="19">
        <f t="shared" si="9"/>
        <v>20136</v>
      </c>
      <c r="J69" s="19">
        <f t="shared" si="9"/>
        <v>130927</v>
      </c>
      <c r="K69" s="19">
        <f t="shared" si="9"/>
        <v>241192</v>
      </c>
      <c r="L69" s="19">
        <f t="shared" si="9"/>
        <v>0</v>
      </c>
      <c r="M69" s="19">
        <f t="shared" si="9"/>
        <v>180682</v>
      </c>
      <c r="N69" s="19">
        <f t="shared" si="9"/>
        <v>231924</v>
      </c>
    </row>
    <row r="70" spans="1:14" ht="12.75">
      <c r="A70" s="26" t="s">
        <v>34</v>
      </c>
      <c r="B70" s="16">
        <v>5630</v>
      </c>
      <c r="C70" s="17">
        <f t="shared" si="0"/>
        <v>14.7</v>
      </c>
      <c r="D70" s="16">
        <v>993935</v>
      </c>
      <c r="E70" s="18">
        <v>993399</v>
      </c>
      <c r="F70" s="16">
        <v>700292</v>
      </c>
      <c r="G70" s="16">
        <v>54703</v>
      </c>
      <c r="H70" s="16">
        <v>125877</v>
      </c>
      <c r="I70" s="16">
        <v>17782</v>
      </c>
      <c r="J70" s="16">
        <v>7220</v>
      </c>
      <c r="K70" s="16">
        <v>201</v>
      </c>
      <c r="L70" s="16">
        <v>0</v>
      </c>
      <c r="M70" s="16">
        <v>0</v>
      </c>
      <c r="N70" s="16">
        <f t="shared" si="1"/>
        <v>87324</v>
      </c>
    </row>
    <row r="71" spans="1:14" ht="12.75">
      <c r="A71" s="26" t="s">
        <v>35</v>
      </c>
      <c r="B71" s="16">
        <v>7965</v>
      </c>
      <c r="C71" s="17">
        <f t="shared" si="0"/>
        <v>10.5</v>
      </c>
      <c r="D71" s="16">
        <v>1021035</v>
      </c>
      <c r="E71" s="18">
        <v>1004782</v>
      </c>
      <c r="F71" s="16">
        <v>664516</v>
      </c>
      <c r="G71" s="16">
        <v>51328</v>
      </c>
      <c r="H71" s="16">
        <v>124032</v>
      </c>
      <c r="I71" s="16">
        <v>17242</v>
      </c>
      <c r="J71" s="16">
        <v>25436</v>
      </c>
      <c r="K71" s="16">
        <v>25573</v>
      </c>
      <c r="L71" s="16">
        <v>0</v>
      </c>
      <c r="M71" s="16">
        <v>0</v>
      </c>
      <c r="N71" s="16">
        <f t="shared" si="1"/>
        <v>96655</v>
      </c>
    </row>
    <row r="72" spans="1:14" ht="12.75">
      <c r="A72" s="26" t="s">
        <v>36</v>
      </c>
      <c r="B72" s="16">
        <v>3954</v>
      </c>
      <c r="C72" s="17">
        <f t="shared" si="0"/>
        <v>18.3</v>
      </c>
      <c r="D72" s="16">
        <v>868538</v>
      </c>
      <c r="E72" s="18">
        <v>867936</v>
      </c>
      <c r="F72" s="16">
        <v>592851</v>
      </c>
      <c r="G72" s="16">
        <v>43284</v>
      </c>
      <c r="H72" s="16">
        <v>105646</v>
      </c>
      <c r="I72" s="16">
        <v>14679</v>
      </c>
      <c r="J72" s="16">
        <v>11360</v>
      </c>
      <c r="K72" s="16">
        <v>92</v>
      </c>
      <c r="L72" s="16">
        <v>0</v>
      </c>
      <c r="M72" s="16">
        <v>11589</v>
      </c>
      <c r="N72" s="16">
        <f t="shared" si="1"/>
        <v>88435</v>
      </c>
    </row>
    <row r="73" spans="1:14" ht="12.75">
      <c r="A73" s="33" t="s">
        <v>37</v>
      </c>
      <c r="B73" s="19">
        <f>SUM(B70:B72)</f>
        <v>17549</v>
      </c>
      <c r="C73" s="20">
        <f t="shared" si="0"/>
        <v>13.6</v>
      </c>
      <c r="D73" s="19">
        <f>SUM(D70:D72)</f>
        <v>2883508</v>
      </c>
      <c r="E73" s="21">
        <f>SUM(E70:E72)</f>
        <v>2866117</v>
      </c>
      <c r="F73" s="19">
        <f aca="true" t="shared" si="10" ref="F73:N73">SUM(F70:F72)</f>
        <v>1957659</v>
      </c>
      <c r="G73" s="19">
        <f t="shared" si="10"/>
        <v>149315</v>
      </c>
      <c r="H73" s="19">
        <f t="shared" si="10"/>
        <v>355555</v>
      </c>
      <c r="I73" s="19">
        <f t="shared" si="10"/>
        <v>49703</v>
      </c>
      <c r="J73" s="19">
        <f t="shared" si="10"/>
        <v>44016</v>
      </c>
      <c r="K73" s="19">
        <f t="shared" si="10"/>
        <v>25866</v>
      </c>
      <c r="L73" s="19">
        <f t="shared" si="10"/>
        <v>0</v>
      </c>
      <c r="M73" s="19">
        <f t="shared" si="10"/>
        <v>11589</v>
      </c>
      <c r="N73" s="19">
        <f t="shared" si="10"/>
        <v>272414</v>
      </c>
    </row>
    <row r="74" spans="1:14" s="22" customFormat="1" ht="12.75">
      <c r="A74" s="33" t="s">
        <v>108</v>
      </c>
      <c r="B74" s="19">
        <v>751</v>
      </c>
      <c r="C74" s="20">
        <f t="shared" si="0"/>
        <v>102.5</v>
      </c>
      <c r="D74" s="19">
        <v>926149</v>
      </c>
      <c r="E74" s="21">
        <v>924160</v>
      </c>
      <c r="F74" s="19">
        <v>611144</v>
      </c>
      <c r="G74" s="19">
        <v>48300</v>
      </c>
      <c r="H74" s="19">
        <v>109841</v>
      </c>
      <c r="I74" s="19">
        <v>15748</v>
      </c>
      <c r="J74" s="19">
        <v>45838</v>
      </c>
      <c r="K74" s="19">
        <v>0</v>
      </c>
      <c r="L74" s="19">
        <v>0</v>
      </c>
      <c r="M74" s="19">
        <v>0</v>
      </c>
      <c r="N74" s="19">
        <f t="shared" si="1"/>
        <v>93289</v>
      </c>
    </row>
    <row r="75" spans="1:14" ht="12.75">
      <c r="A75" s="26" t="s">
        <v>2</v>
      </c>
      <c r="B75" s="16">
        <v>132</v>
      </c>
      <c r="C75" s="17">
        <f t="shared" si="0"/>
        <v>505.7</v>
      </c>
      <c r="D75" s="16">
        <v>818933</v>
      </c>
      <c r="E75" s="18">
        <v>801100</v>
      </c>
      <c r="F75" s="16">
        <v>478124</v>
      </c>
      <c r="G75" s="16">
        <v>32121</v>
      </c>
      <c r="H75" s="16">
        <v>80697</v>
      </c>
      <c r="I75" s="16">
        <v>10890</v>
      </c>
      <c r="J75" s="16">
        <v>141462</v>
      </c>
      <c r="K75" s="16">
        <v>0</v>
      </c>
      <c r="L75" s="16">
        <v>0</v>
      </c>
      <c r="M75" s="16">
        <v>0</v>
      </c>
      <c r="N75" s="16">
        <f t="shared" si="1"/>
        <v>57806</v>
      </c>
    </row>
    <row r="76" spans="1:14" ht="12.75">
      <c r="A76" s="26" t="s">
        <v>26</v>
      </c>
      <c r="B76" s="16">
        <v>87</v>
      </c>
      <c r="C76" s="17">
        <f t="shared" si="0"/>
        <v>650.2</v>
      </c>
      <c r="D76" s="16">
        <v>683083</v>
      </c>
      <c r="E76" s="18">
        <v>678810</v>
      </c>
      <c r="F76" s="16">
        <v>439470</v>
      </c>
      <c r="G76" s="16">
        <v>28589</v>
      </c>
      <c r="H76" s="16">
        <v>69894</v>
      </c>
      <c r="I76" s="16">
        <v>10659</v>
      </c>
      <c r="J76" s="16">
        <v>101335</v>
      </c>
      <c r="K76" s="16">
        <v>0</v>
      </c>
      <c r="L76" s="16">
        <v>0</v>
      </c>
      <c r="M76" s="16">
        <v>0</v>
      </c>
      <c r="N76" s="16">
        <f t="shared" si="1"/>
        <v>28863</v>
      </c>
    </row>
    <row r="77" spans="1:14" ht="12.75">
      <c r="A77" s="33" t="s">
        <v>120</v>
      </c>
      <c r="B77" s="19">
        <f aca="true" t="shared" si="11" ref="B77:J77">SUM(B75:B76)</f>
        <v>219</v>
      </c>
      <c r="C77" s="20">
        <f t="shared" si="0"/>
        <v>563.1</v>
      </c>
      <c r="D77" s="19">
        <f t="shared" si="11"/>
        <v>1502016</v>
      </c>
      <c r="E77" s="21">
        <f t="shared" si="11"/>
        <v>1479910</v>
      </c>
      <c r="F77" s="19">
        <f t="shared" si="11"/>
        <v>917594</v>
      </c>
      <c r="G77" s="19">
        <f t="shared" si="11"/>
        <v>60710</v>
      </c>
      <c r="H77" s="19">
        <f t="shared" si="11"/>
        <v>150591</v>
      </c>
      <c r="I77" s="19">
        <f t="shared" si="11"/>
        <v>21549</v>
      </c>
      <c r="J77" s="19">
        <f t="shared" si="11"/>
        <v>242797</v>
      </c>
      <c r="K77" s="19">
        <f>SUM(K75:K76)</f>
        <v>0</v>
      </c>
      <c r="L77" s="19">
        <f>SUM(L75:L76)</f>
        <v>0</v>
      </c>
      <c r="M77" s="19">
        <f>SUM(M75:M76)</f>
        <v>0</v>
      </c>
      <c r="N77" s="19">
        <f>SUM(N75:N76)</f>
        <v>86669</v>
      </c>
    </row>
    <row r="78" spans="1:14" ht="12.75" customHeight="1">
      <c r="A78" s="80" t="s">
        <v>121</v>
      </c>
      <c r="B78" s="19"/>
      <c r="C78" s="20"/>
      <c r="D78" s="19">
        <v>355479</v>
      </c>
      <c r="E78" s="21">
        <v>353911</v>
      </c>
      <c r="F78" s="19">
        <v>265900</v>
      </c>
      <c r="G78" s="19">
        <v>18813</v>
      </c>
      <c r="H78" s="19">
        <v>47691</v>
      </c>
      <c r="I78" s="19">
        <v>6714</v>
      </c>
      <c r="J78" s="19">
        <v>500</v>
      </c>
      <c r="K78" s="19">
        <v>0</v>
      </c>
      <c r="L78" s="19">
        <v>0</v>
      </c>
      <c r="M78" s="19">
        <v>0</v>
      </c>
      <c r="N78" s="19">
        <f>E78-SUM(F78:M78)</f>
        <v>14293</v>
      </c>
    </row>
    <row r="79" spans="1:14" ht="12.75">
      <c r="A79" s="10"/>
      <c r="F79" s="29"/>
      <c r="G79" s="29"/>
      <c r="H79" s="29"/>
      <c r="I79" s="29"/>
      <c r="J79" s="29"/>
      <c r="K79" s="29"/>
      <c r="L79" s="29"/>
      <c r="M79" s="29"/>
      <c r="N79" s="29"/>
    </row>
    <row r="80" spans="1:14" ht="12.75">
      <c r="A80" s="10"/>
      <c r="F80" s="29"/>
      <c r="G80" s="29"/>
      <c r="H80" s="29"/>
      <c r="I80" s="29"/>
      <c r="J80" s="29"/>
      <c r="K80" s="29"/>
      <c r="L80" s="29"/>
      <c r="M80" s="29"/>
      <c r="N80" s="29"/>
    </row>
    <row r="81" spans="1:14" ht="12.75">
      <c r="A81" s="10"/>
      <c r="F81" s="29"/>
      <c r="G81" s="29"/>
      <c r="H81" s="29"/>
      <c r="I81" s="29"/>
      <c r="J81" s="29"/>
      <c r="K81" s="29"/>
      <c r="L81" s="29"/>
      <c r="M81" s="29"/>
      <c r="N81" s="29"/>
    </row>
    <row r="82" spans="1:14" ht="12.75">
      <c r="A82" s="10"/>
      <c r="D82" s="30"/>
      <c r="F82" s="29"/>
      <c r="G82" s="29"/>
      <c r="H82" s="29"/>
      <c r="I82" s="29"/>
      <c r="J82" s="29"/>
      <c r="K82" s="29"/>
      <c r="L82" s="29"/>
      <c r="M82" s="29"/>
      <c r="N82" s="29"/>
    </row>
    <row r="83" spans="1:14" ht="12.75">
      <c r="A83" s="10"/>
      <c r="F83" s="29"/>
      <c r="G83" s="29"/>
      <c r="H83" s="29"/>
      <c r="I83" s="29"/>
      <c r="J83" s="29"/>
      <c r="K83" s="29"/>
      <c r="L83" s="29"/>
      <c r="M83" s="29"/>
      <c r="N83" s="29"/>
    </row>
    <row r="84" spans="1:14" ht="12.75">
      <c r="A84" s="10"/>
      <c r="F84" s="29"/>
      <c r="G84" s="29"/>
      <c r="H84" s="29"/>
      <c r="I84" s="29"/>
      <c r="J84" s="29"/>
      <c r="K84" s="29"/>
      <c r="L84" s="29"/>
      <c r="M84" s="29"/>
      <c r="N84" s="29"/>
    </row>
    <row r="85" spans="1:14" ht="12.75">
      <c r="A85" s="10"/>
      <c r="F85" s="29"/>
      <c r="G85" s="29"/>
      <c r="H85" s="29"/>
      <c r="I85" s="29"/>
      <c r="J85" s="29"/>
      <c r="K85" s="29"/>
      <c r="L85" s="29"/>
      <c r="M85" s="29"/>
      <c r="N85" s="29"/>
    </row>
    <row r="86" spans="1:14" ht="12.75">
      <c r="A86" s="10"/>
      <c r="F86" s="29"/>
      <c r="G86" s="29"/>
      <c r="H86" s="29"/>
      <c r="I86" s="29"/>
      <c r="J86" s="29"/>
      <c r="K86" s="29"/>
      <c r="L86" s="29"/>
      <c r="M86" s="29"/>
      <c r="N86" s="29"/>
    </row>
    <row r="87" spans="1:14" ht="12.75">
      <c r="A87" s="10"/>
      <c r="F87" s="29"/>
      <c r="G87" s="29"/>
      <c r="H87" s="29"/>
      <c r="I87" s="29"/>
      <c r="J87" s="29"/>
      <c r="K87" s="29"/>
      <c r="L87" s="29"/>
      <c r="M87" s="29"/>
      <c r="N87" s="29"/>
    </row>
    <row r="88" spans="1:14" ht="12.75">
      <c r="A88" s="10"/>
      <c r="F88" s="29"/>
      <c r="G88" s="29"/>
      <c r="H88" s="29"/>
      <c r="I88" s="29"/>
      <c r="J88" s="29"/>
      <c r="K88" s="29"/>
      <c r="L88" s="29"/>
      <c r="M88" s="29"/>
      <c r="N88" s="29"/>
    </row>
    <row r="89" spans="1:14" ht="12.75">
      <c r="A89" s="10"/>
      <c r="F89" s="29"/>
      <c r="G89" s="29"/>
      <c r="H89" s="29"/>
      <c r="I89" s="29"/>
      <c r="J89" s="29"/>
      <c r="K89" s="29"/>
      <c r="L89" s="29"/>
      <c r="M89" s="29"/>
      <c r="N89" s="29"/>
    </row>
    <row r="90" spans="1:14" ht="12.75">
      <c r="A90" s="10"/>
      <c r="F90" s="29"/>
      <c r="G90" s="29"/>
      <c r="H90" s="29"/>
      <c r="I90" s="29"/>
      <c r="J90" s="29"/>
      <c r="K90" s="29"/>
      <c r="L90" s="29"/>
      <c r="M90" s="29"/>
      <c r="N90" s="29"/>
    </row>
    <row r="91" spans="1:14" ht="12.75">
      <c r="A91" s="10"/>
      <c r="F91" s="29"/>
      <c r="G91" s="29"/>
      <c r="H91" s="29"/>
      <c r="I91" s="29"/>
      <c r="J91" s="29"/>
      <c r="K91" s="29"/>
      <c r="L91" s="29"/>
      <c r="M91" s="29"/>
      <c r="N91" s="29"/>
    </row>
    <row r="92" spans="1:14" ht="12.75">
      <c r="A92" s="10"/>
      <c r="F92" s="29"/>
      <c r="G92" s="29"/>
      <c r="H92" s="29"/>
      <c r="I92" s="29"/>
      <c r="J92" s="29"/>
      <c r="K92" s="29"/>
      <c r="L92" s="29"/>
      <c r="M92" s="29"/>
      <c r="N92" s="29"/>
    </row>
    <row r="93" spans="1:14" ht="12.75">
      <c r="A93" s="10"/>
      <c r="F93" s="29"/>
      <c r="G93" s="29"/>
      <c r="H93" s="29"/>
      <c r="I93" s="29"/>
      <c r="J93" s="29"/>
      <c r="K93" s="29"/>
      <c r="L93" s="29"/>
      <c r="M93" s="29"/>
      <c r="N93" s="29"/>
    </row>
    <row r="94" spans="1:14" ht="12.75">
      <c r="A94" s="10"/>
      <c r="F94" s="29"/>
      <c r="G94" s="29"/>
      <c r="H94" s="29"/>
      <c r="I94" s="29"/>
      <c r="J94" s="29"/>
      <c r="K94" s="29"/>
      <c r="L94" s="29"/>
      <c r="M94" s="29"/>
      <c r="N94" s="29"/>
    </row>
    <row r="95" spans="1:14" ht="12.75">
      <c r="A95" s="10"/>
      <c r="F95" s="29"/>
      <c r="G95" s="29"/>
      <c r="H95" s="29"/>
      <c r="I95" s="29"/>
      <c r="J95" s="29"/>
      <c r="K95" s="29"/>
      <c r="L95" s="29"/>
      <c r="M95" s="29"/>
      <c r="N95" s="29"/>
    </row>
    <row r="96" spans="1:14" ht="12.75">
      <c r="A96" s="10"/>
      <c r="F96" s="29"/>
      <c r="G96" s="29"/>
      <c r="H96" s="29"/>
      <c r="I96" s="29"/>
      <c r="J96" s="29"/>
      <c r="K96" s="29"/>
      <c r="L96" s="29"/>
      <c r="M96" s="29"/>
      <c r="N96" s="29"/>
    </row>
    <row r="97" spans="1:14" ht="12.75">
      <c r="A97" s="10"/>
      <c r="F97" s="29"/>
      <c r="G97" s="29"/>
      <c r="H97" s="29"/>
      <c r="I97" s="29"/>
      <c r="J97" s="29"/>
      <c r="K97" s="29"/>
      <c r="L97" s="29"/>
      <c r="M97" s="29"/>
      <c r="N97" s="29"/>
    </row>
    <row r="98" spans="1:14" ht="12.75">
      <c r="A98" s="10"/>
      <c r="F98" s="29"/>
      <c r="G98" s="29"/>
      <c r="H98" s="29"/>
      <c r="I98" s="29"/>
      <c r="J98" s="29"/>
      <c r="K98" s="29"/>
      <c r="L98" s="29"/>
      <c r="M98" s="29"/>
      <c r="N98" s="29"/>
    </row>
    <row r="99" spans="1:14" ht="12.75">
      <c r="A99" s="10"/>
      <c r="F99" s="29"/>
      <c r="G99" s="29"/>
      <c r="H99" s="29"/>
      <c r="I99" s="29"/>
      <c r="J99" s="29"/>
      <c r="K99" s="29"/>
      <c r="L99" s="29"/>
      <c r="M99" s="29"/>
      <c r="N99" s="29"/>
    </row>
    <row r="100" spans="6:14" ht="12.75">
      <c r="F100" s="29"/>
      <c r="G100" s="29"/>
      <c r="H100" s="29"/>
      <c r="I100" s="29"/>
      <c r="J100" s="29"/>
      <c r="K100" s="29"/>
      <c r="L100" s="29"/>
      <c r="M100" s="29"/>
      <c r="N100" s="29"/>
    </row>
    <row r="101" spans="6:14" ht="12.75">
      <c r="F101" s="29"/>
      <c r="G101" s="29"/>
      <c r="H101" s="29"/>
      <c r="I101" s="29"/>
      <c r="J101" s="29"/>
      <c r="K101" s="29"/>
      <c r="L101" s="29"/>
      <c r="M101" s="29"/>
      <c r="N101" s="29"/>
    </row>
    <row r="102" spans="6:14" ht="12.75"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6:14" ht="12.75">
      <c r="F103" s="29"/>
      <c r="G103" s="29"/>
      <c r="H103" s="29"/>
      <c r="I103" s="29"/>
      <c r="J103" s="29"/>
      <c r="K103" s="29"/>
      <c r="L103" s="29"/>
      <c r="M103" s="29"/>
      <c r="N103" s="29"/>
    </row>
    <row r="104" spans="6:14" ht="12.75">
      <c r="F104" s="29"/>
      <c r="G104" s="29"/>
      <c r="H104" s="29"/>
      <c r="I104" s="29"/>
      <c r="J104" s="29"/>
      <c r="K104" s="29"/>
      <c r="L104" s="29"/>
      <c r="M104" s="29"/>
      <c r="N104" s="29"/>
    </row>
    <row r="105" spans="6:14" ht="12.75">
      <c r="F105" s="29"/>
      <c r="G105" s="29"/>
      <c r="H105" s="29"/>
      <c r="I105" s="29"/>
      <c r="J105" s="29"/>
      <c r="K105" s="29"/>
      <c r="L105" s="29"/>
      <c r="M105" s="29"/>
      <c r="N105" s="29"/>
    </row>
    <row r="106" spans="6:14" ht="12.75">
      <c r="F106" s="29"/>
      <c r="G106" s="29"/>
      <c r="H106" s="29"/>
      <c r="I106" s="29"/>
      <c r="J106" s="29"/>
      <c r="K106" s="29"/>
      <c r="L106" s="29"/>
      <c r="M106" s="29"/>
      <c r="N106" s="29"/>
    </row>
    <row r="107" spans="6:14" ht="12.75">
      <c r="F107" s="29"/>
      <c r="G107" s="29"/>
      <c r="H107" s="29"/>
      <c r="I107" s="29"/>
      <c r="J107" s="29"/>
      <c r="K107" s="29"/>
      <c r="L107" s="29"/>
      <c r="M107" s="29"/>
      <c r="N107" s="29"/>
    </row>
    <row r="108" spans="6:14" ht="12.75">
      <c r="F108" s="29"/>
      <c r="G108" s="29"/>
      <c r="H108" s="29"/>
      <c r="I108" s="29"/>
      <c r="J108" s="29"/>
      <c r="K108" s="29"/>
      <c r="L108" s="29"/>
      <c r="M108" s="29"/>
      <c r="N108" s="29"/>
    </row>
    <row r="109" spans="6:14" ht="12.75">
      <c r="F109" s="29"/>
      <c r="G109" s="29"/>
      <c r="H109" s="29"/>
      <c r="I109" s="29"/>
      <c r="J109" s="29"/>
      <c r="K109" s="29"/>
      <c r="L109" s="29"/>
      <c r="M109" s="29"/>
      <c r="N109" s="29"/>
    </row>
    <row r="110" spans="6:14" ht="12.75">
      <c r="F110" s="29"/>
      <c r="G110" s="29"/>
      <c r="H110" s="29"/>
      <c r="I110" s="29"/>
      <c r="J110" s="29"/>
      <c r="K110" s="29"/>
      <c r="L110" s="29"/>
      <c r="M110" s="29"/>
      <c r="N110" s="29"/>
    </row>
    <row r="111" spans="6:14" ht="12.75">
      <c r="F111" s="29"/>
      <c r="G111" s="29"/>
      <c r="H111" s="29"/>
      <c r="I111" s="29"/>
      <c r="J111" s="29"/>
      <c r="K111" s="29"/>
      <c r="L111" s="29"/>
      <c r="M111" s="29"/>
      <c r="N111" s="29"/>
    </row>
    <row r="112" spans="6:14" ht="12.75">
      <c r="F112" s="29"/>
      <c r="G112" s="29"/>
      <c r="H112" s="29"/>
      <c r="I112" s="29"/>
      <c r="J112" s="29"/>
      <c r="K112" s="29"/>
      <c r="L112" s="29"/>
      <c r="M112" s="29"/>
      <c r="N112" s="29"/>
    </row>
    <row r="113" spans="6:14" ht="12.75">
      <c r="F113" s="29"/>
      <c r="G113" s="29"/>
      <c r="H113" s="29"/>
      <c r="I113" s="29"/>
      <c r="J113" s="29"/>
      <c r="K113" s="29"/>
      <c r="L113" s="29"/>
      <c r="M113" s="29"/>
      <c r="N113" s="29"/>
    </row>
    <row r="114" spans="6:14" ht="12.75">
      <c r="F114" s="29"/>
      <c r="G114" s="29"/>
      <c r="H114" s="29"/>
      <c r="I114" s="29"/>
      <c r="J114" s="29"/>
      <c r="K114" s="29"/>
      <c r="L114" s="29"/>
      <c r="M114" s="29"/>
      <c r="N114" s="29"/>
    </row>
    <row r="115" spans="6:14" ht="12.75">
      <c r="F115" s="29"/>
      <c r="G115" s="29"/>
      <c r="H115" s="29"/>
      <c r="I115" s="29"/>
      <c r="J115" s="29"/>
      <c r="K115" s="29"/>
      <c r="L115" s="29"/>
      <c r="M115" s="29"/>
      <c r="N115" s="29"/>
    </row>
  </sheetData>
  <mergeCells count="1">
    <mergeCell ref="A2:L2"/>
  </mergeCells>
  <printOptions/>
  <pageMargins left="0.26" right="0" top="0.57" bottom="0.18" header="0.17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8"/>
  <sheetViews>
    <sheetView showZeros="0" tabSelected="1" workbookViewId="0" topLeftCell="A1">
      <pane xSplit="1" ySplit="6" topLeftCell="K7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" sqref="A4:A6"/>
    </sheetView>
  </sheetViews>
  <sheetFormatPr defaultColWidth="9.00390625" defaultRowHeight="12.75"/>
  <cols>
    <col min="1" max="1" width="25.75390625" style="44" customWidth="1"/>
    <col min="2" max="2" width="7.875" style="44" customWidth="1"/>
    <col min="3" max="3" width="9.375" style="44" customWidth="1"/>
    <col min="4" max="4" width="8.375" style="44" hidden="1" customWidth="1"/>
    <col min="5" max="5" width="7.625" style="57" customWidth="1"/>
    <col min="6" max="7" width="6.375" style="44" customWidth="1"/>
    <col min="8" max="8" width="6.25390625" style="44" customWidth="1"/>
    <col min="9" max="9" width="6.75390625" style="44" customWidth="1"/>
    <col min="10" max="10" width="6.125" style="44" customWidth="1"/>
    <col min="11" max="11" width="7.25390625" style="44" customWidth="1"/>
    <col min="12" max="12" width="6.625" style="73" customWidth="1"/>
    <col min="13" max="13" width="8.125" style="44" customWidth="1"/>
    <col min="14" max="14" width="9.25390625" style="44" customWidth="1"/>
    <col min="15" max="15" width="6.875" style="44" customWidth="1"/>
    <col min="16" max="16" width="10.75390625" style="44" customWidth="1"/>
    <col min="17" max="17" width="5.25390625" style="44" customWidth="1"/>
    <col min="18" max="19" width="8.75390625" style="44" customWidth="1"/>
    <col min="20" max="20" width="8.375" style="44" bestFit="1" customWidth="1"/>
    <col min="21" max="16384" width="9.125" style="44" customWidth="1"/>
  </cols>
  <sheetData>
    <row r="1" ht="12.75">
      <c r="T1" s="81" t="s">
        <v>123</v>
      </c>
    </row>
    <row r="2" spans="1:20" s="38" customFormat="1" ht="15">
      <c r="A2" s="87" t="s">
        <v>125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s="38" customFormat="1" ht="9" customHeight="1">
      <c r="A3" s="34"/>
      <c r="B3" s="35"/>
      <c r="C3" s="35"/>
      <c r="D3" s="35"/>
      <c r="E3" s="36"/>
      <c r="F3" s="35"/>
      <c r="G3" s="35"/>
      <c r="H3" s="35"/>
      <c r="I3" s="35"/>
      <c r="J3" s="35"/>
      <c r="K3" s="35"/>
      <c r="L3" s="37"/>
      <c r="M3" s="35"/>
      <c r="N3" s="35"/>
      <c r="O3" s="35"/>
      <c r="P3" s="35"/>
      <c r="Q3" s="35"/>
      <c r="R3" s="35"/>
      <c r="S3" s="35"/>
      <c r="T3" s="35"/>
    </row>
    <row r="4" spans="1:20" s="38" customFormat="1" ht="13.5">
      <c r="A4" s="93" t="s">
        <v>7</v>
      </c>
      <c r="B4" s="39"/>
      <c r="C4" s="40"/>
      <c r="D4" s="40" t="s">
        <v>8</v>
      </c>
      <c r="E4" s="40" t="s">
        <v>45</v>
      </c>
      <c r="F4" s="40"/>
      <c r="G4" s="40"/>
      <c r="H4" s="40"/>
      <c r="I4" s="40"/>
      <c r="J4" s="40"/>
      <c r="K4" s="40"/>
      <c r="L4" s="40"/>
      <c r="M4" s="82" t="s">
        <v>22</v>
      </c>
      <c r="N4" s="83"/>
      <c r="O4" s="83"/>
      <c r="P4" s="83"/>
      <c r="Q4" s="83"/>
      <c r="R4" s="83"/>
      <c r="S4" s="84"/>
      <c r="T4" s="88" t="s">
        <v>46</v>
      </c>
    </row>
    <row r="5" spans="1:20" s="74" customFormat="1" ht="13.5">
      <c r="A5" s="94"/>
      <c r="B5" s="91" t="s">
        <v>88</v>
      </c>
      <c r="C5" s="91" t="s">
        <v>113</v>
      </c>
      <c r="D5" s="41" t="s">
        <v>10</v>
      </c>
      <c r="E5" s="96" t="s">
        <v>109</v>
      </c>
      <c r="F5" s="96"/>
      <c r="G5" s="96"/>
      <c r="H5" s="96"/>
      <c r="I5" s="96"/>
      <c r="J5" s="97" t="s">
        <v>47</v>
      </c>
      <c r="K5" s="97" t="s">
        <v>11</v>
      </c>
      <c r="L5" s="97" t="s">
        <v>46</v>
      </c>
      <c r="M5" s="96" t="s">
        <v>50</v>
      </c>
      <c r="N5" s="96"/>
      <c r="O5" s="96"/>
      <c r="P5" s="96"/>
      <c r="Q5" s="96"/>
      <c r="R5" s="96"/>
      <c r="S5" s="85" t="s">
        <v>112</v>
      </c>
      <c r="T5" s="89"/>
    </row>
    <row r="6" spans="1:20" s="78" customFormat="1" ht="45">
      <c r="A6" s="95"/>
      <c r="B6" s="92"/>
      <c r="C6" s="92"/>
      <c r="D6" s="42" t="s">
        <v>9</v>
      </c>
      <c r="E6" s="75" t="s">
        <v>110</v>
      </c>
      <c r="F6" s="43" t="s">
        <v>23</v>
      </c>
      <c r="G6" s="43" t="s">
        <v>48</v>
      </c>
      <c r="H6" s="43" t="s">
        <v>49</v>
      </c>
      <c r="I6" s="43" t="s">
        <v>44</v>
      </c>
      <c r="J6" s="98"/>
      <c r="K6" s="98"/>
      <c r="L6" s="98"/>
      <c r="M6" s="75" t="s">
        <v>111</v>
      </c>
      <c r="N6" s="76" t="s">
        <v>52</v>
      </c>
      <c r="O6" s="77" t="s">
        <v>51</v>
      </c>
      <c r="P6" s="77" t="s">
        <v>53</v>
      </c>
      <c r="Q6" s="77" t="s">
        <v>62</v>
      </c>
      <c r="R6" s="77" t="s">
        <v>54</v>
      </c>
      <c r="S6" s="86"/>
      <c r="T6" s="90"/>
    </row>
    <row r="7" spans="1:20" ht="13.5">
      <c r="A7" s="101" t="s">
        <v>68</v>
      </c>
      <c r="B7" s="45">
        <v>23</v>
      </c>
      <c r="C7" s="46">
        <v>5</v>
      </c>
      <c r="D7" s="46"/>
      <c r="E7" s="46">
        <f>F7+G7+H7+I7</f>
        <v>12.98</v>
      </c>
      <c r="F7" s="46">
        <v>0.6</v>
      </c>
      <c r="G7" s="46">
        <v>3.66</v>
      </c>
      <c r="H7" s="46">
        <v>3.27</v>
      </c>
      <c r="I7" s="46">
        <v>5.45</v>
      </c>
      <c r="J7" s="46">
        <v>0.5</v>
      </c>
      <c r="K7" s="46">
        <v>1.75</v>
      </c>
      <c r="L7" s="47">
        <f>K7+J7+E7</f>
        <v>15.23</v>
      </c>
      <c r="M7" s="45">
        <v>188</v>
      </c>
      <c r="N7" s="45">
        <v>0</v>
      </c>
      <c r="O7" s="48">
        <v>0</v>
      </c>
      <c r="P7" s="48">
        <v>10</v>
      </c>
      <c r="Q7" s="48">
        <v>2</v>
      </c>
      <c r="R7" s="48">
        <v>15</v>
      </c>
      <c r="S7" s="48">
        <v>22</v>
      </c>
      <c r="T7" s="48">
        <f>M7+S7</f>
        <v>210</v>
      </c>
    </row>
    <row r="8" spans="1:20" ht="13.5">
      <c r="A8" s="101" t="s">
        <v>25</v>
      </c>
      <c r="B8" s="45">
        <v>78</v>
      </c>
      <c r="C8" s="46">
        <v>13</v>
      </c>
      <c r="D8" s="46"/>
      <c r="E8" s="46">
        <f aca="true" t="shared" si="0" ref="E8:E70">F8+G8+H8+I8</f>
        <v>36.55</v>
      </c>
      <c r="F8" s="46">
        <v>0.78</v>
      </c>
      <c r="G8" s="46">
        <v>3.33</v>
      </c>
      <c r="H8" s="46">
        <v>25.13</v>
      </c>
      <c r="I8" s="46">
        <v>7.31</v>
      </c>
      <c r="J8" s="46">
        <v>2</v>
      </c>
      <c r="K8" s="46">
        <v>9.5</v>
      </c>
      <c r="L8" s="47">
        <f aca="true" t="shared" si="1" ref="L8:L70">K8+J8+E8</f>
        <v>48.05</v>
      </c>
      <c r="M8" s="45">
        <v>653</v>
      </c>
      <c r="N8" s="45">
        <v>0</v>
      </c>
      <c r="O8" s="48">
        <v>0</v>
      </c>
      <c r="P8" s="48">
        <v>59</v>
      </c>
      <c r="Q8" s="48">
        <v>8</v>
      </c>
      <c r="R8" s="48">
        <v>13</v>
      </c>
      <c r="S8" s="48">
        <v>6</v>
      </c>
      <c r="T8" s="48">
        <f aca="true" t="shared" si="2" ref="T8:T69">M8+S8</f>
        <v>659</v>
      </c>
    </row>
    <row r="9" spans="1:20" ht="13.5">
      <c r="A9" s="101" t="s">
        <v>69</v>
      </c>
      <c r="B9" s="45">
        <v>125</v>
      </c>
      <c r="C9" s="46">
        <v>15</v>
      </c>
      <c r="D9" s="46"/>
      <c r="E9" s="46">
        <f t="shared" si="0"/>
        <v>35.21</v>
      </c>
      <c r="F9" s="46">
        <v>1.55</v>
      </c>
      <c r="G9" s="46">
        <v>7.18</v>
      </c>
      <c r="H9" s="46">
        <v>13.81</v>
      </c>
      <c r="I9" s="46">
        <v>12.67</v>
      </c>
      <c r="J9" s="46">
        <v>2.5</v>
      </c>
      <c r="K9" s="46">
        <v>7.5</v>
      </c>
      <c r="L9" s="47">
        <f t="shared" si="1"/>
        <v>45.21</v>
      </c>
      <c r="M9" s="45">
        <v>638</v>
      </c>
      <c r="N9" s="45">
        <v>0</v>
      </c>
      <c r="O9" s="48">
        <v>0</v>
      </c>
      <c r="P9" s="48">
        <v>38</v>
      </c>
      <c r="Q9" s="48">
        <v>5</v>
      </c>
      <c r="R9" s="48">
        <v>49</v>
      </c>
      <c r="S9" s="48">
        <v>3</v>
      </c>
      <c r="T9" s="48">
        <f t="shared" si="2"/>
        <v>641</v>
      </c>
    </row>
    <row r="10" spans="1:20" ht="13.5">
      <c r="A10" s="102" t="s">
        <v>67</v>
      </c>
      <c r="B10" s="50">
        <f aca="true" t="shared" si="3" ref="B10:T10">B7+B8+B9</f>
        <v>226</v>
      </c>
      <c r="C10" s="50">
        <f t="shared" si="3"/>
        <v>33</v>
      </c>
      <c r="D10" s="50">
        <f t="shared" si="3"/>
        <v>0</v>
      </c>
      <c r="E10" s="47">
        <f t="shared" si="3"/>
        <v>84.74</v>
      </c>
      <c r="F10" s="47">
        <f t="shared" si="3"/>
        <v>2.93</v>
      </c>
      <c r="G10" s="47">
        <f t="shared" si="3"/>
        <v>14.17</v>
      </c>
      <c r="H10" s="47">
        <f t="shared" si="3"/>
        <v>42.21</v>
      </c>
      <c r="I10" s="47">
        <f t="shared" si="3"/>
        <v>25.43</v>
      </c>
      <c r="J10" s="47">
        <f t="shared" si="3"/>
        <v>5</v>
      </c>
      <c r="K10" s="47">
        <f t="shared" si="3"/>
        <v>18.75</v>
      </c>
      <c r="L10" s="47">
        <f t="shared" si="3"/>
        <v>108.49</v>
      </c>
      <c r="M10" s="50">
        <f t="shared" si="3"/>
        <v>1479</v>
      </c>
      <c r="N10" s="50">
        <f t="shared" si="3"/>
        <v>0</v>
      </c>
      <c r="O10" s="50">
        <f t="shared" si="3"/>
        <v>0</v>
      </c>
      <c r="P10" s="50">
        <f t="shared" si="3"/>
        <v>107</v>
      </c>
      <c r="Q10" s="50">
        <f t="shared" si="3"/>
        <v>15</v>
      </c>
      <c r="R10" s="50">
        <f t="shared" si="3"/>
        <v>77</v>
      </c>
      <c r="S10" s="50">
        <f t="shared" si="3"/>
        <v>31</v>
      </c>
      <c r="T10" s="50">
        <f t="shared" si="3"/>
        <v>1510</v>
      </c>
    </row>
    <row r="11" spans="1:20" ht="17.25" customHeight="1">
      <c r="A11" s="101" t="s">
        <v>68</v>
      </c>
      <c r="B11" s="51">
        <v>14</v>
      </c>
      <c r="C11" s="51">
        <v>3</v>
      </c>
      <c r="D11" s="51"/>
      <c r="E11" s="46">
        <f t="shared" si="0"/>
        <v>7.4</v>
      </c>
      <c r="F11" s="46">
        <v>0.32</v>
      </c>
      <c r="G11" s="46">
        <v>1.78</v>
      </c>
      <c r="H11" s="46">
        <v>2.67</v>
      </c>
      <c r="I11" s="46">
        <v>2.63</v>
      </c>
      <c r="J11" s="46">
        <v>0.25</v>
      </c>
      <c r="K11" s="46">
        <v>0.5</v>
      </c>
      <c r="L11" s="47">
        <f t="shared" si="1"/>
        <v>8.15</v>
      </c>
      <c r="M11" s="51">
        <v>134</v>
      </c>
      <c r="N11" s="51">
        <v>0</v>
      </c>
      <c r="O11" s="51">
        <v>0</v>
      </c>
      <c r="P11" s="51">
        <v>0</v>
      </c>
      <c r="Q11" s="51">
        <v>0</v>
      </c>
      <c r="R11" s="51">
        <v>15</v>
      </c>
      <c r="S11" s="51">
        <v>6</v>
      </c>
      <c r="T11" s="48">
        <f t="shared" si="2"/>
        <v>140</v>
      </c>
    </row>
    <row r="12" spans="1:20" ht="13.5">
      <c r="A12" s="101" t="s">
        <v>69</v>
      </c>
      <c r="B12" s="45">
        <v>97</v>
      </c>
      <c r="C12" s="46">
        <v>11</v>
      </c>
      <c r="D12" s="46"/>
      <c r="E12" s="46">
        <f t="shared" si="0"/>
        <v>33</v>
      </c>
      <c r="F12" s="46">
        <v>1.61</v>
      </c>
      <c r="G12" s="46">
        <v>4.2</v>
      </c>
      <c r="H12" s="46">
        <v>14.55</v>
      </c>
      <c r="I12" s="46">
        <v>12.64</v>
      </c>
      <c r="J12" s="46">
        <v>2.5</v>
      </c>
      <c r="K12" s="46">
        <v>5.75</v>
      </c>
      <c r="L12" s="47">
        <f t="shared" si="1"/>
        <v>41.25</v>
      </c>
      <c r="M12" s="45">
        <v>599</v>
      </c>
      <c r="N12" s="45">
        <v>0</v>
      </c>
      <c r="O12" s="48">
        <v>0</v>
      </c>
      <c r="P12" s="48">
        <v>69</v>
      </c>
      <c r="Q12" s="48">
        <v>7</v>
      </c>
      <c r="R12" s="48">
        <v>36</v>
      </c>
      <c r="S12" s="48">
        <v>2</v>
      </c>
      <c r="T12" s="48">
        <f t="shared" si="2"/>
        <v>601</v>
      </c>
    </row>
    <row r="13" spans="1:20" ht="13.5">
      <c r="A13" s="101" t="s">
        <v>25</v>
      </c>
      <c r="B13" s="45">
        <v>31</v>
      </c>
      <c r="C13" s="46">
        <v>4</v>
      </c>
      <c r="D13" s="46"/>
      <c r="E13" s="46">
        <f t="shared" si="0"/>
        <v>9.31</v>
      </c>
      <c r="F13" s="46">
        <v>0.15</v>
      </c>
      <c r="G13" s="46">
        <v>1.83</v>
      </c>
      <c r="H13" s="46">
        <v>4.98</v>
      </c>
      <c r="I13" s="46">
        <v>2.35</v>
      </c>
      <c r="J13" s="46">
        <v>1</v>
      </c>
      <c r="K13" s="46">
        <v>1.5</v>
      </c>
      <c r="L13" s="47">
        <f t="shared" si="1"/>
        <v>11.81</v>
      </c>
      <c r="M13" s="45">
        <v>163</v>
      </c>
      <c r="N13" s="45">
        <v>0</v>
      </c>
      <c r="O13" s="48">
        <v>0</v>
      </c>
      <c r="P13" s="48">
        <v>10</v>
      </c>
      <c r="Q13" s="48">
        <v>1</v>
      </c>
      <c r="R13" s="48">
        <v>5</v>
      </c>
      <c r="S13" s="48">
        <v>3</v>
      </c>
      <c r="T13" s="48">
        <f t="shared" si="2"/>
        <v>166</v>
      </c>
    </row>
    <row r="14" spans="1:20" ht="13.5">
      <c r="A14" s="102" t="s">
        <v>66</v>
      </c>
      <c r="B14" s="50">
        <f>B11+B12+B13</f>
        <v>142</v>
      </c>
      <c r="C14" s="50">
        <f aca="true" t="shared" si="4" ref="C14:T14">C11+C12+C13</f>
        <v>18</v>
      </c>
      <c r="D14" s="50">
        <f t="shared" si="4"/>
        <v>0</v>
      </c>
      <c r="E14" s="47">
        <f t="shared" si="4"/>
        <v>49.71</v>
      </c>
      <c r="F14" s="47">
        <f aca="true" t="shared" si="5" ref="F14:L14">F11+F12+F13</f>
        <v>2.08</v>
      </c>
      <c r="G14" s="47">
        <f t="shared" si="5"/>
        <v>7.81</v>
      </c>
      <c r="H14" s="47">
        <f t="shared" si="5"/>
        <v>22.2</v>
      </c>
      <c r="I14" s="47">
        <f t="shared" si="5"/>
        <v>17.62</v>
      </c>
      <c r="J14" s="47">
        <f t="shared" si="5"/>
        <v>3.75</v>
      </c>
      <c r="K14" s="47">
        <f t="shared" si="5"/>
        <v>7.75</v>
      </c>
      <c r="L14" s="47">
        <f t="shared" si="5"/>
        <v>61.21</v>
      </c>
      <c r="M14" s="50">
        <f t="shared" si="4"/>
        <v>896</v>
      </c>
      <c r="N14" s="50">
        <f t="shared" si="4"/>
        <v>0</v>
      </c>
      <c r="O14" s="50">
        <f t="shared" si="4"/>
        <v>0</v>
      </c>
      <c r="P14" s="50">
        <f t="shared" si="4"/>
        <v>79</v>
      </c>
      <c r="Q14" s="50">
        <f t="shared" si="4"/>
        <v>8</v>
      </c>
      <c r="R14" s="50">
        <f t="shared" si="4"/>
        <v>56</v>
      </c>
      <c r="S14" s="50">
        <f t="shared" si="4"/>
        <v>11</v>
      </c>
      <c r="T14" s="50">
        <f t="shared" si="4"/>
        <v>907</v>
      </c>
    </row>
    <row r="15" spans="1:20" ht="13.5">
      <c r="A15" s="103" t="s">
        <v>13</v>
      </c>
      <c r="B15" s="45">
        <v>532</v>
      </c>
      <c r="C15" s="46">
        <v>16</v>
      </c>
      <c r="D15" s="46"/>
      <c r="E15" s="46">
        <f t="shared" si="0"/>
        <v>48.3</v>
      </c>
      <c r="F15" s="46">
        <v>0.89</v>
      </c>
      <c r="G15" s="46">
        <v>10.19</v>
      </c>
      <c r="H15" s="46">
        <v>28.11</v>
      </c>
      <c r="I15" s="46">
        <v>9.11</v>
      </c>
      <c r="J15" s="46">
        <v>4.82</v>
      </c>
      <c r="K15" s="46">
        <v>10.01</v>
      </c>
      <c r="L15" s="47">
        <f t="shared" si="1"/>
        <v>63.13</v>
      </c>
      <c r="M15" s="45">
        <v>819</v>
      </c>
      <c r="N15" s="45">
        <v>0</v>
      </c>
      <c r="O15" s="48">
        <v>0</v>
      </c>
      <c r="P15" s="48">
        <v>0</v>
      </c>
      <c r="Q15" s="48">
        <v>0</v>
      </c>
      <c r="R15" s="48">
        <v>70</v>
      </c>
      <c r="S15" s="48">
        <v>52</v>
      </c>
      <c r="T15" s="48">
        <f t="shared" si="2"/>
        <v>871</v>
      </c>
    </row>
    <row r="16" spans="1:20" ht="13.5">
      <c r="A16" s="103" t="s">
        <v>14</v>
      </c>
      <c r="B16" s="45">
        <v>564</v>
      </c>
      <c r="C16" s="51">
        <v>19</v>
      </c>
      <c r="D16" s="52"/>
      <c r="E16" s="46">
        <f t="shared" si="0"/>
        <v>50.71</v>
      </c>
      <c r="F16" s="46">
        <v>1.93</v>
      </c>
      <c r="G16" s="46">
        <v>1.65</v>
      </c>
      <c r="H16" s="46">
        <v>30.39</v>
      </c>
      <c r="I16" s="46">
        <v>16.74</v>
      </c>
      <c r="J16" s="46">
        <v>5.32</v>
      </c>
      <c r="K16" s="46">
        <v>13.75</v>
      </c>
      <c r="L16" s="47">
        <f t="shared" si="1"/>
        <v>69.78</v>
      </c>
      <c r="M16" s="51">
        <v>871</v>
      </c>
      <c r="N16" s="51">
        <v>40</v>
      </c>
      <c r="O16" s="51">
        <v>0</v>
      </c>
      <c r="P16" s="51">
        <v>17</v>
      </c>
      <c r="Q16" s="51">
        <v>2</v>
      </c>
      <c r="R16" s="51">
        <v>97</v>
      </c>
      <c r="S16" s="51">
        <v>36</v>
      </c>
      <c r="T16" s="48">
        <f t="shared" si="2"/>
        <v>907</v>
      </c>
    </row>
    <row r="17" spans="1:20" ht="13.5">
      <c r="A17" s="103" t="s">
        <v>2</v>
      </c>
      <c r="B17" s="45">
        <v>660</v>
      </c>
      <c r="C17" s="46">
        <v>22</v>
      </c>
      <c r="D17" s="46"/>
      <c r="E17" s="46">
        <f t="shared" si="0"/>
        <v>74.33</v>
      </c>
      <c r="F17" s="46">
        <v>1.7</v>
      </c>
      <c r="G17" s="46">
        <v>8.5</v>
      </c>
      <c r="H17" s="46">
        <v>24.96</v>
      </c>
      <c r="I17" s="46">
        <v>39.17</v>
      </c>
      <c r="J17" s="46">
        <v>3.08</v>
      </c>
      <c r="K17" s="46">
        <v>11.54</v>
      </c>
      <c r="L17" s="47">
        <f t="shared" si="1"/>
        <v>88.95</v>
      </c>
      <c r="M17" s="45">
        <v>1314</v>
      </c>
      <c r="N17" s="45">
        <v>62</v>
      </c>
      <c r="O17" s="48">
        <v>216</v>
      </c>
      <c r="P17" s="48">
        <v>5</v>
      </c>
      <c r="Q17" s="48">
        <v>1</v>
      </c>
      <c r="R17" s="48">
        <v>123</v>
      </c>
      <c r="S17" s="48">
        <v>35</v>
      </c>
      <c r="T17" s="48">
        <f t="shared" si="2"/>
        <v>1349</v>
      </c>
    </row>
    <row r="18" spans="1:20" ht="13.5">
      <c r="A18" s="103" t="s">
        <v>3</v>
      </c>
      <c r="B18" s="45">
        <v>554</v>
      </c>
      <c r="C18" s="46">
        <v>19</v>
      </c>
      <c r="D18" s="46"/>
      <c r="E18" s="46">
        <f t="shared" si="0"/>
        <v>45.42</v>
      </c>
      <c r="F18" s="46">
        <v>0</v>
      </c>
      <c r="G18" s="46">
        <v>5.08</v>
      </c>
      <c r="H18" s="46">
        <v>18.89</v>
      </c>
      <c r="I18" s="46">
        <v>21.45</v>
      </c>
      <c r="J18" s="46">
        <v>4</v>
      </c>
      <c r="K18" s="46">
        <v>10</v>
      </c>
      <c r="L18" s="47">
        <f t="shared" si="1"/>
        <v>59.42</v>
      </c>
      <c r="M18" s="45">
        <v>813</v>
      </c>
      <c r="N18" s="45">
        <v>0</v>
      </c>
      <c r="O18" s="48">
        <v>0</v>
      </c>
      <c r="P18" s="48">
        <v>4</v>
      </c>
      <c r="Q18" s="48">
        <v>1</v>
      </c>
      <c r="R18" s="48">
        <v>92</v>
      </c>
      <c r="S18" s="48">
        <v>12</v>
      </c>
      <c r="T18" s="48">
        <f t="shared" si="2"/>
        <v>825</v>
      </c>
    </row>
    <row r="19" spans="1:20" ht="13.5">
      <c r="A19" s="103" t="s">
        <v>15</v>
      </c>
      <c r="B19" s="45">
        <v>486</v>
      </c>
      <c r="C19" s="46">
        <v>18</v>
      </c>
      <c r="D19" s="46"/>
      <c r="E19" s="46">
        <f t="shared" si="0"/>
        <v>52.94</v>
      </c>
      <c r="F19" s="46">
        <v>2.92</v>
      </c>
      <c r="G19" s="46">
        <v>13.8</v>
      </c>
      <c r="H19" s="46">
        <v>19.6</v>
      </c>
      <c r="I19" s="46">
        <v>16.62</v>
      </c>
      <c r="J19" s="46">
        <v>4.04</v>
      </c>
      <c r="K19" s="46">
        <v>9.69</v>
      </c>
      <c r="L19" s="47">
        <f t="shared" si="1"/>
        <v>66.67</v>
      </c>
      <c r="M19" s="45">
        <v>890</v>
      </c>
      <c r="N19" s="45">
        <v>0</v>
      </c>
      <c r="O19" s="48">
        <v>0</v>
      </c>
      <c r="P19" s="48">
        <v>69</v>
      </c>
      <c r="Q19" s="48">
        <v>6</v>
      </c>
      <c r="R19" s="48">
        <v>85</v>
      </c>
      <c r="S19" s="48">
        <v>33</v>
      </c>
      <c r="T19" s="48">
        <f t="shared" si="2"/>
        <v>923</v>
      </c>
    </row>
    <row r="20" spans="1:20" ht="13.5">
      <c r="A20" s="103" t="s">
        <v>4</v>
      </c>
      <c r="B20" s="45">
        <v>573</v>
      </c>
      <c r="C20" s="46">
        <v>18</v>
      </c>
      <c r="D20" s="46"/>
      <c r="E20" s="46">
        <f t="shared" si="0"/>
        <v>50.69</v>
      </c>
      <c r="F20" s="46">
        <v>1</v>
      </c>
      <c r="G20" s="46">
        <v>2.89</v>
      </c>
      <c r="H20" s="46">
        <v>17.14</v>
      </c>
      <c r="I20" s="46">
        <v>29.66</v>
      </c>
      <c r="J20" s="46">
        <v>4</v>
      </c>
      <c r="K20" s="46">
        <v>10.56</v>
      </c>
      <c r="L20" s="47">
        <f t="shared" si="1"/>
        <v>65.25</v>
      </c>
      <c r="M20" s="45">
        <v>894</v>
      </c>
      <c r="N20" s="45">
        <v>0</v>
      </c>
      <c r="O20" s="48">
        <v>0</v>
      </c>
      <c r="P20" s="48">
        <v>11</v>
      </c>
      <c r="Q20" s="48">
        <v>1</v>
      </c>
      <c r="R20" s="48">
        <v>90</v>
      </c>
      <c r="S20" s="48">
        <v>36</v>
      </c>
      <c r="T20" s="48">
        <f t="shared" si="2"/>
        <v>930</v>
      </c>
    </row>
    <row r="21" spans="1:20" ht="13.5">
      <c r="A21" s="103" t="s">
        <v>16</v>
      </c>
      <c r="B21" s="45">
        <v>181</v>
      </c>
      <c r="C21" s="46">
        <v>6</v>
      </c>
      <c r="D21" s="46"/>
      <c r="E21" s="46">
        <f t="shared" si="0"/>
        <v>20.2</v>
      </c>
      <c r="F21" s="46">
        <v>2.25</v>
      </c>
      <c r="G21" s="46">
        <v>2.19</v>
      </c>
      <c r="H21" s="46">
        <v>13.26</v>
      </c>
      <c r="I21" s="46">
        <v>2.5</v>
      </c>
      <c r="J21" s="46">
        <v>1.5</v>
      </c>
      <c r="K21" s="46">
        <v>4.5</v>
      </c>
      <c r="L21" s="47">
        <f t="shared" si="1"/>
        <v>26.2</v>
      </c>
      <c r="M21" s="45">
        <v>312</v>
      </c>
      <c r="N21" s="45">
        <v>0</v>
      </c>
      <c r="O21" s="48">
        <v>0</v>
      </c>
      <c r="P21" s="48">
        <v>12</v>
      </c>
      <c r="Q21" s="48">
        <v>1</v>
      </c>
      <c r="R21" s="48">
        <v>28</v>
      </c>
      <c r="S21" s="48">
        <v>53</v>
      </c>
      <c r="T21" s="48">
        <f t="shared" si="2"/>
        <v>365</v>
      </c>
    </row>
    <row r="22" spans="1:20" ht="13.5">
      <c r="A22" s="103" t="s">
        <v>5</v>
      </c>
      <c r="B22" s="45">
        <v>314</v>
      </c>
      <c r="C22" s="46">
        <v>13</v>
      </c>
      <c r="D22" s="46"/>
      <c r="E22" s="46">
        <f t="shared" si="0"/>
        <v>42.2</v>
      </c>
      <c r="F22" s="46">
        <v>0.6</v>
      </c>
      <c r="G22" s="46">
        <v>9.4</v>
      </c>
      <c r="H22" s="46">
        <v>26.6</v>
      </c>
      <c r="I22" s="46">
        <v>5.6</v>
      </c>
      <c r="J22" s="46">
        <v>2.5</v>
      </c>
      <c r="K22" s="46">
        <v>5.5</v>
      </c>
      <c r="L22" s="47">
        <f t="shared" si="1"/>
        <v>50.2</v>
      </c>
      <c r="M22" s="45">
        <v>743</v>
      </c>
      <c r="N22" s="45">
        <v>0</v>
      </c>
      <c r="O22" s="48">
        <v>0</v>
      </c>
      <c r="P22" s="48">
        <v>93</v>
      </c>
      <c r="Q22" s="48">
        <v>10</v>
      </c>
      <c r="R22" s="48">
        <v>100</v>
      </c>
      <c r="S22" s="48">
        <v>27</v>
      </c>
      <c r="T22" s="48">
        <f t="shared" si="2"/>
        <v>770</v>
      </c>
    </row>
    <row r="23" spans="1:20" ht="13.5">
      <c r="A23" s="103" t="s">
        <v>17</v>
      </c>
      <c r="B23" s="45">
        <v>523</v>
      </c>
      <c r="C23" s="46">
        <v>16</v>
      </c>
      <c r="D23" s="46"/>
      <c r="E23" s="46">
        <f t="shared" si="0"/>
        <v>48.2</v>
      </c>
      <c r="F23" s="46">
        <v>1.45</v>
      </c>
      <c r="G23" s="46">
        <v>6.97</v>
      </c>
      <c r="H23" s="46">
        <v>24.61</v>
      </c>
      <c r="I23" s="46">
        <v>15.17</v>
      </c>
      <c r="J23" s="46">
        <v>3.75</v>
      </c>
      <c r="K23" s="46">
        <v>8.25</v>
      </c>
      <c r="L23" s="47">
        <f t="shared" si="1"/>
        <v>60.2</v>
      </c>
      <c r="M23" s="45">
        <v>728</v>
      </c>
      <c r="N23" s="45">
        <v>0</v>
      </c>
      <c r="O23" s="48">
        <v>0</v>
      </c>
      <c r="P23" s="48">
        <v>62</v>
      </c>
      <c r="Q23" s="48">
        <v>14</v>
      </c>
      <c r="R23" s="48">
        <v>98</v>
      </c>
      <c r="S23" s="48">
        <v>38</v>
      </c>
      <c r="T23" s="48">
        <f t="shared" si="2"/>
        <v>766</v>
      </c>
    </row>
    <row r="24" spans="1:20" ht="13.5">
      <c r="A24" s="103" t="s">
        <v>18</v>
      </c>
      <c r="B24" s="45">
        <v>418</v>
      </c>
      <c r="C24" s="46">
        <v>14</v>
      </c>
      <c r="D24" s="46"/>
      <c r="E24" s="46">
        <f t="shared" si="0"/>
        <v>34.8</v>
      </c>
      <c r="F24" s="46">
        <v>2.6</v>
      </c>
      <c r="G24" s="46">
        <v>6.1</v>
      </c>
      <c r="H24" s="46">
        <v>17.4</v>
      </c>
      <c r="I24" s="46">
        <v>8.7</v>
      </c>
      <c r="J24" s="46">
        <v>3.5</v>
      </c>
      <c r="K24" s="46">
        <v>7.5</v>
      </c>
      <c r="L24" s="47">
        <f t="shared" si="1"/>
        <v>45.8</v>
      </c>
      <c r="M24" s="45">
        <v>605</v>
      </c>
      <c r="N24" s="45">
        <v>0</v>
      </c>
      <c r="O24" s="48">
        <v>0</v>
      </c>
      <c r="P24" s="48">
        <v>12</v>
      </c>
      <c r="Q24" s="48">
        <v>1</v>
      </c>
      <c r="R24" s="48">
        <v>60</v>
      </c>
      <c r="S24" s="48">
        <v>28</v>
      </c>
      <c r="T24" s="48">
        <f t="shared" si="2"/>
        <v>633</v>
      </c>
    </row>
    <row r="25" spans="1:20" ht="13.5">
      <c r="A25" s="103" t="s">
        <v>19</v>
      </c>
      <c r="B25" s="45">
        <v>276</v>
      </c>
      <c r="C25" s="46">
        <v>9</v>
      </c>
      <c r="D25" s="46"/>
      <c r="E25" s="46">
        <f t="shared" si="0"/>
        <v>23.28</v>
      </c>
      <c r="F25" s="46">
        <v>0.28</v>
      </c>
      <c r="G25" s="46">
        <v>2.37</v>
      </c>
      <c r="H25" s="46">
        <v>7.06</v>
      </c>
      <c r="I25" s="46">
        <v>13.57</v>
      </c>
      <c r="J25" s="46">
        <v>3</v>
      </c>
      <c r="K25" s="46">
        <v>5</v>
      </c>
      <c r="L25" s="47">
        <f t="shared" si="1"/>
        <v>31.28</v>
      </c>
      <c r="M25" s="45">
        <v>409</v>
      </c>
      <c r="N25" s="45">
        <v>0</v>
      </c>
      <c r="O25" s="48">
        <v>0</v>
      </c>
      <c r="P25" s="48">
        <v>12</v>
      </c>
      <c r="Q25" s="48">
        <v>4</v>
      </c>
      <c r="R25" s="48">
        <v>47</v>
      </c>
      <c r="S25" s="48">
        <v>12</v>
      </c>
      <c r="T25" s="48">
        <f t="shared" si="2"/>
        <v>421</v>
      </c>
    </row>
    <row r="26" spans="1:20" ht="13.5">
      <c r="A26" s="103" t="s">
        <v>6</v>
      </c>
      <c r="B26" s="45">
        <v>309</v>
      </c>
      <c r="C26" s="46">
        <v>12</v>
      </c>
      <c r="D26" s="46"/>
      <c r="E26" s="46">
        <f t="shared" si="0"/>
        <v>36.4</v>
      </c>
      <c r="F26" s="46">
        <v>0.09</v>
      </c>
      <c r="G26" s="46">
        <v>2.71</v>
      </c>
      <c r="H26" s="46">
        <v>25.1</v>
      </c>
      <c r="I26" s="46">
        <v>8.5</v>
      </c>
      <c r="J26" s="46">
        <v>2.42</v>
      </c>
      <c r="K26" s="46">
        <v>5.35</v>
      </c>
      <c r="L26" s="47">
        <f t="shared" si="1"/>
        <v>44.17</v>
      </c>
      <c r="M26" s="45">
        <v>540</v>
      </c>
      <c r="N26" s="45">
        <v>0</v>
      </c>
      <c r="O26" s="48">
        <v>0</v>
      </c>
      <c r="P26" s="48">
        <v>72</v>
      </c>
      <c r="Q26" s="48">
        <v>7</v>
      </c>
      <c r="R26" s="48">
        <v>50</v>
      </c>
      <c r="S26" s="48">
        <v>0</v>
      </c>
      <c r="T26" s="48">
        <f t="shared" si="2"/>
        <v>540</v>
      </c>
    </row>
    <row r="27" spans="1:20" ht="13.5">
      <c r="A27" s="103" t="s">
        <v>20</v>
      </c>
      <c r="B27" s="45">
        <v>540</v>
      </c>
      <c r="C27" s="46">
        <v>20</v>
      </c>
      <c r="D27" s="46"/>
      <c r="E27" s="46">
        <f t="shared" si="0"/>
        <v>46.35</v>
      </c>
      <c r="F27" s="46">
        <v>1.06</v>
      </c>
      <c r="G27" s="46">
        <v>8.36</v>
      </c>
      <c r="H27" s="46">
        <v>20.24</v>
      </c>
      <c r="I27" s="46">
        <v>16.69</v>
      </c>
      <c r="J27" s="46">
        <v>4.75</v>
      </c>
      <c r="K27" s="46">
        <v>10.25</v>
      </c>
      <c r="L27" s="47">
        <f t="shared" si="1"/>
        <v>61.35</v>
      </c>
      <c r="M27" s="45">
        <v>789</v>
      </c>
      <c r="N27" s="45">
        <v>120</v>
      </c>
      <c r="O27" s="48">
        <v>0</v>
      </c>
      <c r="P27" s="48">
        <v>20</v>
      </c>
      <c r="Q27" s="48">
        <v>2</v>
      </c>
      <c r="R27" s="48">
        <v>58</v>
      </c>
      <c r="S27" s="48">
        <v>35</v>
      </c>
      <c r="T27" s="48">
        <f t="shared" si="2"/>
        <v>824</v>
      </c>
    </row>
    <row r="28" spans="1:20" ht="13.5">
      <c r="A28" s="103" t="s">
        <v>24</v>
      </c>
      <c r="B28" s="45">
        <v>310</v>
      </c>
      <c r="C28" s="46">
        <v>11</v>
      </c>
      <c r="D28" s="46"/>
      <c r="E28" s="46">
        <f t="shared" si="0"/>
        <v>10.6</v>
      </c>
      <c r="F28" s="46">
        <v>0</v>
      </c>
      <c r="G28" s="46">
        <v>1.1</v>
      </c>
      <c r="H28" s="46">
        <v>7</v>
      </c>
      <c r="I28" s="46">
        <v>2.5</v>
      </c>
      <c r="J28" s="46">
        <v>2.5</v>
      </c>
      <c r="K28" s="46">
        <v>3.5</v>
      </c>
      <c r="L28" s="47">
        <f t="shared" si="1"/>
        <v>16.6</v>
      </c>
      <c r="M28" s="45">
        <v>264</v>
      </c>
      <c r="N28" s="45">
        <v>0</v>
      </c>
      <c r="O28" s="48">
        <v>0</v>
      </c>
      <c r="P28" s="48">
        <v>0</v>
      </c>
      <c r="Q28" s="48">
        <v>0</v>
      </c>
      <c r="R28" s="48">
        <v>15</v>
      </c>
      <c r="S28" s="48">
        <v>0</v>
      </c>
      <c r="T28" s="48">
        <f t="shared" si="2"/>
        <v>264</v>
      </c>
    </row>
    <row r="29" spans="1:20" ht="21.75" customHeight="1">
      <c r="A29" s="102" t="s">
        <v>71</v>
      </c>
      <c r="B29" s="50">
        <f>SUM(B15:B28)</f>
        <v>6240</v>
      </c>
      <c r="C29" s="50">
        <f>SUM(C15:C28)</f>
        <v>213</v>
      </c>
      <c r="D29" s="50">
        <f aca="true" t="shared" si="6" ref="D29:M29">SUM(D15:D28)</f>
        <v>0</v>
      </c>
      <c r="E29" s="47">
        <f t="shared" si="6"/>
        <v>584.42</v>
      </c>
      <c r="F29" s="47">
        <f t="shared" si="6"/>
        <v>16.77</v>
      </c>
      <c r="G29" s="47">
        <f t="shared" si="6"/>
        <v>81.31</v>
      </c>
      <c r="H29" s="47">
        <f t="shared" si="6"/>
        <v>280.36</v>
      </c>
      <c r="I29" s="47">
        <f t="shared" si="6"/>
        <v>205.98</v>
      </c>
      <c r="J29" s="47">
        <f t="shared" si="6"/>
        <v>49.18</v>
      </c>
      <c r="K29" s="47">
        <f t="shared" si="6"/>
        <v>115.4</v>
      </c>
      <c r="L29" s="47">
        <f t="shared" si="6"/>
        <v>749</v>
      </c>
      <c r="M29" s="50">
        <f t="shared" si="6"/>
        <v>9991</v>
      </c>
      <c r="N29" s="50">
        <f aca="true" t="shared" si="7" ref="N29:T29">SUM(N15:N28)</f>
        <v>222</v>
      </c>
      <c r="O29" s="50">
        <f t="shared" si="7"/>
        <v>216</v>
      </c>
      <c r="P29" s="50">
        <f t="shared" si="7"/>
        <v>389</v>
      </c>
      <c r="Q29" s="50">
        <f t="shared" si="7"/>
        <v>50</v>
      </c>
      <c r="R29" s="50">
        <f t="shared" si="7"/>
        <v>1013</v>
      </c>
      <c r="S29" s="50">
        <f t="shared" si="7"/>
        <v>397</v>
      </c>
      <c r="T29" s="50">
        <f t="shared" si="7"/>
        <v>10388</v>
      </c>
    </row>
    <row r="30" spans="1:20" ht="18" customHeight="1">
      <c r="A30" s="101" t="s">
        <v>68</v>
      </c>
      <c r="B30" s="45">
        <v>10</v>
      </c>
      <c r="C30" s="46">
        <v>2</v>
      </c>
      <c r="D30" s="46"/>
      <c r="E30" s="46">
        <f t="shared" si="0"/>
        <v>5.07</v>
      </c>
      <c r="F30" s="46">
        <v>0.05</v>
      </c>
      <c r="G30" s="46">
        <v>0.62</v>
      </c>
      <c r="H30" s="46">
        <v>1.38</v>
      </c>
      <c r="I30" s="46">
        <v>3.02</v>
      </c>
      <c r="J30" s="46">
        <v>0</v>
      </c>
      <c r="K30" s="46">
        <v>0</v>
      </c>
      <c r="L30" s="47">
        <f t="shared" si="1"/>
        <v>5.07</v>
      </c>
      <c r="M30" s="45">
        <v>84</v>
      </c>
      <c r="N30" s="45">
        <v>0</v>
      </c>
      <c r="O30" s="48">
        <v>0</v>
      </c>
      <c r="P30" s="48">
        <v>0</v>
      </c>
      <c r="Q30" s="48">
        <v>0</v>
      </c>
      <c r="R30" s="48">
        <v>0</v>
      </c>
      <c r="S30" s="48">
        <v>5</v>
      </c>
      <c r="T30" s="48">
        <f t="shared" si="2"/>
        <v>89</v>
      </c>
    </row>
    <row r="31" spans="1:20" s="56" customFormat="1" ht="27.75" customHeight="1">
      <c r="A31" s="104" t="s">
        <v>70</v>
      </c>
      <c r="B31" s="53">
        <f>B30</f>
        <v>10</v>
      </c>
      <c r="C31" s="54">
        <f aca="true" t="shared" si="8" ref="C31:T31">C30</f>
        <v>2</v>
      </c>
      <c r="D31" s="54">
        <f t="shared" si="8"/>
        <v>0</v>
      </c>
      <c r="E31" s="46">
        <f t="shared" si="0"/>
        <v>5.07</v>
      </c>
      <c r="F31" s="55">
        <f t="shared" si="8"/>
        <v>0.05</v>
      </c>
      <c r="G31" s="55">
        <f t="shared" si="8"/>
        <v>0.62</v>
      </c>
      <c r="H31" s="55">
        <f t="shared" si="8"/>
        <v>1.38</v>
      </c>
      <c r="I31" s="55">
        <f t="shared" si="8"/>
        <v>3.02</v>
      </c>
      <c r="J31" s="55">
        <f t="shared" si="8"/>
        <v>0</v>
      </c>
      <c r="K31" s="55">
        <f t="shared" si="8"/>
        <v>0</v>
      </c>
      <c r="L31" s="47">
        <f t="shared" si="1"/>
        <v>5.07</v>
      </c>
      <c r="M31" s="54">
        <f t="shared" si="8"/>
        <v>84</v>
      </c>
      <c r="N31" s="54">
        <f t="shared" si="8"/>
        <v>0</v>
      </c>
      <c r="O31" s="54">
        <f t="shared" si="8"/>
        <v>0</v>
      </c>
      <c r="P31" s="54">
        <f t="shared" si="8"/>
        <v>0</v>
      </c>
      <c r="Q31" s="54">
        <f t="shared" si="8"/>
        <v>0</v>
      </c>
      <c r="R31" s="54">
        <f t="shared" si="8"/>
        <v>0</v>
      </c>
      <c r="S31" s="54">
        <f t="shared" si="8"/>
        <v>5</v>
      </c>
      <c r="T31" s="54">
        <f t="shared" si="8"/>
        <v>89</v>
      </c>
    </row>
    <row r="32" spans="1:20" s="57" customFormat="1" ht="13.5">
      <c r="A32" s="105" t="s">
        <v>56</v>
      </c>
      <c r="B32" s="51">
        <v>151</v>
      </c>
      <c r="C32" s="51">
        <v>6</v>
      </c>
      <c r="D32" s="51"/>
      <c r="E32" s="46">
        <f t="shared" si="0"/>
        <v>17.07</v>
      </c>
      <c r="F32" s="46">
        <v>0.68</v>
      </c>
      <c r="G32" s="46">
        <v>4.89</v>
      </c>
      <c r="H32" s="46">
        <v>9.26</v>
      </c>
      <c r="I32" s="46">
        <v>2.24</v>
      </c>
      <c r="J32" s="46">
        <v>2</v>
      </c>
      <c r="K32" s="46">
        <v>3.08</v>
      </c>
      <c r="L32" s="47">
        <f t="shared" si="1"/>
        <v>22.15</v>
      </c>
      <c r="M32" s="51">
        <v>280</v>
      </c>
      <c r="N32" s="51">
        <v>0</v>
      </c>
      <c r="O32" s="48">
        <v>0</v>
      </c>
      <c r="P32" s="48">
        <v>0</v>
      </c>
      <c r="Q32" s="48">
        <v>0</v>
      </c>
      <c r="R32" s="48">
        <v>50</v>
      </c>
      <c r="S32" s="48">
        <v>3</v>
      </c>
      <c r="T32" s="48">
        <f t="shared" si="2"/>
        <v>283</v>
      </c>
    </row>
    <row r="33" spans="1:20" s="57" customFormat="1" ht="13.5">
      <c r="A33" s="101" t="s">
        <v>72</v>
      </c>
      <c r="B33" s="51">
        <v>61</v>
      </c>
      <c r="C33" s="51">
        <v>2</v>
      </c>
      <c r="D33" s="51"/>
      <c r="E33" s="46">
        <f t="shared" si="0"/>
        <v>6.3</v>
      </c>
      <c r="F33" s="46">
        <v>0</v>
      </c>
      <c r="G33" s="46">
        <v>2</v>
      </c>
      <c r="H33" s="46">
        <v>1.8</v>
      </c>
      <c r="I33" s="46">
        <v>2.5</v>
      </c>
      <c r="J33" s="46">
        <v>1</v>
      </c>
      <c r="K33" s="46">
        <v>1</v>
      </c>
      <c r="L33" s="47">
        <f t="shared" si="1"/>
        <v>8.3</v>
      </c>
      <c r="M33" s="51">
        <v>118</v>
      </c>
      <c r="N33" s="51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f t="shared" si="2"/>
        <v>118</v>
      </c>
    </row>
    <row r="34" spans="1:20" s="57" customFormat="1" ht="13.5">
      <c r="A34" s="101" t="s">
        <v>27</v>
      </c>
      <c r="B34" s="51">
        <v>35</v>
      </c>
      <c r="C34" s="51">
        <v>2</v>
      </c>
      <c r="D34" s="51"/>
      <c r="E34" s="46">
        <f t="shared" si="0"/>
        <v>3.47</v>
      </c>
      <c r="F34" s="46">
        <v>0.11</v>
      </c>
      <c r="G34" s="46">
        <v>1.43</v>
      </c>
      <c r="H34" s="46">
        <v>0.76</v>
      </c>
      <c r="I34" s="46">
        <v>1.17</v>
      </c>
      <c r="J34" s="46">
        <v>0</v>
      </c>
      <c r="K34" s="46">
        <v>0</v>
      </c>
      <c r="L34" s="47">
        <f t="shared" si="1"/>
        <v>3.47</v>
      </c>
      <c r="M34" s="51">
        <v>69</v>
      </c>
      <c r="N34" s="51">
        <v>0</v>
      </c>
      <c r="O34" s="48">
        <v>0</v>
      </c>
      <c r="P34" s="48">
        <v>3</v>
      </c>
      <c r="Q34" s="48">
        <v>2</v>
      </c>
      <c r="R34" s="48">
        <v>0</v>
      </c>
      <c r="S34" s="48">
        <v>0</v>
      </c>
      <c r="T34" s="48">
        <f t="shared" si="2"/>
        <v>69</v>
      </c>
    </row>
    <row r="35" spans="1:20" s="57" customFormat="1" ht="13.5">
      <c r="A35" s="101" t="s">
        <v>73</v>
      </c>
      <c r="B35" s="51">
        <v>339</v>
      </c>
      <c r="C35" s="51">
        <v>12</v>
      </c>
      <c r="D35" s="51"/>
      <c r="E35" s="46">
        <f t="shared" si="0"/>
        <v>33.7</v>
      </c>
      <c r="F35" s="46">
        <v>1.7</v>
      </c>
      <c r="G35" s="46">
        <v>0.8</v>
      </c>
      <c r="H35" s="46">
        <v>12.3</v>
      </c>
      <c r="I35" s="46">
        <v>18.9</v>
      </c>
      <c r="J35" s="46">
        <v>5</v>
      </c>
      <c r="K35" s="46">
        <v>5.3</v>
      </c>
      <c r="L35" s="47">
        <f t="shared" si="1"/>
        <v>44</v>
      </c>
      <c r="M35" s="51">
        <f>508+96</f>
        <v>604</v>
      </c>
      <c r="N35" s="51">
        <v>0</v>
      </c>
      <c r="O35" s="48">
        <v>0</v>
      </c>
      <c r="P35" s="48">
        <v>16</v>
      </c>
      <c r="Q35" s="48">
        <v>1</v>
      </c>
      <c r="R35" s="48">
        <v>80</v>
      </c>
      <c r="S35" s="48">
        <v>15</v>
      </c>
      <c r="T35" s="48">
        <f t="shared" si="2"/>
        <v>619</v>
      </c>
    </row>
    <row r="36" spans="1:20" s="57" customFormat="1" ht="13.5">
      <c r="A36" s="101" t="s">
        <v>57</v>
      </c>
      <c r="B36" s="51">
        <v>96</v>
      </c>
      <c r="C36" s="51">
        <v>3</v>
      </c>
      <c r="D36" s="51"/>
      <c r="E36" s="46">
        <f t="shared" si="0"/>
        <v>8.6</v>
      </c>
      <c r="F36" s="46">
        <v>0</v>
      </c>
      <c r="G36" s="46">
        <v>2</v>
      </c>
      <c r="H36" s="46">
        <v>2</v>
      </c>
      <c r="I36" s="46">
        <v>4.6</v>
      </c>
      <c r="J36" s="46">
        <v>1</v>
      </c>
      <c r="K36" s="46">
        <v>2.5</v>
      </c>
      <c r="L36" s="47">
        <f t="shared" si="1"/>
        <v>12.1</v>
      </c>
      <c r="M36" s="51">
        <v>203</v>
      </c>
      <c r="N36" s="51">
        <v>0</v>
      </c>
      <c r="O36" s="48">
        <v>0</v>
      </c>
      <c r="P36" s="48">
        <v>0</v>
      </c>
      <c r="Q36" s="48">
        <v>0</v>
      </c>
      <c r="R36" s="48">
        <v>10</v>
      </c>
      <c r="S36" s="48">
        <v>3</v>
      </c>
      <c r="T36" s="48">
        <f t="shared" si="2"/>
        <v>206</v>
      </c>
    </row>
    <row r="37" spans="1:20" s="57" customFormat="1" ht="13.5">
      <c r="A37" s="101" t="s">
        <v>74</v>
      </c>
      <c r="B37" s="51">
        <v>77</v>
      </c>
      <c r="C37" s="51">
        <v>3</v>
      </c>
      <c r="D37" s="51"/>
      <c r="E37" s="46">
        <f t="shared" si="0"/>
        <v>7.66</v>
      </c>
      <c r="F37" s="46">
        <v>0.17</v>
      </c>
      <c r="G37" s="46">
        <v>2.91</v>
      </c>
      <c r="H37" s="46">
        <v>2.44</v>
      </c>
      <c r="I37" s="46">
        <v>2.14</v>
      </c>
      <c r="J37" s="46">
        <v>0.3</v>
      </c>
      <c r="K37" s="46">
        <v>0.5</v>
      </c>
      <c r="L37" s="47">
        <f t="shared" si="1"/>
        <v>8.46</v>
      </c>
      <c r="M37" s="51">
        <v>136</v>
      </c>
      <c r="N37" s="51">
        <v>0</v>
      </c>
      <c r="O37" s="48">
        <v>0</v>
      </c>
      <c r="P37" s="48">
        <v>0</v>
      </c>
      <c r="Q37" s="48">
        <v>0</v>
      </c>
      <c r="R37" s="48">
        <v>5</v>
      </c>
      <c r="S37" s="48">
        <v>4</v>
      </c>
      <c r="T37" s="48">
        <f t="shared" si="2"/>
        <v>140</v>
      </c>
    </row>
    <row r="38" spans="1:20" s="57" customFormat="1" ht="13.5">
      <c r="A38" s="101" t="s">
        <v>29</v>
      </c>
      <c r="B38" s="51">
        <v>84</v>
      </c>
      <c r="C38" s="51">
        <v>3</v>
      </c>
      <c r="D38" s="51"/>
      <c r="E38" s="46">
        <f t="shared" si="0"/>
        <v>5.97</v>
      </c>
      <c r="F38" s="46">
        <v>0.9</v>
      </c>
      <c r="G38" s="46">
        <v>1.39</v>
      </c>
      <c r="H38" s="46">
        <v>2.65</v>
      </c>
      <c r="I38" s="46">
        <v>1.03</v>
      </c>
      <c r="J38" s="46">
        <v>0</v>
      </c>
      <c r="K38" s="46">
        <v>0</v>
      </c>
      <c r="L38" s="47">
        <f t="shared" si="1"/>
        <v>5.97</v>
      </c>
      <c r="M38" s="51">
        <v>96</v>
      </c>
      <c r="N38" s="51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f t="shared" si="2"/>
        <v>96</v>
      </c>
    </row>
    <row r="39" spans="1:20" s="57" customFormat="1" ht="15.75" customHeight="1">
      <c r="A39" s="102" t="s">
        <v>65</v>
      </c>
      <c r="B39" s="50">
        <f>SUM(B32:B38)</f>
        <v>843</v>
      </c>
      <c r="C39" s="52">
        <f aca="true" t="shared" si="9" ref="C39:T39">SUM(C32:C38)</f>
        <v>31</v>
      </c>
      <c r="D39" s="52">
        <f t="shared" si="9"/>
        <v>0</v>
      </c>
      <c r="E39" s="46">
        <f t="shared" si="0"/>
        <v>82.77</v>
      </c>
      <c r="F39" s="47">
        <f t="shared" si="9"/>
        <v>3.56</v>
      </c>
      <c r="G39" s="47">
        <f t="shared" si="9"/>
        <v>15.42</v>
      </c>
      <c r="H39" s="47">
        <f t="shared" si="9"/>
        <v>31.21</v>
      </c>
      <c r="I39" s="47">
        <f t="shared" si="9"/>
        <v>32.58</v>
      </c>
      <c r="J39" s="47">
        <f t="shared" si="9"/>
        <v>9.3</v>
      </c>
      <c r="K39" s="47">
        <f t="shared" si="9"/>
        <v>12.38</v>
      </c>
      <c r="L39" s="47">
        <f t="shared" si="1"/>
        <v>104.45</v>
      </c>
      <c r="M39" s="52">
        <f t="shared" si="9"/>
        <v>1506</v>
      </c>
      <c r="N39" s="52">
        <f t="shared" si="9"/>
        <v>0</v>
      </c>
      <c r="O39" s="52">
        <f t="shared" si="9"/>
        <v>0</v>
      </c>
      <c r="P39" s="52">
        <f t="shared" si="9"/>
        <v>19</v>
      </c>
      <c r="Q39" s="52">
        <f t="shared" si="9"/>
        <v>3</v>
      </c>
      <c r="R39" s="52">
        <f t="shared" si="9"/>
        <v>145</v>
      </c>
      <c r="S39" s="52">
        <f t="shared" si="9"/>
        <v>25</v>
      </c>
      <c r="T39" s="52">
        <f t="shared" si="9"/>
        <v>1531</v>
      </c>
    </row>
    <row r="40" spans="1:20" s="38" customFormat="1" ht="13.5">
      <c r="A40" s="101" t="s">
        <v>21</v>
      </c>
      <c r="B40" s="45">
        <v>560</v>
      </c>
      <c r="C40" s="46">
        <v>21</v>
      </c>
      <c r="D40" s="46"/>
      <c r="E40" s="46">
        <f t="shared" si="0"/>
        <v>53.22</v>
      </c>
      <c r="F40" s="46">
        <v>1.26</v>
      </c>
      <c r="G40" s="46">
        <v>14.38</v>
      </c>
      <c r="H40" s="46">
        <v>29.29</v>
      </c>
      <c r="I40" s="46">
        <v>8.29</v>
      </c>
      <c r="J40" s="46">
        <v>5.75</v>
      </c>
      <c r="K40" s="46">
        <v>9.83</v>
      </c>
      <c r="L40" s="47">
        <f t="shared" si="1"/>
        <v>68.8</v>
      </c>
      <c r="M40" s="45">
        <v>966</v>
      </c>
      <c r="N40" s="45">
        <v>0</v>
      </c>
      <c r="O40" s="48">
        <v>0</v>
      </c>
      <c r="P40" s="48">
        <v>0</v>
      </c>
      <c r="Q40" s="48">
        <v>0</v>
      </c>
      <c r="R40" s="48">
        <v>70</v>
      </c>
      <c r="S40" s="48">
        <v>15</v>
      </c>
      <c r="T40" s="48">
        <f t="shared" si="2"/>
        <v>981</v>
      </c>
    </row>
    <row r="41" spans="1:20" s="38" customFormat="1" ht="13.5">
      <c r="A41" s="101" t="s">
        <v>59</v>
      </c>
      <c r="B41" s="45">
        <v>400</v>
      </c>
      <c r="C41" s="46">
        <v>17</v>
      </c>
      <c r="D41" s="46"/>
      <c r="E41" s="46">
        <f t="shared" si="0"/>
        <v>26.49</v>
      </c>
      <c r="F41" s="46">
        <v>1.81</v>
      </c>
      <c r="G41" s="46">
        <v>6.32</v>
      </c>
      <c r="H41" s="46">
        <v>11.86</v>
      </c>
      <c r="I41" s="46">
        <v>6.5</v>
      </c>
      <c r="J41" s="46">
        <v>5.08</v>
      </c>
      <c r="K41" s="46">
        <v>9.58</v>
      </c>
      <c r="L41" s="47">
        <f t="shared" si="1"/>
        <v>41.15</v>
      </c>
      <c r="M41" s="45">
        <v>448</v>
      </c>
      <c r="N41" s="45">
        <v>0</v>
      </c>
      <c r="O41" s="48">
        <v>0</v>
      </c>
      <c r="P41" s="48">
        <v>0</v>
      </c>
      <c r="Q41" s="48">
        <v>0</v>
      </c>
      <c r="R41" s="48">
        <v>65</v>
      </c>
      <c r="S41" s="48">
        <v>14</v>
      </c>
      <c r="T41" s="48">
        <f t="shared" si="2"/>
        <v>462</v>
      </c>
    </row>
    <row r="42" spans="1:20" s="38" customFormat="1" ht="13.5">
      <c r="A42" s="101" t="s">
        <v>57</v>
      </c>
      <c r="B42" s="45">
        <v>528</v>
      </c>
      <c r="C42" s="46">
        <v>24</v>
      </c>
      <c r="D42" s="46"/>
      <c r="E42" s="46">
        <f t="shared" si="0"/>
        <v>65.52</v>
      </c>
      <c r="F42" s="46">
        <v>2.73</v>
      </c>
      <c r="G42" s="46">
        <v>21.22</v>
      </c>
      <c r="H42" s="46">
        <v>16.9</v>
      </c>
      <c r="I42" s="46">
        <v>24.67</v>
      </c>
      <c r="J42" s="46">
        <v>5</v>
      </c>
      <c r="K42" s="46">
        <v>13.5</v>
      </c>
      <c r="L42" s="47">
        <f t="shared" si="1"/>
        <v>84.02</v>
      </c>
      <c r="M42" s="45">
        <v>1144</v>
      </c>
      <c r="N42" s="45">
        <v>0</v>
      </c>
      <c r="O42" s="48">
        <v>0</v>
      </c>
      <c r="P42" s="48">
        <v>0</v>
      </c>
      <c r="Q42" s="48">
        <v>0</v>
      </c>
      <c r="R42" s="48">
        <v>85</v>
      </c>
      <c r="S42" s="48">
        <v>22</v>
      </c>
      <c r="T42" s="48">
        <f t="shared" si="2"/>
        <v>1166</v>
      </c>
    </row>
    <row r="43" spans="1:20" s="38" customFormat="1" ht="13.5">
      <c r="A43" s="101" t="s">
        <v>58</v>
      </c>
      <c r="B43" s="45">
        <v>671</v>
      </c>
      <c r="C43" s="46">
        <v>23</v>
      </c>
      <c r="D43" s="46"/>
      <c r="E43" s="46">
        <f t="shared" si="0"/>
        <v>68.4</v>
      </c>
      <c r="F43" s="46">
        <v>4.1</v>
      </c>
      <c r="G43" s="46">
        <v>14</v>
      </c>
      <c r="H43" s="46">
        <v>31.2</v>
      </c>
      <c r="I43" s="46">
        <v>19.1</v>
      </c>
      <c r="J43" s="46">
        <v>9.5</v>
      </c>
      <c r="K43" s="46">
        <v>10.5</v>
      </c>
      <c r="L43" s="47">
        <f t="shared" si="1"/>
        <v>88.4</v>
      </c>
      <c r="M43" s="45">
        <v>1223</v>
      </c>
      <c r="N43" s="45">
        <v>0</v>
      </c>
      <c r="O43" s="48">
        <v>0</v>
      </c>
      <c r="P43" s="48">
        <v>0</v>
      </c>
      <c r="Q43" s="48">
        <v>0</v>
      </c>
      <c r="R43" s="48">
        <v>90</v>
      </c>
      <c r="S43" s="48">
        <v>17</v>
      </c>
      <c r="T43" s="48">
        <f t="shared" si="2"/>
        <v>1240</v>
      </c>
    </row>
    <row r="44" spans="1:20" s="38" customFormat="1" ht="13.5">
      <c r="A44" s="101" t="s">
        <v>27</v>
      </c>
      <c r="B44" s="45">
        <v>401</v>
      </c>
      <c r="C44" s="46">
        <v>15</v>
      </c>
      <c r="D44" s="46"/>
      <c r="E44" s="46">
        <f t="shared" si="0"/>
        <v>36.89</v>
      </c>
      <c r="F44" s="46">
        <v>2.21</v>
      </c>
      <c r="G44" s="46">
        <v>5.28</v>
      </c>
      <c r="H44" s="46">
        <v>19.62</v>
      </c>
      <c r="I44" s="46">
        <v>9.78</v>
      </c>
      <c r="J44" s="46">
        <v>4.89</v>
      </c>
      <c r="K44" s="46">
        <v>10</v>
      </c>
      <c r="L44" s="47">
        <f t="shared" si="1"/>
        <v>51.78</v>
      </c>
      <c r="M44" s="45">
        <v>688</v>
      </c>
      <c r="N44" s="45">
        <v>0</v>
      </c>
      <c r="O44" s="48">
        <v>0</v>
      </c>
      <c r="P44" s="48">
        <v>11</v>
      </c>
      <c r="Q44" s="48">
        <v>1</v>
      </c>
      <c r="R44" s="48">
        <v>42</v>
      </c>
      <c r="S44" s="48">
        <v>11</v>
      </c>
      <c r="T44" s="48">
        <f t="shared" si="2"/>
        <v>699</v>
      </c>
    </row>
    <row r="45" spans="1:20" s="57" customFormat="1" ht="13.5">
      <c r="A45" s="101" t="s">
        <v>61</v>
      </c>
      <c r="B45" s="51">
        <v>224</v>
      </c>
      <c r="C45" s="51">
        <v>10</v>
      </c>
      <c r="D45" s="46"/>
      <c r="E45" s="46">
        <f t="shared" si="0"/>
        <v>35.2</v>
      </c>
      <c r="F45" s="46">
        <v>0.9</v>
      </c>
      <c r="G45" s="46">
        <v>2.9</v>
      </c>
      <c r="H45" s="46">
        <v>13.3</v>
      </c>
      <c r="I45" s="46">
        <v>18.1</v>
      </c>
      <c r="J45" s="46">
        <v>2.6</v>
      </c>
      <c r="K45" s="46">
        <v>5.2</v>
      </c>
      <c r="L45" s="47">
        <f t="shared" si="1"/>
        <v>43</v>
      </c>
      <c r="M45" s="45">
        <f>496+58</f>
        <v>554</v>
      </c>
      <c r="N45" s="45">
        <v>0</v>
      </c>
      <c r="O45" s="48">
        <v>0</v>
      </c>
      <c r="P45" s="48">
        <v>8</v>
      </c>
      <c r="Q45" s="48">
        <v>1</v>
      </c>
      <c r="R45" s="48">
        <v>50</v>
      </c>
      <c r="S45" s="48">
        <v>9</v>
      </c>
      <c r="T45" s="48">
        <f t="shared" si="2"/>
        <v>563</v>
      </c>
    </row>
    <row r="46" spans="1:20" s="38" customFormat="1" ht="13.5">
      <c r="A46" s="101" t="s">
        <v>28</v>
      </c>
      <c r="B46" s="45">
        <v>451</v>
      </c>
      <c r="C46" s="46">
        <v>18</v>
      </c>
      <c r="D46" s="46"/>
      <c r="E46" s="46">
        <f t="shared" si="0"/>
        <v>38.74</v>
      </c>
      <c r="F46" s="46">
        <v>1.71</v>
      </c>
      <c r="G46" s="46">
        <v>14.32</v>
      </c>
      <c r="H46" s="46">
        <v>12.7</v>
      </c>
      <c r="I46" s="46">
        <v>10.01</v>
      </c>
      <c r="J46" s="46">
        <v>5.77</v>
      </c>
      <c r="K46" s="46">
        <v>12.25</v>
      </c>
      <c r="L46" s="47">
        <f t="shared" si="1"/>
        <v>56.76</v>
      </c>
      <c r="M46" s="45">
        <v>683</v>
      </c>
      <c r="N46" s="45">
        <v>0</v>
      </c>
      <c r="O46" s="48">
        <v>0</v>
      </c>
      <c r="P46" s="48">
        <v>24</v>
      </c>
      <c r="Q46" s="48">
        <v>3</v>
      </c>
      <c r="R46" s="48">
        <f>57+28</f>
        <v>85</v>
      </c>
      <c r="S46" s="48">
        <v>8</v>
      </c>
      <c r="T46" s="48">
        <f t="shared" si="2"/>
        <v>691</v>
      </c>
    </row>
    <row r="47" spans="1:20" s="57" customFormat="1" ht="13.5">
      <c r="A47" s="101" t="s">
        <v>29</v>
      </c>
      <c r="B47" s="51">
        <v>260</v>
      </c>
      <c r="C47" s="51">
        <v>11</v>
      </c>
      <c r="D47" s="46"/>
      <c r="E47" s="46">
        <f t="shared" si="0"/>
        <v>20.96</v>
      </c>
      <c r="F47" s="46">
        <v>1.63</v>
      </c>
      <c r="G47" s="46">
        <v>2.49</v>
      </c>
      <c r="H47" s="46">
        <v>10.12</v>
      </c>
      <c r="I47" s="46">
        <v>6.72</v>
      </c>
      <c r="J47" s="46">
        <v>3.75</v>
      </c>
      <c r="K47" s="46">
        <v>8.25</v>
      </c>
      <c r="L47" s="47">
        <f t="shared" si="1"/>
        <v>32.96</v>
      </c>
      <c r="M47" s="45">
        <v>341</v>
      </c>
      <c r="N47" s="45">
        <v>0</v>
      </c>
      <c r="O47" s="48">
        <v>0</v>
      </c>
      <c r="P47" s="48">
        <v>0</v>
      </c>
      <c r="Q47" s="48">
        <v>0</v>
      </c>
      <c r="R47" s="48">
        <v>10</v>
      </c>
      <c r="S47" s="48">
        <v>5</v>
      </c>
      <c r="T47" s="48">
        <f t="shared" si="2"/>
        <v>346</v>
      </c>
    </row>
    <row r="48" spans="1:20" s="38" customFormat="1" ht="13.5">
      <c r="A48" s="101" t="s">
        <v>30</v>
      </c>
      <c r="B48" s="45">
        <v>470</v>
      </c>
      <c r="C48" s="46">
        <v>20</v>
      </c>
      <c r="D48" s="46"/>
      <c r="E48" s="46">
        <f t="shared" si="0"/>
        <v>43</v>
      </c>
      <c r="F48" s="46">
        <v>0.9</v>
      </c>
      <c r="G48" s="46">
        <v>1</v>
      </c>
      <c r="H48" s="46">
        <v>34.9</v>
      </c>
      <c r="I48" s="46">
        <v>6.2</v>
      </c>
      <c r="J48" s="46">
        <v>6</v>
      </c>
      <c r="K48" s="46">
        <v>12.3</v>
      </c>
      <c r="L48" s="47">
        <f t="shared" si="1"/>
        <v>61.3</v>
      </c>
      <c r="M48" s="45">
        <v>751</v>
      </c>
      <c r="N48" s="45">
        <v>0</v>
      </c>
      <c r="O48" s="48">
        <v>0</v>
      </c>
      <c r="P48" s="48">
        <v>8</v>
      </c>
      <c r="Q48" s="48">
        <v>1</v>
      </c>
      <c r="R48" s="48">
        <v>83</v>
      </c>
      <c r="S48" s="48">
        <v>22</v>
      </c>
      <c r="T48" s="48">
        <f t="shared" si="2"/>
        <v>773</v>
      </c>
    </row>
    <row r="49" spans="1:20" s="38" customFormat="1" ht="13.5">
      <c r="A49" s="101" t="s">
        <v>24</v>
      </c>
      <c r="B49" s="45">
        <v>185</v>
      </c>
      <c r="C49" s="46">
        <v>7</v>
      </c>
      <c r="D49" s="46"/>
      <c r="E49" s="46">
        <f t="shared" si="0"/>
        <v>9.5</v>
      </c>
      <c r="F49" s="46">
        <v>0.1</v>
      </c>
      <c r="G49" s="46">
        <v>1.5</v>
      </c>
      <c r="H49" s="46">
        <v>4.6</v>
      </c>
      <c r="I49" s="46">
        <v>3.3</v>
      </c>
      <c r="J49" s="46">
        <v>2</v>
      </c>
      <c r="K49" s="46">
        <v>4</v>
      </c>
      <c r="L49" s="47">
        <f t="shared" si="1"/>
        <v>15.5</v>
      </c>
      <c r="M49" s="45">
        <v>204</v>
      </c>
      <c r="N49" s="45">
        <v>0</v>
      </c>
      <c r="O49" s="48">
        <v>0</v>
      </c>
      <c r="P49" s="48">
        <v>0</v>
      </c>
      <c r="Q49" s="48">
        <v>0</v>
      </c>
      <c r="R49" s="48">
        <v>15</v>
      </c>
      <c r="S49" s="48">
        <v>0</v>
      </c>
      <c r="T49" s="48">
        <f t="shared" si="2"/>
        <v>204</v>
      </c>
    </row>
    <row r="50" spans="1:20" s="38" customFormat="1" ht="13.5">
      <c r="A50" s="101" t="s">
        <v>60</v>
      </c>
      <c r="B50" s="45">
        <v>433</v>
      </c>
      <c r="C50" s="46">
        <v>17</v>
      </c>
      <c r="D50" s="46"/>
      <c r="E50" s="46">
        <f t="shared" si="0"/>
        <v>43.08</v>
      </c>
      <c r="F50" s="46">
        <v>3.38</v>
      </c>
      <c r="G50" s="46">
        <v>13.06</v>
      </c>
      <c r="H50" s="46">
        <v>16.86</v>
      </c>
      <c r="I50" s="46">
        <v>9.78</v>
      </c>
      <c r="J50" s="46">
        <v>5</v>
      </c>
      <c r="K50" s="46">
        <v>10.6</v>
      </c>
      <c r="L50" s="47">
        <f t="shared" si="1"/>
        <v>58.68</v>
      </c>
      <c r="M50" s="45">
        <v>792</v>
      </c>
      <c r="N50" s="45">
        <v>0</v>
      </c>
      <c r="O50" s="48">
        <v>0</v>
      </c>
      <c r="P50" s="48">
        <v>0</v>
      </c>
      <c r="Q50" s="48">
        <v>0</v>
      </c>
      <c r="R50" s="48">
        <v>85</v>
      </c>
      <c r="S50" s="48">
        <v>22</v>
      </c>
      <c r="T50" s="48">
        <f t="shared" si="2"/>
        <v>814</v>
      </c>
    </row>
    <row r="51" spans="1:20" s="38" customFormat="1" ht="13.5">
      <c r="A51" s="102" t="s">
        <v>63</v>
      </c>
      <c r="B51" s="50">
        <f>SUM(B40:B50)</f>
        <v>4583</v>
      </c>
      <c r="C51" s="47">
        <f aca="true" t="shared" si="10" ref="C51:T51">SUM(C40:C50)</f>
        <v>183</v>
      </c>
      <c r="D51" s="47">
        <f t="shared" si="10"/>
        <v>0</v>
      </c>
      <c r="E51" s="47">
        <f t="shared" si="0"/>
        <v>441</v>
      </c>
      <c r="F51" s="47">
        <f t="shared" si="10"/>
        <v>20.73</v>
      </c>
      <c r="G51" s="47">
        <f t="shared" si="10"/>
        <v>96.47</v>
      </c>
      <c r="H51" s="47">
        <f t="shared" si="10"/>
        <v>201.35</v>
      </c>
      <c r="I51" s="47">
        <f t="shared" si="10"/>
        <v>122.45</v>
      </c>
      <c r="J51" s="47">
        <f t="shared" si="10"/>
        <v>55.34</v>
      </c>
      <c r="K51" s="47">
        <f t="shared" si="10"/>
        <v>106.01</v>
      </c>
      <c r="L51" s="47">
        <f t="shared" si="1"/>
        <v>602.35</v>
      </c>
      <c r="M51" s="47">
        <f t="shared" si="10"/>
        <v>7794</v>
      </c>
      <c r="N51" s="47">
        <f t="shared" si="10"/>
        <v>0</v>
      </c>
      <c r="O51" s="47">
        <f t="shared" si="10"/>
        <v>0</v>
      </c>
      <c r="P51" s="47">
        <f t="shared" si="10"/>
        <v>51</v>
      </c>
      <c r="Q51" s="47">
        <f t="shared" si="10"/>
        <v>6</v>
      </c>
      <c r="R51" s="47">
        <f t="shared" si="10"/>
        <v>680</v>
      </c>
      <c r="S51" s="47">
        <f t="shared" si="10"/>
        <v>145</v>
      </c>
      <c r="T51" s="47">
        <f t="shared" si="10"/>
        <v>7939</v>
      </c>
    </row>
    <row r="52" spans="1:20" s="38" customFormat="1" ht="13.5">
      <c r="A52" s="102" t="s">
        <v>64</v>
      </c>
      <c r="B52" s="50">
        <v>262</v>
      </c>
      <c r="C52" s="47">
        <v>0</v>
      </c>
      <c r="D52" s="47"/>
      <c r="E52" s="46">
        <f t="shared" si="0"/>
        <v>36.5</v>
      </c>
      <c r="F52" s="47">
        <v>0.77</v>
      </c>
      <c r="G52" s="47">
        <v>1.6</v>
      </c>
      <c r="H52" s="47">
        <v>22.03</v>
      </c>
      <c r="I52" s="47">
        <v>12.1</v>
      </c>
      <c r="J52" s="47">
        <v>3</v>
      </c>
      <c r="K52" s="47">
        <v>8.5</v>
      </c>
      <c r="L52" s="47">
        <f t="shared" si="1"/>
        <v>48</v>
      </c>
      <c r="M52" s="47">
        <v>648</v>
      </c>
      <c r="N52" s="47">
        <v>0</v>
      </c>
      <c r="O52" s="58">
        <v>0</v>
      </c>
      <c r="P52" s="58">
        <v>0</v>
      </c>
      <c r="Q52" s="58">
        <v>0</v>
      </c>
      <c r="R52" s="58">
        <v>41</v>
      </c>
      <c r="S52" s="58">
        <v>12</v>
      </c>
      <c r="T52" s="48">
        <f t="shared" si="2"/>
        <v>660</v>
      </c>
    </row>
    <row r="53" spans="1:20" s="38" customFormat="1" ht="13.5">
      <c r="A53" s="105" t="s">
        <v>75</v>
      </c>
      <c r="B53" s="47">
        <v>27</v>
      </c>
      <c r="C53" s="47">
        <v>4</v>
      </c>
      <c r="D53" s="47"/>
      <c r="E53" s="46">
        <f t="shared" si="0"/>
        <v>11.74</v>
      </c>
      <c r="F53" s="47">
        <v>1.5</v>
      </c>
      <c r="G53" s="47">
        <v>2.07</v>
      </c>
      <c r="H53" s="47">
        <v>5.98</v>
      </c>
      <c r="I53" s="47">
        <v>2.19</v>
      </c>
      <c r="J53" s="47">
        <v>0</v>
      </c>
      <c r="K53" s="47">
        <v>0</v>
      </c>
      <c r="L53" s="47">
        <f t="shared" si="1"/>
        <v>11.74</v>
      </c>
      <c r="M53" s="47">
        <v>217</v>
      </c>
      <c r="N53" s="47">
        <v>0</v>
      </c>
      <c r="O53" s="58">
        <v>0</v>
      </c>
      <c r="P53" s="58">
        <v>0</v>
      </c>
      <c r="Q53" s="58">
        <v>0</v>
      </c>
      <c r="R53" s="58">
        <v>0</v>
      </c>
      <c r="S53" s="58">
        <v>3</v>
      </c>
      <c r="T53" s="48">
        <f t="shared" si="2"/>
        <v>220</v>
      </c>
    </row>
    <row r="54" spans="1:20" s="38" customFormat="1" ht="13.5">
      <c r="A54" s="106" t="s">
        <v>76</v>
      </c>
      <c r="B54" s="47">
        <v>23</v>
      </c>
      <c r="C54" s="47">
        <v>2</v>
      </c>
      <c r="D54" s="47"/>
      <c r="E54" s="46">
        <f t="shared" si="0"/>
        <v>7.86</v>
      </c>
      <c r="F54" s="47">
        <v>0.67</v>
      </c>
      <c r="G54" s="47">
        <v>0.37</v>
      </c>
      <c r="H54" s="47">
        <v>6.39</v>
      </c>
      <c r="I54" s="47">
        <v>0.43</v>
      </c>
      <c r="J54" s="47">
        <v>0.25</v>
      </c>
      <c r="K54" s="47">
        <v>1</v>
      </c>
      <c r="L54" s="47">
        <f t="shared" si="1"/>
        <v>9.11</v>
      </c>
      <c r="M54" s="47">
        <v>141</v>
      </c>
      <c r="N54" s="47">
        <v>0</v>
      </c>
      <c r="O54" s="58">
        <v>0</v>
      </c>
      <c r="P54" s="58">
        <v>20</v>
      </c>
      <c r="Q54" s="58">
        <v>2</v>
      </c>
      <c r="R54" s="58">
        <v>2</v>
      </c>
      <c r="S54" s="58">
        <v>0</v>
      </c>
      <c r="T54" s="48">
        <f>M54+S54</f>
        <v>141</v>
      </c>
    </row>
    <row r="55" spans="1:20" s="38" customFormat="1" ht="13.5">
      <c r="A55" s="106" t="s">
        <v>77</v>
      </c>
      <c r="B55" s="47">
        <v>46</v>
      </c>
      <c r="C55" s="47">
        <v>6</v>
      </c>
      <c r="D55" s="47"/>
      <c r="E55" s="46">
        <f t="shared" si="0"/>
        <v>14.57</v>
      </c>
      <c r="F55" s="47">
        <v>1.45</v>
      </c>
      <c r="G55" s="47">
        <v>0.85</v>
      </c>
      <c r="H55" s="47">
        <v>6.33</v>
      </c>
      <c r="I55" s="47">
        <v>5.94</v>
      </c>
      <c r="J55" s="47">
        <v>2.75</v>
      </c>
      <c r="K55" s="47">
        <v>6.67</v>
      </c>
      <c r="L55" s="47">
        <f t="shared" si="1"/>
        <v>23.99</v>
      </c>
      <c r="M55" s="47">
        <v>238</v>
      </c>
      <c r="N55" s="47">
        <v>0</v>
      </c>
      <c r="O55" s="58">
        <v>0</v>
      </c>
      <c r="P55" s="58">
        <v>0</v>
      </c>
      <c r="Q55" s="58">
        <v>0</v>
      </c>
      <c r="R55" s="58">
        <v>50</v>
      </c>
      <c r="S55" s="58">
        <v>6</v>
      </c>
      <c r="T55" s="48">
        <f t="shared" si="2"/>
        <v>244</v>
      </c>
    </row>
    <row r="56" spans="1:20" s="57" customFormat="1" ht="13.5">
      <c r="A56" s="102" t="s">
        <v>78</v>
      </c>
      <c r="B56" s="50">
        <f>SUM(B53:B55)</f>
        <v>96</v>
      </c>
      <c r="C56" s="47">
        <f aca="true" t="shared" si="11" ref="C56:T56">SUM(C53:C55)</f>
        <v>12</v>
      </c>
      <c r="D56" s="47">
        <f t="shared" si="11"/>
        <v>0</v>
      </c>
      <c r="E56" s="46">
        <f t="shared" si="0"/>
        <v>34.17</v>
      </c>
      <c r="F56" s="47">
        <f t="shared" si="11"/>
        <v>3.62</v>
      </c>
      <c r="G56" s="47">
        <f t="shared" si="11"/>
        <v>3.29</v>
      </c>
      <c r="H56" s="47">
        <f t="shared" si="11"/>
        <v>18.7</v>
      </c>
      <c r="I56" s="47">
        <f t="shared" si="11"/>
        <v>8.56</v>
      </c>
      <c r="J56" s="47">
        <f t="shared" si="11"/>
        <v>3</v>
      </c>
      <c r="K56" s="47">
        <f t="shared" si="11"/>
        <v>7.67</v>
      </c>
      <c r="L56" s="47">
        <f t="shared" si="1"/>
        <v>44.84</v>
      </c>
      <c r="M56" s="47">
        <f t="shared" si="11"/>
        <v>596</v>
      </c>
      <c r="N56" s="47">
        <f t="shared" si="11"/>
        <v>0</v>
      </c>
      <c r="O56" s="47">
        <f t="shared" si="11"/>
        <v>0</v>
      </c>
      <c r="P56" s="47">
        <f t="shared" si="11"/>
        <v>20</v>
      </c>
      <c r="Q56" s="47">
        <f t="shared" si="11"/>
        <v>2</v>
      </c>
      <c r="R56" s="47">
        <f t="shared" si="11"/>
        <v>52</v>
      </c>
      <c r="S56" s="47">
        <f t="shared" si="11"/>
        <v>9</v>
      </c>
      <c r="T56" s="47">
        <f t="shared" si="11"/>
        <v>605</v>
      </c>
    </row>
    <row r="57" spans="1:20" s="57" customFormat="1" ht="25.5">
      <c r="A57" s="104" t="s">
        <v>79</v>
      </c>
      <c r="B57" s="45">
        <v>22</v>
      </c>
      <c r="C57" s="46">
        <v>4</v>
      </c>
      <c r="D57" s="46"/>
      <c r="E57" s="46">
        <f t="shared" si="0"/>
        <v>2.11</v>
      </c>
      <c r="F57" s="46">
        <v>0.09</v>
      </c>
      <c r="G57" s="46">
        <v>1.11</v>
      </c>
      <c r="H57" s="46">
        <v>0.82</v>
      </c>
      <c r="I57" s="46">
        <v>0.09</v>
      </c>
      <c r="J57" s="46">
        <v>0.3</v>
      </c>
      <c r="K57" s="46">
        <v>0</v>
      </c>
      <c r="L57" s="47">
        <f t="shared" si="1"/>
        <v>2.41</v>
      </c>
      <c r="M57" s="45">
        <v>38</v>
      </c>
      <c r="N57" s="45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f t="shared" si="2"/>
        <v>38</v>
      </c>
    </row>
    <row r="58" spans="1:20" s="57" customFormat="1" ht="25.5">
      <c r="A58" s="104" t="s">
        <v>80</v>
      </c>
      <c r="B58" s="45">
        <v>0</v>
      </c>
      <c r="C58" s="46">
        <v>0</v>
      </c>
      <c r="D58" s="46"/>
      <c r="E58" s="46">
        <f t="shared" si="0"/>
        <v>7.76</v>
      </c>
      <c r="F58" s="46">
        <v>0</v>
      </c>
      <c r="G58" s="46">
        <v>0</v>
      </c>
      <c r="H58" s="46">
        <v>0</v>
      </c>
      <c r="I58" s="46">
        <v>7.76</v>
      </c>
      <c r="J58" s="46">
        <v>2</v>
      </c>
      <c r="K58" s="46">
        <v>0</v>
      </c>
      <c r="L58" s="47">
        <f t="shared" si="1"/>
        <v>9.76</v>
      </c>
      <c r="M58" s="45">
        <v>0</v>
      </c>
      <c r="N58" s="45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0</v>
      </c>
    </row>
    <row r="59" spans="1:20" s="62" customFormat="1" ht="12.75">
      <c r="A59" s="107" t="s">
        <v>85</v>
      </c>
      <c r="B59" s="59">
        <f>B10+B14+B29+B30+B31+B39+B51+B52+B56+B57+B58</f>
        <v>12434</v>
      </c>
      <c r="C59" s="59">
        <f>C10+C14+C29+C30+C31+C39+C51+C52+C56+C57+C58</f>
        <v>498</v>
      </c>
      <c r="D59" s="59">
        <f>D10+D14+D29+D30+D31+D39+D51+D52+D56+D57+D58</f>
        <v>0</v>
      </c>
      <c r="E59" s="60">
        <f t="shared" si="0"/>
        <v>1333.32</v>
      </c>
      <c r="F59" s="61">
        <f aca="true" t="shared" si="12" ref="F59:K59">F10+F14+F29+F30+F31+F39+F51+F52+F56+F57+F58</f>
        <v>50.65</v>
      </c>
      <c r="G59" s="61">
        <f t="shared" si="12"/>
        <v>222.42</v>
      </c>
      <c r="H59" s="61">
        <f t="shared" si="12"/>
        <v>621.64</v>
      </c>
      <c r="I59" s="61">
        <f t="shared" si="12"/>
        <v>438.61</v>
      </c>
      <c r="J59" s="61">
        <f t="shared" si="12"/>
        <v>130.87</v>
      </c>
      <c r="K59" s="61">
        <f t="shared" si="12"/>
        <v>276.46</v>
      </c>
      <c r="L59" s="60">
        <f t="shared" si="1"/>
        <v>1740.65</v>
      </c>
      <c r="M59" s="59">
        <f aca="true" t="shared" si="13" ref="M59:T59">M10+M14+M29+M30+M31+M39+M51+M52+M56+M57+M58</f>
        <v>23116</v>
      </c>
      <c r="N59" s="59">
        <f t="shared" si="13"/>
        <v>222</v>
      </c>
      <c r="O59" s="59">
        <f t="shared" si="13"/>
        <v>216</v>
      </c>
      <c r="P59" s="59">
        <f t="shared" si="13"/>
        <v>665</v>
      </c>
      <c r="Q59" s="59">
        <f t="shared" si="13"/>
        <v>84</v>
      </c>
      <c r="R59" s="59">
        <f t="shared" si="13"/>
        <v>2064</v>
      </c>
      <c r="S59" s="59">
        <f t="shared" si="13"/>
        <v>640</v>
      </c>
      <c r="T59" s="59">
        <f t="shared" si="13"/>
        <v>23756</v>
      </c>
    </row>
    <row r="60" spans="1:20" s="57" customFormat="1" ht="25.5">
      <c r="A60" s="104" t="s">
        <v>81</v>
      </c>
      <c r="B60" s="55">
        <v>100</v>
      </c>
      <c r="C60" s="55">
        <v>0</v>
      </c>
      <c r="D60" s="55"/>
      <c r="E60" s="46">
        <f t="shared" si="0"/>
        <v>3.39</v>
      </c>
      <c r="F60" s="55">
        <v>0</v>
      </c>
      <c r="G60" s="55">
        <v>1.12</v>
      </c>
      <c r="H60" s="55">
        <v>0.3</v>
      </c>
      <c r="I60" s="55">
        <v>1.97</v>
      </c>
      <c r="J60" s="55">
        <v>1</v>
      </c>
      <c r="K60" s="55">
        <v>2</v>
      </c>
      <c r="L60" s="47">
        <f t="shared" si="1"/>
        <v>6.39</v>
      </c>
      <c r="M60" s="55">
        <v>50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17</v>
      </c>
      <c r="T60" s="48">
        <f t="shared" si="2"/>
        <v>67</v>
      </c>
    </row>
    <row r="61" spans="1:20" s="57" customFormat="1" ht="13.5">
      <c r="A61" s="105" t="s">
        <v>31</v>
      </c>
      <c r="B61" s="63">
        <v>24</v>
      </c>
      <c r="C61" s="46">
        <v>4</v>
      </c>
      <c r="D61" s="46"/>
      <c r="E61" s="46">
        <f t="shared" si="0"/>
        <v>11.31</v>
      </c>
      <c r="F61" s="46">
        <v>3.96</v>
      </c>
      <c r="G61" s="46">
        <v>4.9</v>
      </c>
      <c r="H61" s="46">
        <v>2.45</v>
      </c>
      <c r="I61" s="46">
        <v>0</v>
      </c>
      <c r="J61" s="46">
        <v>2</v>
      </c>
      <c r="K61" s="46">
        <v>5.5</v>
      </c>
      <c r="L61" s="47">
        <f t="shared" si="1"/>
        <v>18.81</v>
      </c>
      <c r="M61" s="45">
        <v>257</v>
      </c>
      <c r="N61" s="45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f t="shared" si="2"/>
        <v>257</v>
      </c>
    </row>
    <row r="62" spans="1:20" s="57" customFormat="1" ht="13.5">
      <c r="A62" s="105" t="s">
        <v>32</v>
      </c>
      <c r="B62" s="63">
        <v>16</v>
      </c>
      <c r="C62" s="46">
        <v>2</v>
      </c>
      <c r="D62" s="46"/>
      <c r="E62" s="46">
        <f t="shared" si="0"/>
        <v>7.9</v>
      </c>
      <c r="F62" s="46">
        <v>0</v>
      </c>
      <c r="G62" s="46">
        <v>1.74</v>
      </c>
      <c r="H62" s="46">
        <v>6.16</v>
      </c>
      <c r="I62" s="46">
        <v>0</v>
      </c>
      <c r="J62" s="46">
        <v>1.31</v>
      </c>
      <c r="K62" s="46">
        <v>4.25</v>
      </c>
      <c r="L62" s="47">
        <f t="shared" si="1"/>
        <v>13.46</v>
      </c>
      <c r="M62" s="45">
        <v>171</v>
      </c>
      <c r="N62" s="45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f t="shared" si="2"/>
        <v>171</v>
      </c>
    </row>
    <row r="63" spans="1:20" s="57" customFormat="1" ht="13.5">
      <c r="A63" s="102" t="s">
        <v>33</v>
      </c>
      <c r="B63" s="53">
        <f>B61+B62</f>
        <v>40</v>
      </c>
      <c r="C63" s="53">
        <f aca="true" t="shared" si="14" ref="C63:T63">C61+C62</f>
        <v>6</v>
      </c>
      <c r="D63" s="53">
        <f t="shared" si="14"/>
        <v>0</v>
      </c>
      <c r="E63" s="47">
        <f t="shared" si="0"/>
        <v>19.21</v>
      </c>
      <c r="F63" s="47">
        <f aca="true" t="shared" si="15" ref="F63:K63">F61+F62</f>
        <v>3.96</v>
      </c>
      <c r="G63" s="47">
        <f t="shared" si="15"/>
        <v>6.64</v>
      </c>
      <c r="H63" s="47">
        <f t="shared" si="15"/>
        <v>8.61</v>
      </c>
      <c r="I63" s="47">
        <f t="shared" si="15"/>
        <v>0</v>
      </c>
      <c r="J63" s="47">
        <f t="shared" si="15"/>
        <v>3.31</v>
      </c>
      <c r="K63" s="47">
        <f t="shared" si="15"/>
        <v>9.75</v>
      </c>
      <c r="L63" s="47">
        <f t="shared" si="1"/>
        <v>32.27</v>
      </c>
      <c r="M63" s="53">
        <f t="shared" si="14"/>
        <v>428</v>
      </c>
      <c r="N63" s="53">
        <f t="shared" si="14"/>
        <v>0</v>
      </c>
      <c r="O63" s="53">
        <f t="shared" si="14"/>
        <v>0</v>
      </c>
      <c r="P63" s="53">
        <f t="shared" si="14"/>
        <v>0</v>
      </c>
      <c r="Q63" s="53">
        <f t="shared" si="14"/>
        <v>0</v>
      </c>
      <c r="R63" s="53">
        <f t="shared" si="14"/>
        <v>0</v>
      </c>
      <c r="S63" s="53">
        <f t="shared" si="14"/>
        <v>0</v>
      </c>
      <c r="T63" s="53">
        <f t="shared" si="14"/>
        <v>428</v>
      </c>
    </row>
    <row r="64" spans="1:20" s="57" customFormat="1" ht="13.5">
      <c r="A64" s="105" t="s">
        <v>34</v>
      </c>
      <c r="B64" s="64">
        <f>4100+1530</f>
        <v>5630</v>
      </c>
      <c r="C64" s="64">
        <v>0</v>
      </c>
      <c r="D64" s="64"/>
      <c r="E64" s="46">
        <f t="shared" si="0"/>
        <v>20</v>
      </c>
      <c r="F64" s="64">
        <v>0.5</v>
      </c>
      <c r="G64" s="64">
        <v>0.33</v>
      </c>
      <c r="H64" s="64">
        <v>8</v>
      </c>
      <c r="I64" s="64">
        <v>11.17</v>
      </c>
      <c r="J64" s="64">
        <v>3.15</v>
      </c>
      <c r="K64" s="64">
        <v>1.1</v>
      </c>
      <c r="L64" s="47">
        <f t="shared" si="1"/>
        <v>24.25</v>
      </c>
      <c r="M64" s="64">
        <v>384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48">
        <f t="shared" si="2"/>
        <v>384</v>
      </c>
    </row>
    <row r="65" spans="1:20" s="57" customFormat="1" ht="13.5">
      <c r="A65" s="105" t="s">
        <v>35</v>
      </c>
      <c r="B65" s="64">
        <f>4434+3531</f>
        <v>7965</v>
      </c>
      <c r="C65" s="46">
        <v>0</v>
      </c>
      <c r="D65" s="46"/>
      <c r="E65" s="46">
        <f t="shared" si="0"/>
        <v>18</v>
      </c>
      <c r="F65" s="46">
        <v>0</v>
      </c>
      <c r="G65" s="46">
        <v>2</v>
      </c>
      <c r="H65" s="46">
        <v>0</v>
      </c>
      <c r="I65" s="46">
        <v>16</v>
      </c>
      <c r="J65" s="46">
        <v>2.8</v>
      </c>
      <c r="K65" s="46">
        <v>1.75</v>
      </c>
      <c r="L65" s="47">
        <f t="shared" si="1"/>
        <v>22.55</v>
      </c>
      <c r="M65" s="46">
        <v>344</v>
      </c>
      <c r="N65" s="46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f t="shared" si="2"/>
        <v>344</v>
      </c>
    </row>
    <row r="66" spans="1:20" s="57" customFormat="1" ht="13.5">
      <c r="A66" s="105" t="s">
        <v>36</v>
      </c>
      <c r="B66" s="65">
        <f>3080+874</f>
        <v>3954</v>
      </c>
      <c r="C66" s="65">
        <v>0</v>
      </c>
      <c r="D66" s="64"/>
      <c r="E66" s="46">
        <f t="shared" si="0"/>
        <v>15.67</v>
      </c>
      <c r="F66" s="64">
        <v>0</v>
      </c>
      <c r="G66" s="64">
        <v>1.42</v>
      </c>
      <c r="H66" s="64">
        <v>6.57</v>
      </c>
      <c r="I66" s="64">
        <v>7.68</v>
      </c>
      <c r="J66" s="64">
        <v>2.55</v>
      </c>
      <c r="K66" s="64">
        <v>1.1</v>
      </c>
      <c r="L66" s="47">
        <f t="shared" si="1"/>
        <v>19.32</v>
      </c>
      <c r="M66" s="63">
        <v>297</v>
      </c>
      <c r="N66" s="63"/>
      <c r="O66" s="48"/>
      <c r="P66" s="48"/>
      <c r="Q66" s="48"/>
      <c r="R66" s="48"/>
      <c r="S66" s="48"/>
      <c r="T66" s="48">
        <f t="shared" si="2"/>
        <v>297</v>
      </c>
    </row>
    <row r="67" spans="1:20" s="57" customFormat="1" ht="13.5">
      <c r="A67" s="102" t="s">
        <v>37</v>
      </c>
      <c r="B67" s="50">
        <f>B64+B65+B66</f>
        <v>17549</v>
      </c>
      <c r="C67" s="50">
        <f aca="true" t="shared" si="16" ref="C67:T67">C64+C65+C66</f>
        <v>0</v>
      </c>
      <c r="D67" s="50">
        <f t="shared" si="16"/>
        <v>0</v>
      </c>
      <c r="E67" s="47">
        <f t="shared" si="0"/>
        <v>53.67</v>
      </c>
      <c r="F67" s="47">
        <f t="shared" si="16"/>
        <v>0.5</v>
      </c>
      <c r="G67" s="47">
        <f>G64+G65+G66</f>
        <v>3.75</v>
      </c>
      <c r="H67" s="47">
        <f>H64+H65+H66</f>
        <v>14.57</v>
      </c>
      <c r="I67" s="47">
        <f>I64+I65+I66</f>
        <v>34.85</v>
      </c>
      <c r="J67" s="47">
        <f>J64+J65+J66</f>
        <v>8.5</v>
      </c>
      <c r="K67" s="47">
        <f>K64+K65+K66</f>
        <v>3.95</v>
      </c>
      <c r="L67" s="47">
        <f t="shared" si="1"/>
        <v>66.12</v>
      </c>
      <c r="M67" s="50">
        <f t="shared" si="16"/>
        <v>1025</v>
      </c>
      <c r="N67" s="50">
        <f t="shared" si="16"/>
        <v>0</v>
      </c>
      <c r="O67" s="50">
        <f t="shared" si="16"/>
        <v>0</v>
      </c>
      <c r="P67" s="50">
        <f t="shared" si="16"/>
        <v>0</v>
      </c>
      <c r="Q67" s="50">
        <f t="shared" si="16"/>
        <v>0</v>
      </c>
      <c r="R67" s="50">
        <f t="shared" si="16"/>
        <v>0</v>
      </c>
      <c r="S67" s="50">
        <f t="shared" si="16"/>
        <v>0</v>
      </c>
      <c r="T67" s="50">
        <f t="shared" si="16"/>
        <v>1025</v>
      </c>
    </row>
    <row r="68" spans="1:20" s="57" customFormat="1" ht="13.5">
      <c r="A68" s="102" t="s">
        <v>82</v>
      </c>
      <c r="B68" s="45">
        <v>751</v>
      </c>
      <c r="C68" s="46">
        <v>0</v>
      </c>
      <c r="D68" s="46"/>
      <c r="E68" s="46">
        <f t="shared" si="0"/>
        <v>17.47</v>
      </c>
      <c r="F68" s="46">
        <v>3.82</v>
      </c>
      <c r="G68" s="46">
        <v>5.28</v>
      </c>
      <c r="H68" s="46">
        <v>4.93</v>
      </c>
      <c r="I68" s="46">
        <v>3.44</v>
      </c>
      <c r="J68" s="46">
        <v>3.25</v>
      </c>
      <c r="K68" s="46">
        <v>6.33</v>
      </c>
      <c r="L68" s="47">
        <f t="shared" si="1"/>
        <v>27.05</v>
      </c>
      <c r="M68" s="45">
        <v>292</v>
      </c>
      <c r="N68" s="45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f t="shared" si="2"/>
        <v>292</v>
      </c>
    </row>
    <row r="69" spans="1:20" s="57" customFormat="1" ht="13.5" hidden="1">
      <c r="A69" s="102" t="s">
        <v>84</v>
      </c>
      <c r="B69" s="47">
        <v>0</v>
      </c>
      <c r="C69" s="47">
        <v>0</v>
      </c>
      <c r="D69" s="47"/>
      <c r="E69" s="46">
        <f t="shared" si="0"/>
        <v>0</v>
      </c>
      <c r="F69" s="47">
        <v>0</v>
      </c>
      <c r="G69" s="47">
        <v>0</v>
      </c>
      <c r="H69" s="47">
        <v>0</v>
      </c>
      <c r="I69" s="47">
        <v>0</v>
      </c>
      <c r="J69" s="47"/>
      <c r="K69" s="47"/>
      <c r="L69" s="47">
        <f t="shared" si="1"/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8">
        <f t="shared" si="2"/>
        <v>0</v>
      </c>
    </row>
    <row r="70" spans="1:20" s="68" customFormat="1" ht="13.5">
      <c r="A70" s="105" t="s">
        <v>2</v>
      </c>
      <c r="B70" s="66">
        <v>132</v>
      </c>
      <c r="C70" s="66">
        <v>4</v>
      </c>
      <c r="D70" s="66"/>
      <c r="E70" s="46">
        <f t="shared" si="0"/>
        <v>8.55</v>
      </c>
      <c r="F70" s="66">
        <v>1.45</v>
      </c>
      <c r="G70" s="66">
        <v>1.33</v>
      </c>
      <c r="H70" s="66">
        <v>4.89</v>
      </c>
      <c r="I70" s="66">
        <v>0.88</v>
      </c>
      <c r="J70" s="66">
        <v>2.25</v>
      </c>
      <c r="K70" s="66">
        <v>9.75</v>
      </c>
      <c r="L70" s="47">
        <f t="shared" si="1"/>
        <v>20.55</v>
      </c>
      <c r="M70" s="66">
        <v>245</v>
      </c>
      <c r="N70" s="66"/>
      <c r="O70" s="66"/>
      <c r="P70" s="66"/>
      <c r="Q70" s="67"/>
      <c r="R70" s="66"/>
      <c r="S70" s="66"/>
      <c r="T70" s="48">
        <f>M70+S70</f>
        <v>245</v>
      </c>
    </row>
    <row r="71" spans="1:20" s="68" customFormat="1" ht="13.5">
      <c r="A71" s="105" t="s">
        <v>26</v>
      </c>
      <c r="B71" s="69">
        <v>87</v>
      </c>
      <c r="C71" s="69">
        <v>3</v>
      </c>
      <c r="D71" s="69"/>
      <c r="E71" s="46">
        <f>F71+G71+H71+I71</f>
        <v>6.06</v>
      </c>
      <c r="F71" s="48">
        <v>0.61</v>
      </c>
      <c r="G71" s="48">
        <v>2.05</v>
      </c>
      <c r="H71" s="48">
        <v>3.4</v>
      </c>
      <c r="I71" s="48">
        <v>0</v>
      </c>
      <c r="J71" s="48">
        <v>3.06</v>
      </c>
      <c r="K71" s="48">
        <v>11.3</v>
      </c>
      <c r="L71" s="47">
        <f>K71+J71+E71</f>
        <v>20.42</v>
      </c>
      <c r="M71" s="48">
        <v>162</v>
      </c>
      <c r="N71" s="48">
        <v>0</v>
      </c>
      <c r="O71" s="48">
        <v>0</v>
      </c>
      <c r="P71" s="48">
        <v>0</v>
      </c>
      <c r="Q71" s="48">
        <v>0</v>
      </c>
      <c r="R71" s="48">
        <v>10</v>
      </c>
      <c r="S71" s="48">
        <v>0</v>
      </c>
      <c r="T71" s="48">
        <f>M71+S71</f>
        <v>162</v>
      </c>
    </row>
    <row r="72" spans="1:20" ht="13.5">
      <c r="A72" s="102" t="s">
        <v>38</v>
      </c>
      <c r="B72" s="58">
        <f aca="true" t="shared" si="17" ref="B72:T72">SUM(B70:B71)</f>
        <v>219</v>
      </c>
      <c r="C72" s="58">
        <f t="shared" si="17"/>
        <v>7</v>
      </c>
      <c r="D72" s="58">
        <f t="shared" si="17"/>
        <v>0</v>
      </c>
      <c r="E72" s="58">
        <f t="shared" si="17"/>
        <v>14.61</v>
      </c>
      <c r="F72" s="58">
        <f t="shared" si="17"/>
        <v>2.06</v>
      </c>
      <c r="G72" s="58">
        <f t="shared" si="17"/>
        <v>3.38</v>
      </c>
      <c r="H72" s="58">
        <f t="shared" si="17"/>
        <v>8.29</v>
      </c>
      <c r="I72" s="58">
        <f t="shared" si="17"/>
        <v>0.88</v>
      </c>
      <c r="J72" s="58">
        <f t="shared" si="17"/>
        <v>5.31</v>
      </c>
      <c r="K72" s="58">
        <f t="shared" si="17"/>
        <v>21.05</v>
      </c>
      <c r="L72" s="58">
        <f t="shared" si="17"/>
        <v>40.97</v>
      </c>
      <c r="M72" s="58">
        <f t="shared" si="17"/>
        <v>407</v>
      </c>
      <c r="N72" s="58">
        <f t="shared" si="17"/>
        <v>0</v>
      </c>
      <c r="O72" s="58">
        <f t="shared" si="17"/>
        <v>0</v>
      </c>
      <c r="P72" s="58">
        <f t="shared" si="17"/>
        <v>0</v>
      </c>
      <c r="Q72" s="58">
        <f t="shared" si="17"/>
        <v>0</v>
      </c>
      <c r="R72" s="58">
        <f t="shared" si="17"/>
        <v>10</v>
      </c>
      <c r="S72" s="58">
        <f t="shared" si="17"/>
        <v>0</v>
      </c>
      <c r="T72" s="58">
        <f t="shared" si="17"/>
        <v>407</v>
      </c>
    </row>
    <row r="73" spans="1:20" ht="25.5">
      <c r="A73" s="104" t="s">
        <v>83</v>
      </c>
      <c r="B73" s="69">
        <v>0</v>
      </c>
      <c r="C73" s="69">
        <v>0</v>
      </c>
      <c r="D73" s="69"/>
      <c r="E73" s="46">
        <f>F73+G73+H73+I73</f>
        <v>1</v>
      </c>
      <c r="F73" s="48">
        <v>0</v>
      </c>
      <c r="G73" s="48">
        <v>0</v>
      </c>
      <c r="H73" s="48">
        <v>1</v>
      </c>
      <c r="I73" s="48">
        <v>0</v>
      </c>
      <c r="J73" s="48">
        <v>5.5</v>
      </c>
      <c r="K73" s="48">
        <v>4</v>
      </c>
      <c r="L73" s="47">
        <f>K73+J73+E73</f>
        <v>10.5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f>M73+S73</f>
        <v>0</v>
      </c>
    </row>
    <row r="74" spans="1:20" s="71" customFormat="1" ht="13.5">
      <c r="A74" s="108" t="s">
        <v>12</v>
      </c>
      <c r="B74" s="70">
        <f>B73+B72+B69+B68+B67+B63+B60+B58+B57+B56+B52+B51+B39+B31+B29+B14+B10</f>
        <v>31083</v>
      </c>
      <c r="C74" s="70">
        <f>C73+C72+C69+C68+C67+C63+C60+C58+C57+C56+C52+C51+C39+C31+C29+C14+C10</f>
        <v>509</v>
      </c>
      <c r="D74" s="70">
        <f>D73+D72+D69+D68+D67+D63+D60+D58+D57+D56+D52+D51+D39+D31+D29+D14+D10</f>
        <v>0</v>
      </c>
      <c r="E74" s="47">
        <f>F74+G74+H74+I74</f>
        <v>1437.6</v>
      </c>
      <c r="F74" s="70">
        <f aca="true" t="shared" si="18" ref="F74:K74">F73+F72+F69+F68+F67+F63+F60+F58+F57+F56+F52+F51+F39+F31+F29+F14+F10</f>
        <v>60.94</v>
      </c>
      <c r="G74" s="70">
        <f t="shared" si="18"/>
        <v>241.97</v>
      </c>
      <c r="H74" s="70">
        <f t="shared" si="18"/>
        <v>657.96</v>
      </c>
      <c r="I74" s="70">
        <f t="shared" si="18"/>
        <v>476.73</v>
      </c>
      <c r="J74" s="70">
        <f t="shared" si="18"/>
        <v>157.74</v>
      </c>
      <c r="K74" s="70">
        <f t="shared" si="18"/>
        <v>323.54</v>
      </c>
      <c r="L74" s="47">
        <f>K74+J74+E74</f>
        <v>1918.88</v>
      </c>
      <c r="M74" s="70">
        <f aca="true" t="shared" si="19" ref="M74:T74">M73+M72+M69+M68+M67+M63+M60+M58+M57+M56+M52+M51+M39+M31+M29+M14+M10</f>
        <v>25234</v>
      </c>
      <c r="N74" s="70">
        <f t="shared" si="19"/>
        <v>222</v>
      </c>
      <c r="O74" s="70">
        <f t="shared" si="19"/>
        <v>216</v>
      </c>
      <c r="P74" s="70">
        <f t="shared" si="19"/>
        <v>665</v>
      </c>
      <c r="Q74" s="70">
        <f t="shared" si="19"/>
        <v>84</v>
      </c>
      <c r="R74" s="70">
        <f t="shared" si="19"/>
        <v>2074</v>
      </c>
      <c r="S74" s="70">
        <f t="shared" si="19"/>
        <v>652</v>
      </c>
      <c r="T74" s="70">
        <f t="shared" si="19"/>
        <v>25886</v>
      </c>
    </row>
    <row r="75" spans="6:20" ht="12.75">
      <c r="F75" s="49"/>
      <c r="G75" s="49"/>
      <c r="H75" s="49"/>
      <c r="I75" s="49"/>
      <c r="J75" s="49"/>
      <c r="K75" s="49"/>
      <c r="L75" s="72"/>
      <c r="M75" s="49"/>
      <c r="N75" s="49"/>
      <c r="O75" s="49"/>
      <c r="P75" s="49"/>
      <c r="Q75" s="49"/>
      <c r="R75" s="49"/>
      <c r="S75" s="49"/>
      <c r="T75" s="49"/>
    </row>
    <row r="76" spans="6:20" ht="12.75">
      <c r="F76" s="49"/>
      <c r="G76" s="49"/>
      <c r="H76" s="49"/>
      <c r="I76" s="49"/>
      <c r="J76" s="49"/>
      <c r="K76" s="49"/>
      <c r="L76" s="72"/>
      <c r="M76" s="49"/>
      <c r="N76" s="49"/>
      <c r="O76" s="49"/>
      <c r="P76" s="49"/>
      <c r="Q76" s="49"/>
      <c r="R76" s="49"/>
      <c r="S76" s="49"/>
      <c r="T76" s="49"/>
    </row>
    <row r="77" spans="6:20" ht="12.75">
      <c r="F77" s="49"/>
      <c r="G77" s="49"/>
      <c r="H77" s="49"/>
      <c r="I77" s="49"/>
      <c r="J77" s="49"/>
      <c r="K77" s="49"/>
      <c r="L77" s="72"/>
      <c r="M77" s="49"/>
      <c r="N77" s="49"/>
      <c r="O77" s="49"/>
      <c r="P77" s="49"/>
      <c r="Q77" s="49"/>
      <c r="R77" s="49"/>
      <c r="S77" s="49"/>
      <c r="T77" s="49"/>
    </row>
    <row r="78" spans="6:20" ht="12.75">
      <c r="F78" s="49"/>
      <c r="G78" s="49"/>
      <c r="H78" s="49"/>
      <c r="I78" s="49"/>
      <c r="J78" s="49"/>
      <c r="K78" s="49"/>
      <c r="L78" s="72"/>
      <c r="M78" s="49"/>
      <c r="N78" s="49"/>
      <c r="O78" s="49"/>
      <c r="P78" s="49"/>
      <c r="Q78" s="49"/>
      <c r="R78" s="49"/>
      <c r="S78" s="49"/>
      <c r="T78" s="49"/>
    </row>
    <row r="79" spans="6:20" ht="12.75">
      <c r="F79" s="49"/>
      <c r="G79" s="49"/>
      <c r="H79" s="49"/>
      <c r="I79" s="49"/>
      <c r="J79" s="49"/>
      <c r="K79" s="49"/>
      <c r="L79" s="72"/>
      <c r="M79" s="49"/>
      <c r="N79" s="49"/>
      <c r="O79" s="49"/>
      <c r="P79" s="49"/>
      <c r="Q79" s="49"/>
      <c r="R79" s="49"/>
      <c r="S79" s="49"/>
      <c r="T79" s="49"/>
    </row>
    <row r="80" spans="6:20" ht="12.75">
      <c r="F80" s="49"/>
      <c r="G80" s="49"/>
      <c r="H80" s="49"/>
      <c r="I80" s="49"/>
      <c r="J80" s="49"/>
      <c r="K80" s="49"/>
      <c r="L80" s="72"/>
      <c r="M80" s="49"/>
      <c r="N80" s="49"/>
      <c r="O80" s="49"/>
      <c r="P80" s="49"/>
      <c r="Q80" s="49"/>
      <c r="R80" s="49"/>
      <c r="S80" s="49"/>
      <c r="T80" s="49"/>
    </row>
    <row r="81" spans="6:20" ht="12.75">
      <c r="F81" s="49"/>
      <c r="G81" s="49"/>
      <c r="H81" s="49"/>
      <c r="I81" s="49"/>
      <c r="J81" s="49"/>
      <c r="K81" s="49"/>
      <c r="L81" s="72"/>
      <c r="M81" s="49"/>
      <c r="N81" s="49"/>
      <c r="O81" s="49"/>
      <c r="P81" s="49"/>
      <c r="Q81" s="49"/>
      <c r="R81" s="49"/>
      <c r="S81" s="49"/>
      <c r="T81" s="49"/>
    </row>
    <row r="82" spans="6:20" ht="12.75">
      <c r="F82" s="49"/>
      <c r="G82" s="49"/>
      <c r="H82" s="49"/>
      <c r="I82" s="49"/>
      <c r="J82" s="49"/>
      <c r="K82" s="49"/>
      <c r="L82" s="72"/>
      <c r="M82" s="49"/>
      <c r="N82" s="49"/>
      <c r="O82" s="49"/>
      <c r="P82" s="49"/>
      <c r="Q82" s="49"/>
      <c r="R82" s="49"/>
      <c r="S82" s="49"/>
      <c r="T82" s="49"/>
    </row>
    <row r="83" spans="6:20" ht="12.75">
      <c r="F83" s="49"/>
      <c r="G83" s="49"/>
      <c r="H83" s="49"/>
      <c r="I83" s="49"/>
      <c r="J83" s="49"/>
      <c r="K83" s="49"/>
      <c r="L83" s="72"/>
      <c r="M83" s="49"/>
      <c r="N83" s="49"/>
      <c r="O83" s="49"/>
      <c r="P83" s="49"/>
      <c r="Q83" s="49"/>
      <c r="R83" s="49"/>
      <c r="S83" s="49"/>
      <c r="T83" s="49"/>
    </row>
    <row r="84" spans="6:20" ht="12.75">
      <c r="F84" s="49"/>
      <c r="G84" s="49"/>
      <c r="H84" s="49"/>
      <c r="I84" s="49"/>
      <c r="J84" s="49"/>
      <c r="K84" s="49"/>
      <c r="L84" s="72"/>
      <c r="M84" s="49"/>
      <c r="N84" s="49"/>
      <c r="O84" s="49"/>
      <c r="P84" s="49"/>
      <c r="Q84" s="49"/>
      <c r="R84" s="49"/>
      <c r="S84" s="49"/>
      <c r="T84" s="49"/>
    </row>
    <row r="85" spans="6:20" ht="12.75">
      <c r="F85" s="49"/>
      <c r="G85" s="49"/>
      <c r="H85" s="49"/>
      <c r="I85" s="49"/>
      <c r="J85" s="49"/>
      <c r="K85" s="49"/>
      <c r="L85" s="72"/>
      <c r="M85" s="49"/>
      <c r="N85" s="49"/>
      <c r="O85" s="49"/>
      <c r="P85" s="49"/>
      <c r="Q85" s="49"/>
      <c r="R85" s="49"/>
      <c r="S85" s="49"/>
      <c r="T85" s="49"/>
    </row>
    <row r="86" spans="6:20" ht="12.75">
      <c r="F86" s="49"/>
      <c r="G86" s="49"/>
      <c r="H86" s="49"/>
      <c r="I86" s="49"/>
      <c r="J86" s="49"/>
      <c r="K86" s="49"/>
      <c r="L86" s="72"/>
      <c r="M86" s="49"/>
      <c r="N86" s="49"/>
      <c r="O86" s="49"/>
      <c r="P86" s="49"/>
      <c r="Q86" s="49"/>
      <c r="R86" s="49"/>
      <c r="S86" s="49"/>
      <c r="T86" s="49"/>
    </row>
    <row r="87" spans="6:20" ht="12.75">
      <c r="F87" s="49"/>
      <c r="G87" s="49"/>
      <c r="H87" s="49"/>
      <c r="I87" s="49"/>
      <c r="J87" s="49"/>
      <c r="K87" s="49"/>
      <c r="L87" s="72"/>
      <c r="M87" s="49"/>
      <c r="N87" s="49"/>
      <c r="O87" s="49"/>
      <c r="P87" s="49"/>
      <c r="Q87" s="49"/>
      <c r="R87" s="49"/>
      <c r="S87" s="49"/>
      <c r="T87" s="49"/>
    </row>
    <row r="88" spans="6:20" ht="12.75">
      <c r="F88" s="49"/>
      <c r="G88" s="49"/>
      <c r="H88" s="49"/>
      <c r="I88" s="49"/>
      <c r="J88" s="49"/>
      <c r="K88" s="49"/>
      <c r="L88" s="72"/>
      <c r="M88" s="49"/>
      <c r="N88" s="49"/>
      <c r="O88" s="49"/>
      <c r="P88" s="49"/>
      <c r="Q88" s="49"/>
      <c r="R88" s="49"/>
      <c r="S88" s="49"/>
      <c r="T88" s="49"/>
    </row>
    <row r="89" spans="6:20" ht="12.75">
      <c r="F89" s="49"/>
      <c r="G89" s="49"/>
      <c r="H89" s="49"/>
      <c r="I89" s="49"/>
      <c r="J89" s="49"/>
      <c r="K89" s="49"/>
      <c r="L89" s="72"/>
      <c r="M89" s="49"/>
      <c r="N89" s="49"/>
      <c r="O89" s="49"/>
      <c r="P89" s="49"/>
      <c r="Q89" s="49"/>
      <c r="R89" s="49"/>
      <c r="S89" s="49"/>
      <c r="T89" s="49"/>
    </row>
    <row r="90" spans="6:20" ht="12.75">
      <c r="F90" s="49"/>
      <c r="G90" s="49"/>
      <c r="H90" s="49"/>
      <c r="I90" s="49"/>
      <c r="J90" s="49"/>
      <c r="K90" s="49"/>
      <c r="L90" s="72"/>
      <c r="M90" s="49"/>
      <c r="N90" s="49"/>
      <c r="O90" s="49"/>
      <c r="P90" s="49"/>
      <c r="Q90" s="49"/>
      <c r="R90" s="49"/>
      <c r="S90" s="49"/>
      <c r="T90" s="49"/>
    </row>
    <row r="91" spans="6:20" ht="12.75">
      <c r="F91" s="49"/>
      <c r="G91" s="49"/>
      <c r="H91" s="49"/>
      <c r="I91" s="49"/>
      <c r="J91" s="49"/>
      <c r="K91" s="49"/>
      <c r="L91" s="72"/>
      <c r="M91" s="49"/>
      <c r="N91" s="49"/>
      <c r="O91" s="49"/>
      <c r="P91" s="49"/>
      <c r="Q91" s="49"/>
      <c r="R91" s="49"/>
      <c r="S91" s="49"/>
      <c r="T91" s="49"/>
    </row>
    <row r="92" spans="6:20" ht="12.75">
      <c r="F92" s="49"/>
      <c r="G92" s="49"/>
      <c r="H92" s="49"/>
      <c r="I92" s="49"/>
      <c r="J92" s="49"/>
      <c r="K92" s="49"/>
      <c r="L92" s="72"/>
      <c r="M92" s="49"/>
      <c r="N92" s="49"/>
      <c r="O92" s="49"/>
      <c r="P92" s="49"/>
      <c r="Q92" s="49"/>
      <c r="R92" s="49"/>
      <c r="S92" s="49"/>
      <c r="T92" s="49"/>
    </row>
    <row r="93" spans="6:20" ht="12.75">
      <c r="F93" s="49"/>
      <c r="G93" s="49"/>
      <c r="H93" s="49"/>
      <c r="I93" s="49"/>
      <c r="J93" s="49"/>
      <c r="K93" s="49"/>
      <c r="L93" s="72"/>
      <c r="M93" s="49"/>
      <c r="N93" s="49"/>
      <c r="O93" s="49"/>
      <c r="P93" s="49"/>
      <c r="Q93" s="49"/>
      <c r="R93" s="49"/>
      <c r="S93" s="49"/>
      <c r="T93" s="49"/>
    </row>
    <row r="94" spans="6:20" ht="12.75">
      <c r="F94" s="49"/>
      <c r="G94" s="49"/>
      <c r="H94" s="49"/>
      <c r="I94" s="49"/>
      <c r="J94" s="49"/>
      <c r="K94" s="49"/>
      <c r="L94" s="72"/>
      <c r="M94" s="49"/>
      <c r="N94" s="49"/>
      <c r="O94" s="49"/>
      <c r="P94" s="49"/>
      <c r="Q94" s="49"/>
      <c r="R94" s="49"/>
      <c r="S94" s="49"/>
      <c r="T94" s="49"/>
    </row>
    <row r="95" spans="6:20" ht="12.75">
      <c r="F95" s="49"/>
      <c r="G95" s="49"/>
      <c r="H95" s="49"/>
      <c r="I95" s="49"/>
      <c r="J95" s="49"/>
      <c r="K95" s="49"/>
      <c r="L95" s="72"/>
      <c r="M95" s="49"/>
      <c r="N95" s="49"/>
      <c r="O95" s="49"/>
      <c r="P95" s="49"/>
      <c r="Q95" s="49"/>
      <c r="R95" s="49"/>
      <c r="S95" s="49"/>
      <c r="T95" s="49"/>
    </row>
    <row r="96" spans="6:20" ht="12.75">
      <c r="F96" s="49"/>
      <c r="G96" s="49"/>
      <c r="H96" s="49"/>
      <c r="I96" s="49"/>
      <c r="J96" s="49"/>
      <c r="K96" s="49"/>
      <c r="L96" s="72"/>
      <c r="M96" s="49"/>
      <c r="N96" s="49"/>
      <c r="O96" s="49"/>
      <c r="P96" s="49"/>
      <c r="Q96" s="49"/>
      <c r="R96" s="49"/>
      <c r="S96" s="49"/>
      <c r="T96" s="49"/>
    </row>
    <row r="97" spans="6:20" ht="12.75">
      <c r="F97" s="49"/>
      <c r="G97" s="49"/>
      <c r="H97" s="49"/>
      <c r="I97" s="49"/>
      <c r="J97" s="49"/>
      <c r="K97" s="49"/>
      <c r="L97" s="72"/>
      <c r="M97" s="49"/>
      <c r="N97" s="49"/>
      <c r="O97" s="49"/>
      <c r="P97" s="49"/>
      <c r="Q97" s="49"/>
      <c r="R97" s="49"/>
      <c r="S97" s="49"/>
      <c r="T97" s="49"/>
    </row>
    <row r="98" spans="6:20" ht="12.75">
      <c r="F98" s="49"/>
      <c r="G98" s="49"/>
      <c r="H98" s="49"/>
      <c r="I98" s="49"/>
      <c r="J98" s="49"/>
      <c r="K98" s="49"/>
      <c r="L98" s="72"/>
      <c r="M98" s="49"/>
      <c r="N98" s="49"/>
      <c r="O98" s="49"/>
      <c r="P98" s="49"/>
      <c r="Q98" s="49"/>
      <c r="R98" s="49"/>
      <c r="S98" s="49"/>
      <c r="T98" s="49"/>
    </row>
    <row r="99" spans="6:20" ht="12.75">
      <c r="F99" s="49"/>
      <c r="G99" s="49"/>
      <c r="H99" s="49"/>
      <c r="I99" s="49"/>
      <c r="J99" s="49"/>
      <c r="K99" s="49"/>
      <c r="L99" s="72"/>
      <c r="M99" s="49"/>
      <c r="N99" s="49"/>
      <c r="O99" s="49"/>
      <c r="P99" s="49"/>
      <c r="Q99" s="49"/>
      <c r="R99" s="49"/>
      <c r="S99" s="49"/>
      <c r="T99" s="49"/>
    </row>
    <row r="100" spans="6:20" ht="12.75">
      <c r="F100" s="49"/>
      <c r="G100" s="49"/>
      <c r="H100" s="49"/>
      <c r="I100" s="49"/>
      <c r="J100" s="49"/>
      <c r="K100" s="49"/>
      <c r="L100" s="72"/>
      <c r="M100" s="49"/>
      <c r="N100" s="49"/>
      <c r="O100" s="49"/>
      <c r="P100" s="49"/>
      <c r="Q100" s="49"/>
      <c r="R100" s="49"/>
      <c r="S100" s="49"/>
      <c r="T100" s="49"/>
    </row>
    <row r="101" spans="6:20" ht="12.75">
      <c r="F101" s="49"/>
      <c r="G101" s="49"/>
      <c r="H101" s="49"/>
      <c r="I101" s="49"/>
      <c r="J101" s="49"/>
      <c r="K101" s="49"/>
      <c r="L101" s="72"/>
      <c r="M101" s="49"/>
      <c r="N101" s="49"/>
      <c r="O101" s="49"/>
      <c r="P101" s="49"/>
      <c r="Q101" s="49"/>
      <c r="R101" s="49"/>
      <c r="S101" s="49"/>
      <c r="T101" s="49"/>
    </row>
    <row r="102" spans="6:20" ht="12.75">
      <c r="F102" s="49"/>
      <c r="G102" s="49"/>
      <c r="H102" s="49"/>
      <c r="I102" s="49"/>
      <c r="J102" s="49"/>
      <c r="K102" s="49"/>
      <c r="L102" s="72"/>
      <c r="M102" s="49"/>
      <c r="N102" s="49"/>
      <c r="O102" s="49"/>
      <c r="P102" s="49"/>
      <c r="Q102" s="49"/>
      <c r="R102" s="49"/>
      <c r="S102" s="49"/>
      <c r="T102" s="49"/>
    </row>
    <row r="103" spans="6:20" ht="12.75">
      <c r="F103" s="49"/>
      <c r="G103" s="49"/>
      <c r="H103" s="49"/>
      <c r="I103" s="49"/>
      <c r="J103" s="49"/>
      <c r="K103" s="49"/>
      <c r="L103" s="72"/>
      <c r="M103" s="49"/>
      <c r="N103" s="49"/>
      <c r="O103" s="49"/>
      <c r="P103" s="49"/>
      <c r="Q103" s="49"/>
      <c r="R103" s="49"/>
      <c r="S103" s="49"/>
      <c r="T103" s="49"/>
    </row>
    <row r="104" spans="6:20" ht="12.75">
      <c r="F104" s="49"/>
      <c r="G104" s="49"/>
      <c r="H104" s="49"/>
      <c r="I104" s="49"/>
      <c r="J104" s="49"/>
      <c r="K104" s="49"/>
      <c r="L104" s="72"/>
      <c r="M104" s="49"/>
      <c r="N104" s="49"/>
      <c r="O104" s="49"/>
      <c r="P104" s="49"/>
      <c r="Q104" s="49"/>
      <c r="R104" s="49"/>
      <c r="S104" s="49"/>
      <c r="T104" s="49"/>
    </row>
    <row r="105" spans="6:20" ht="12.75">
      <c r="F105" s="49"/>
      <c r="G105" s="49"/>
      <c r="H105" s="49"/>
      <c r="I105" s="49"/>
      <c r="J105" s="49"/>
      <c r="K105" s="49"/>
      <c r="L105" s="72"/>
      <c r="M105" s="49"/>
      <c r="N105" s="49"/>
      <c r="O105" s="49"/>
      <c r="P105" s="49"/>
      <c r="Q105" s="49"/>
      <c r="R105" s="49"/>
      <c r="S105" s="49"/>
      <c r="T105" s="49"/>
    </row>
    <row r="106" spans="6:20" ht="12.75">
      <c r="F106" s="49"/>
      <c r="G106" s="49"/>
      <c r="H106" s="49"/>
      <c r="I106" s="49"/>
      <c r="J106" s="49"/>
      <c r="K106" s="49"/>
      <c r="L106" s="72"/>
      <c r="M106" s="49"/>
      <c r="N106" s="49"/>
      <c r="O106" s="49"/>
      <c r="P106" s="49"/>
      <c r="Q106" s="49"/>
      <c r="R106" s="49"/>
      <c r="S106" s="49"/>
      <c r="T106" s="49"/>
    </row>
    <row r="107" spans="6:20" ht="12.75">
      <c r="F107" s="49"/>
      <c r="G107" s="49"/>
      <c r="H107" s="49"/>
      <c r="I107" s="49"/>
      <c r="J107" s="49"/>
      <c r="K107" s="49"/>
      <c r="L107" s="72"/>
      <c r="M107" s="49"/>
      <c r="N107" s="49"/>
      <c r="O107" s="49"/>
      <c r="P107" s="49"/>
      <c r="Q107" s="49"/>
      <c r="R107" s="49"/>
      <c r="S107" s="49"/>
      <c r="T107" s="49"/>
    </row>
    <row r="108" spans="6:20" ht="12.75">
      <c r="F108" s="49"/>
      <c r="G108" s="49"/>
      <c r="H108" s="49"/>
      <c r="I108" s="49"/>
      <c r="J108" s="49"/>
      <c r="K108" s="49"/>
      <c r="L108" s="72"/>
      <c r="M108" s="49"/>
      <c r="N108" s="49"/>
      <c r="O108" s="49"/>
      <c r="P108" s="49"/>
      <c r="Q108" s="49"/>
      <c r="R108" s="49"/>
      <c r="S108" s="49"/>
      <c r="T108" s="49"/>
    </row>
    <row r="109" spans="6:20" ht="12.75">
      <c r="F109" s="49"/>
      <c r="G109" s="49"/>
      <c r="H109" s="49"/>
      <c r="I109" s="49"/>
      <c r="J109" s="49"/>
      <c r="K109" s="49"/>
      <c r="L109" s="72"/>
      <c r="M109" s="49"/>
      <c r="N109" s="49"/>
      <c r="O109" s="49"/>
      <c r="P109" s="49"/>
      <c r="Q109" s="49"/>
      <c r="R109" s="49"/>
      <c r="S109" s="49"/>
      <c r="T109" s="49"/>
    </row>
    <row r="110" spans="6:20" ht="12.75">
      <c r="F110" s="49"/>
      <c r="G110" s="49"/>
      <c r="H110" s="49"/>
      <c r="I110" s="49"/>
      <c r="J110" s="49"/>
      <c r="K110" s="49"/>
      <c r="L110" s="72"/>
      <c r="M110" s="49"/>
      <c r="N110" s="49"/>
      <c r="O110" s="49"/>
      <c r="P110" s="49"/>
      <c r="Q110" s="49"/>
      <c r="R110" s="49"/>
      <c r="S110" s="49"/>
      <c r="T110" s="49"/>
    </row>
    <row r="111" spans="6:20" ht="12.75">
      <c r="F111" s="49"/>
      <c r="G111" s="49"/>
      <c r="H111" s="49"/>
      <c r="I111" s="49"/>
      <c r="J111" s="49"/>
      <c r="K111" s="49"/>
      <c r="L111" s="72"/>
      <c r="M111" s="49"/>
      <c r="N111" s="49"/>
      <c r="O111" s="49"/>
      <c r="P111" s="49"/>
      <c r="Q111" s="49"/>
      <c r="R111" s="49"/>
      <c r="S111" s="49"/>
      <c r="T111" s="49"/>
    </row>
    <row r="112" spans="6:20" ht="12.75">
      <c r="F112" s="49"/>
      <c r="G112" s="49"/>
      <c r="H112" s="49"/>
      <c r="I112" s="49"/>
      <c r="J112" s="49"/>
      <c r="K112" s="49"/>
      <c r="L112" s="72"/>
      <c r="M112" s="49"/>
      <c r="N112" s="49"/>
      <c r="O112" s="49"/>
      <c r="P112" s="49"/>
      <c r="Q112" s="49"/>
      <c r="R112" s="49"/>
      <c r="S112" s="49"/>
      <c r="T112" s="49"/>
    </row>
    <row r="113" spans="6:20" ht="12.75">
      <c r="F113" s="49"/>
      <c r="G113" s="49"/>
      <c r="H113" s="49"/>
      <c r="I113" s="49"/>
      <c r="J113" s="49"/>
      <c r="K113" s="49"/>
      <c r="L113" s="72"/>
      <c r="M113" s="49"/>
      <c r="N113" s="49"/>
      <c r="O113" s="49"/>
      <c r="P113" s="49"/>
      <c r="Q113" s="49"/>
      <c r="R113" s="49"/>
      <c r="S113" s="49"/>
      <c r="T113" s="49"/>
    </row>
    <row r="114" spans="6:20" ht="12.75">
      <c r="F114" s="49"/>
      <c r="G114" s="49"/>
      <c r="H114" s="49"/>
      <c r="I114" s="49"/>
      <c r="J114" s="49"/>
      <c r="K114" s="49"/>
      <c r="L114" s="72"/>
      <c r="M114" s="49"/>
      <c r="N114" s="49"/>
      <c r="O114" s="49"/>
      <c r="P114" s="49"/>
      <c r="Q114" s="49"/>
      <c r="R114" s="49"/>
      <c r="S114" s="49"/>
      <c r="T114" s="49"/>
    </row>
    <row r="115" spans="6:20" ht="12.75">
      <c r="F115" s="49"/>
      <c r="G115" s="49"/>
      <c r="H115" s="49"/>
      <c r="I115" s="49"/>
      <c r="J115" s="49"/>
      <c r="K115" s="49"/>
      <c r="L115" s="72"/>
      <c r="M115" s="49"/>
      <c r="N115" s="49"/>
      <c r="O115" s="49"/>
      <c r="P115" s="49"/>
      <c r="Q115" s="49"/>
      <c r="R115" s="49"/>
      <c r="S115" s="49"/>
      <c r="T115" s="49"/>
    </row>
    <row r="116" spans="6:20" ht="12.75">
      <c r="F116" s="49"/>
      <c r="G116" s="49"/>
      <c r="H116" s="49"/>
      <c r="I116" s="49"/>
      <c r="J116" s="49"/>
      <c r="K116" s="49"/>
      <c r="L116" s="72"/>
      <c r="M116" s="49"/>
      <c r="N116" s="49"/>
      <c r="O116" s="49"/>
      <c r="P116" s="49"/>
      <c r="Q116" s="49"/>
      <c r="R116" s="49"/>
      <c r="S116" s="49"/>
      <c r="T116" s="49"/>
    </row>
    <row r="117" spans="6:20" ht="12.75">
      <c r="F117" s="49"/>
      <c r="G117" s="49"/>
      <c r="H117" s="49"/>
      <c r="I117" s="49"/>
      <c r="J117" s="49"/>
      <c r="K117" s="49"/>
      <c r="L117" s="72"/>
      <c r="M117" s="49"/>
      <c r="N117" s="49"/>
      <c r="O117" s="49"/>
      <c r="P117" s="49"/>
      <c r="Q117" s="49"/>
      <c r="R117" s="49"/>
      <c r="S117" s="49"/>
      <c r="T117" s="49"/>
    </row>
    <row r="118" spans="6:20" ht="12.75">
      <c r="F118" s="49"/>
      <c r="G118" s="49"/>
      <c r="H118" s="49"/>
      <c r="I118" s="49"/>
      <c r="J118" s="49"/>
      <c r="K118" s="49"/>
      <c r="L118" s="72"/>
      <c r="M118" s="49"/>
      <c r="N118" s="49"/>
      <c r="O118" s="49"/>
      <c r="P118" s="49"/>
      <c r="Q118" s="49"/>
      <c r="R118" s="49"/>
      <c r="S118" s="49"/>
      <c r="T118" s="49"/>
    </row>
    <row r="119" spans="6:20" ht="12.75">
      <c r="F119" s="49"/>
      <c r="G119" s="49"/>
      <c r="H119" s="49"/>
      <c r="I119" s="49"/>
      <c r="J119" s="49"/>
      <c r="K119" s="49"/>
      <c r="L119" s="72"/>
      <c r="M119" s="49"/>
      <c r="N119" s="49"/>
      <c r="O119" s="49"/>
      <c r="P119" s="49"/>
      <c r="Q119" s="49"/>
      <c r="R119" s="49"/>
      <c r="S119" s="49"/>
      <c r="T119" s="49"/>
    </row>
    <row r="120" spans="6:20" ht="12.75">
      <c r="F120" s="49"/>
      <c r="G120" s="49"/>
      <c r="H120" s="49"/>
      <c r="I120" s="49"/>
      <c r="J120" s="49"/>
      <c r="K120" s="49"/>
      <c r="L120" s="72"/>
      <c r="M120" s="49"/>
      <c r="N120" s="49"/>
      <c r="O120" s="49"/>
      <c r="P120" s="49"/>
      <c r="Q120" s="49"/>
      <c r="R120" s="49"/>
      <c r="S120" s="49"/>
      <c r="T120" s="49"/>
    </row>
    <row r="121" spans="6:20" ht="12.75">
      <c r="F121" s="49"/>
      <c r="G121" s="49"/>
      <c r="H121" s="49"/>
      <c r="I121" s="49"/>
      <c r="J121" s="49"/>
      <c r="K121" s="49"/>
      <c r="L121" s="72"/>
      <c r="M121" s="49"/>
      <c r="N121" s="49"/>
      <c r="O121" s="49"/>
      <c r="P121" s="49"/>
      <c r="Q121" s="49"/>
      <c r="R121" s="49"/>
      <c r="S121" s="49"/>
      <c r="T121" s="49"/>
    </row>
    <row r="122" spans="6:20" ht="12.75">
      <c r="F122" s="49"/>
      <c r="G122" s="49"/>
      <c r="H122" s="49"/>
      <c r="I122" s="49"/>
      <c r="J122" s="49"/>
      <c r="K122" s="49"/>
      <c r="L122" s="72"/>
      <c r="M122" s="49"/>
      <c r="N122" s="49"/>
      <c r="O122" s="49"/>
      <c r="P122" s="49"/>
      <c r="Q122" s="49"/>
      <c r="R122" s="49"/>
      <c r="S122" s="49"/>
      <c r="T122" s="49"/>
    </row>
    <row r="123" spans="6:20" ht="12.75">
      <c r="F123" s="49"/>
      <c r="G123" s="49"/>
      <c r="H123" s="49"/>
      <c r="I123" s="49"/>
      <c r="J123" s="49"/>
      <c r="K123" s="49"/>
      <c r="L123" s="72"/>
      <c r="M123" s="49"/>
      <c r="N123" s="49"/>
      <c r="O123" s="49"/>
      <c r="P123" s="49"/>
      <c r="Q123" s="49"/>
      <c r="R123" s="49"/>
      <c r="S123" s="49"/>
      <c r="T123" s="49"/>
    </row>
    <row r="124" spans="6:20" ht="12.75">
      <c r="F124" s="49"/>
      <c r="G124" s="49"/>
      <c r="H124" s="49"/>
      <c r="I124" s="49"/>
      <c r="J124" s="49"/>
      <c r="K124" s="49"/>
      <c r="L124" s="72"/>
      <c r="M124" s="49"/>
      <c r="N124" s="49"/>
      <c r="O124" s="49"/>
      <c r="P124" s="49"/>
      <c r="Q124" s="49"/>
      <c r="R124" s="49"/>
      <c r="S124" s="49"/>
      <c r="T124" s="49"/>
    </row>
    <row r="125" spans="6:20" ht="12.75">
      <c r="F125" s="49"/>
      <c r="G125" s="49"/>
      <c r="H125" s="49"/>
      <c r="I125" s="49"/>
      <c r="J125" s="49"/>
      <c r="K125" s="49"/>
      <c r="L125" s="72"/>
      <c r="M125" s="49"/>
      <c r="N125" s="49"/>
      <c r="O125" s="49"/>
      <c r="P125" s="49"/>
      <c r="Q125" s="49"/>
      <c r="R125" s="49"/>
      <c r="S125" s="49"/>
      <c r="T125" s="49"/>
    </row>
    <row r="126" spans="6:20" ht="12.75">
      <c r="F126" s="49"/>
      <c r="G126" s="49"/>
      <c r="H126" s="49"/>
      <c r="I126" s="49"/>
      <c r="J126" s="49"/>
      <c r="K126" s="49"/>
      <c r="L126" s="72"/>
      <c r="M126" s="49"/>
      <c r="N126" s="49"/>
      <c r="O126" s="49"/>
      <c r="P126" s="49"/>
      <c r="Q126" s="49"/>
      <c r="R126" s="49"/>
      <c r="S126" s="49"/>
      <c r="T126" s="49"/>
    </row>
    <row r="127" spans="6:20" ht="12.75">
      <c r="F127" s="49"/>
      <c r="G127" s="49"/>
      <c r="H127" s="49"/>
      <c r="I127" s="49"/>
      <c r="J127" s="49"/>
      <c r="K127" s="49"/>
      <c r="L127" s="72"/>
      <c r="M127" s="49"/>
      <c r="N127" s="49"/>
      <c r="O127" s="49"/>
      <c r="P127" s="49"/>
      <c r="Q127" s="49"/>
      <c r="R127" s="49"/>
      <c r="S127" s="49"/>
      <c r="T127" s="49"/>
    </row>
    <row r="128" spans="6:20" ht="12.75">
      <c r="F128" s="49"/>
      <c r="G128" s="49"/>
      <c r="H128" s="49"/>
      <c r="I128" s="49"/>
      <c r="J128" s="49"/>
      <c r="K128" s="49"/>
      <c r="L128" s="72"/>
      <c r="M128" s="49"/>
      <c r="N128" s="49"/>
      <c r="O128" s="49"/>
      <c r="P128" s="49"/>
      <c r="Q128" s="49"/>
      <c r="R128" s="49"/>
      <c r="S128" s="49"/>
      <c r="T128" s="49"/>
    </row>
  </sheetData>
  <mergeCells count="12">
    <mergeCell ref="K5:K6"/>
    <mergeCell ref="L5:L6"/>
    <mergeCell ref="M4:S4"/>
    <mergeCell ref="S5:S6"/>
    <mergeCell ref="A2:T2"/>
    <mergeCell ref="T4:T6"/>
    <mergeCell ref="B5:B6"/>
    <mergeCell ref="C5:C6"/>
    <mergeCell ref="A4:A6"/>
    <mergeCell ref="M5:R5"/>
    <mergeCell ref="E5:I5"/>
    <mergeCell ref="J5:J6"/>
  </mergeCells>
  <printOptions horizontalCentered="1"/>
  <pageMargins left="0.46" right="0.32" top="0.69" bottom="0.54" header="0.22" footer="0.17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7"/>
  <sheetViews>
    <sheetView workbookViewId="0" topLeftCell="A1">
      <selection activeCell="B6" sqref="B6"/>
    </sheetView>
  </sheetViews>
  <sheetFormatPr defaultColWidth="9.00390625" defaultRowHeight="12.75"/>
  <cols>
    <col min="1" max="1" width="34.125" style="0" customWidth="1"/>
    <col min="2" max="2" width="19.75390625" style="0" customWidth="1"/>
    <col min="3" max="3" width="18.125" style="0" customWidth="1"/>
    <col min="4" max="4" width="19.375" style="0" customWidth="1"/>
    <col min="5" max="5" width="12.875" style="0" customWidth="1"/>
  </cols>
  <sheetData>
    <row r="3" spans="1:5" ht="51.75">
      <c r="A3" s="2" t="s">
        <v>89</v>
      </c>
      <c r="B3" s="3" t="s">
        <v>90</v>
      </c>
      <c r="C3" s="3" t="s">
        <v>91</v>
      </c>
      <c r="D3" s="3" t="s">
        <v>92</v>
      </c>
      <c r="E3" s="3" t="s">
        <v>93</v>
      </c>
    </row>
    <row r="4" spans="1:5" ht="75" customHeight="1">
      <c r="A4" s="4" t="s">
        <v>94</v>
      </c>
      <c r="B4" s="1">
        <v>100845381</v>
      </c>
      <c r="C4" s="1">
        <f>145591+71753541+45544+17530</f>
        <v>71962206</v>
      </c>
      <c r="D4" s="1">
        <f>B4-C4</f>
        <v>28883175</v>
      </c>
      <c r="E4" s="7">
        <f>D4/B4</f>
        <v>0.29</v>
      </c>
    </row>
    <row r="5" spans="1:5" ht="82.5" customHeight="1">
      <c r="A5" s="4" t="s">
        <v>95</v>
      </c>
      <c r="B5" s="1">
        <v>80009293</v>
      </c>
      <c r="C5" s="1">
        <f>61787572+38036+26358+507500</f>
        <v>62359466</v>
      </c>
      <c r="D5" s="1">
        <f>B5-C5</f>
        <v>17649827</v>
      </c>
      <c r="E5" s="7">
        <f>D5/B5</f>
        <v>0.22</v>
      </c>
    </row>
    <row r="6" spans="1:5" ht="78.75" customHeight="1">
      <c r="A6" s="4" t="s">
        <v>96</v>
      </c>
      <c r="B6" s="1">
        <v>39587778</v>
      </c>
      <c r="C6" s="1">
        <f>78420+12418+157208+250162+18000+245427+112928</f>
        <v>874563</v>
      </c>
      <c r="D6" s="1">
        <f>B6-C6</f>
        <v>38713215</v>
      </c>
      <c r="E6" s="7">
        <f>D6/B6</f>
        <v>0.98</v>
      </c>
    </row>
    <row r="7" spans="1:5" ht="29.25" customHeight="1">
      <c r="A7" s="5" t="s">
        <v>97</v>
      </c>
      <c r="B7" s="6">
        <f>SUM(B4:B6)</f>
        <v>220442452</v>
      </c>
      <c r="C7" s="6">
        <f>SUM(C4:C6)</f>
        <v>135196235</v>
      </c>
      <c r="D7" s="6">
        <f>SUM(D4:D6)</f>
        <v>85246217</v>
      </c>
      <c r="E7" s="7">
        <f>D7/B7</f>
        <v>0.39</v>
      </c>
    </row>
  </sheetData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Gdyni</dc:creator>
  <cp:keywords/>
  <dc:description/>
  <cp:lastModifiedBy>Anna Zakrzewska</cp:lastModifiedBy>
  <cp:lastPrinted>2007-03-06T10:17:44Z</cp:lastPrinted>
  <dcterms:created xsi:type="dcterms:W3CDTF">1998-01-19T07:38:13Z</dcterms:created>
  <dcterms:modified xsi:type="dcterms:W3CDTF">2007-03-06T10:18:30Z</dcterms:modified>
  <cp:category/>
  <cp:version/>
  <cp:contentType/>
  <cp:contentStatus/>
</cp:coreProperties>
</file>