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65" windowWidth="9435" windowHeight="4590" firstSheet="3" activeTab="3"/>
  </bookViews>
  <sheets>
    <sheet name="STYCZEŃ plan na koniec stycz OK" sheetId="1" r:id="rId1"/>
    <sheet name="Wykon za I kwartał 09" sheetId="2" r:id="rId2"/>
    <sheet name="Analiza I kw do roku 2007-2009 " sheetId="3" r:id="rId3"/>
    <sheet name="Wykon za I - VI" sheetId="4" r:id="rId4"/>
  </sheets>
  <definedNames>
    <definedName name="_xlnm.Print_Titles" localSheetId="2">'Analiza I kw do roku 2007-2009 '!$2:$3</definedName>
    <definedName name="_xlnm.Print_Titles" localSheetId="0">'STYCZEŃ plan na koniec stycz OK'!$2:$3</definedName>
    <definedName name="_xlnm.Print_Titles" localSheetId="3">'Wykon za I - VI'!$2:$3</definedName>
    <definedName name="_xlnm.Print_Titles" localSheetId="1">'Wykon za I kwartał 09'!$2:$3</definedName>
  </definedNames>
  <calcPr fullCalcOnLoad="1"/>
</workbook>
</file>

<file path=xl/sharedStrings.xml><?xml version="1.0" encoding="utf-8"?>
<sst xmlns="http://schemas.openxmlformats.org/spreadsheetml/2006/main" count="1479" uniqueCount="450">
  <si>
    <t>75615,2680 - rekompens. Utr.doch w pod. I opł.lok. (było to w 2006r. 2440 dot.otrz.z fund.cel)</t>
  </si>
  <si>
    <t>75618,p.0480</t>
  </si>
  <si>
    <t>75618,p.0420</t>
  </si>
  <si>
    <t>75616,opł targ-0430,miejsc.-0440</t>
  </si>
  <si>
    <t>p.0450</t>
  </si>
  <si>
    <t>75616,p.0370</t>
  </si>
  <si>
    <t>75615,16,p.0910</t>
  </si>
  <si>
    <t>75601,p.0350</t>
  </si>
  <si>
    <t>75616,p.0360</t>
  </si>
  <si>
    <t>75615,16,p.500</t>
  </si>
  <si>
    <t>70005,p.0770</t>
  </si>
  <si>
    <t>70005 p.0760</t>
  </si>
  <si>
    <t>70095,p.0750</t>
  </si>
  <si>
    <t>70005,p.0470</t>
  </si>
  <si>
    <t>85305,p.0830Żłobek - z usług -</t>
  </si>
  <si>
    <t>MOPS,85203,85228,p.0830</t>
  </si>
  <si>
    <t>GCI  wpł. Z usług -71095,p.0830</t>
  </si>
  <si>
    <t>CAS- 85395,p.0830</t>
  </si>
  <si>
    <t>gm:60004,p.0690;75023,p.0590,0690;pow.75023,0590,0690 z Wydz. Spraw Obywatelskich</t>
  </si>
  <si>
    <t>85212, p.236 zaplanowane I wszy raz na 2008r, chociaż bez planu było wykon. Poprzednio</t>
  </si>
  <si>
    <t>Wydz. Doch70005,p.2360- info z Wydz. Dochodów w tym są 1) opłaty za wieczyste użyt. I dzierż.gruntów Skarb.Pań. -25% i 2) przekształc. Wieczyst. Użytk. Gruntów Skar. Pań w pr. Własności w 2008r. 25%, a było 5%</t>
  </si>
  <si>
    <t>75814,p.0920, doszło RM z 24.10</t>
  </si>
  <si>
    <t>75416,p.0570</t>
  </si>
  <si>
    <t>Wykonanie za okres od I ……….. 2009r.</t>
  </si>
  <si>
    <t xml:space="preserve">Plan na 2009 rok  </t>
  </si>
  <si>
    <t>wpływy z opłat za parkowanie</t>
  </si>
  <si>
    <t xml:space="preserve">60015, p0830 weszło RM z 28.01.2009r. </t>
  </si>
  <si>
    <t>środki dla Powiatowego Zespołu ds.Orzekania o Niepełnosprawności zgodnie z zawartym porozumieniem pomiędzy Miastem Gdynia, a Mastem Sopot</t>
  </si>
  <si>
    <t>gm-plan190000, p.097 tj. Wydz.dochodów za dzienniki budowy,formularze,koszty postęp.proc. Gm.100 - 80110 p.097, pow. 80130 p.0970 - 650, 85406, p.0970 - 180, 85417 ,p. 097-500- tj. info z Edukacji , Wydz.Eduk. 85415 p.0960</t>
  </si>
  <si>
    <t>85415,P.2889</t>
  </si>
  <si>
    <t>Wydz.Księg.75023,p.2320</t>
  </si>
  <si>
    <t>85333,p.2320 zg. Z pismem z PUP</t>
  </si>
  <si>
    <t>85204,p.2320 MOPS</t>
  </si>
  <si>
    <t>85321,p.2320  MOPS</t>
  </si>
  <si>
    <t>85201,p.2320,MOPS</t>
  </si>
  <si>
    <t>92605,p.6300-weszło ZP z 31.10</t>
  </si>
  <si>
    <t>85333,p.2690</t>
  </si>
  <si>
    <t>90095,6289 weszło RM z 24.10</t>
  </si>
  <si>
    <t>85201, p.2709- pojawiło się w czerwcu jeszcze rozlicz. Projektu z ub. Roku</t>
  </si>
  <si>
    <t>85415,p.2889</t>
  </si>
  <si>
    <t>85311,p.2709</t>
  </si>
  <si>
    <t>71095,p.2889 został poprawiony 13.11.07r. Z polec szefowej, bo u Wiesi zg. z przelewami był taki, a u nas był 2709; Wiesia ma porozm. Z Szefową, gdyz P. Gosia księguje na 2709odsetki 0929!!!!!!!</t>
  </si>
  <si>
    <t>71095,p.6260</t>
  </si>
  <si>
    <t>85311,p.2449</t>
  </si>
  <si>
    <t>60004,p.2440 weszło RM 24.10</t>
  </si>
  <si>
    <t>85403,p.2440, rm z 29.08</t>
  </si>
  <si>
    <t>wydz.Inwestycji60016 i 90001,90095,p.6290</t>
  </si>
  <si>
    <t>60015,p..6298</t>
  </si>
  <si>
    <t>60015,p.6298</t>
  </si>
  <si>
    <t>90095,p.6288 weszło RM 24paźdz</t>
  </si>
  <si>
    <t>85415,p.2888</t>
  </si>
  <si>
    <t>71095,p.2708</t>
  </si>
  <si>
    <t>60095;2708 weszło RM z 23.05.07</t>
  </si>
  <si>
    <t>92605,p.2708</t>
  </si>
  <si>
    <t>71095,p.2708-tylko ten parag.zaplan. W 08r. i 6298 bieżące i inwest. Tj.  Projekt GCI, odsetki p,0928</t>
  </si>
  <si>
    <t>60095,p.2708</t>
  </si>
  <si>
    <t>60004,p.2708</t>
  </si>
  <si>
    <t>koniec 10.08.07-90001,p.6298, Wydz. Inwestycji</t>
  </si>
  <si>
    <t>p.0010</t>
  </si>
  <si>
    <t>p.0020</t>
  </si>
  <si>
    <t>75801,p.292</t>
  </si>
  <si>
    <t>75832,p.2920</t>
  </si>
  <si>
    <t>75832,p.292</t>
  </si>
  <si>
    <t>71015,p.2110,imwest-p.6410</t>
  </si>
  <si>
    <t>75411,p.211</t>
  </si>
  <si>
    <t>75411,p.641</t>
  </si>
  <si>
    <t>85203;p201 -gm i 211-powiat</t>
  </si>
  <si>
    <t>85295,p.2010</t>
  </si>
  <si>
    <t>85228,p.201</t>
  </si>
  <si>
    <t>85321,p.211</t>
  </si>
  <si>
    <t>85156,p.211</t>
  </si>
  <si>
    <t>85195,p.2010</t>
  </si>
  <si>
    <t>gm.75011,p.2010 i inwest.6310;  pow.2110</t>
  </si>
  <si>
    <t>gm.75108,201</t>
  </si>
  <si>
    <t>75101,p.2010</t>
  </si>
  <si>
    <t>71013p.211</t>
  </si>
  <si>
    <t>71014,p.211</t>
  </si>
  <si>
    <t>75045,p.2110</t>
  </si>
  <si>
    <t>71035,p.202</t>
  </si>
  <si>
    <t>80195,p.2030</t>
  </si>
  <si>
    <t>80195,p.2130-ZP z 11.09</t>
  </si>
  <si>
    <t>85202,p.2130</t>
  </si>
  <si>
    <t>85295,p.203 - w  DPS</t>
  </si>
  <si>
    <t>85214,p.203</t>
  </si>
  <si>
    <t>85219,p.203</t>
  </si>
  <si>
    <t>75411,par.2110</t>
  </si>
  <si>
    <t>wpływy Urzędu Miasta</t>
  </si>
  <si>
    <t>środki na dofinansowanie projektu COMENIUS</t>
  </si>
  <si>
    <t>projekt "Poprawa czystości wód morza Bałtyckiego poprzez rozwój systemów gospodarki wodnej"</t>
  </si>
  <si>
    <t xml:space="preserve"> </t>
  </si>
  <si>
    <t>gmina: 70001-ABK 3-4566583, ABK nr 4 - 5.200.000 razem 9.766.583 zł  -ZKM-60004,p.0750,Wydz.Bud-70001,GCI-71095,Wydz.Doch.-75023,ZCK-90017,Gosir -92605 ; powiat:60015;80102;85201;85333, w wykon. 500 zł to w 80130 Szk. Zawodowe</t>
  </si>
  <si>
    <t>60004,p.0830 są to tylko doch z tramwaju wodnego od Gł księg. P. Cieślicka 25.10.07 od maja 2008r już tramwaj rusza w każdy weekend</t>
  </si>
  <si>
    <t>92605,ZP z 31.10</t>
  </si>
  <si>
    <t>wpływy za pobyt dzieci w placówkach opiekuńczo - wychowawczych</t>
  </si>
  <si>
    <t>80195,p.2460</t>
  </si>
  <si>
    <t>92601 p.6260 dotacje z fund.cel.na inwest. Poinf Pani Alicja, bo było to błędnie w p.0690; info od P.Dyr hali harmonogram</t>
  </si>
  <si>
    <t>85311,p.2708</t>
  </si>
  <si>
    <t>85201 , p.2708</t>
  </si>
  <si>
    <t>dofinansowanie projektu "Efektywny samorząd - kompetentna kadra w Urzędzie Miasta Gdyni i Gminy Kosakowo"</t>
  </si>
  <si>
    <t>gm.85415p.203 pow.213dofin.pomocy mater. Dla uczniów o charakterze socjalnym i pow.213 - z przezn.na wypłatę styp.dla uczniów pochodz. Z rodzin byłych pracown.państw.przedsięb.gospodarki rolnej - DECYZJE zg. Z ZP z 08.05</t>
  </si>
  <si>
    <t>85406,p.213</t>
  </si>
  <si>
    <t>85406,85407,p2130 weszło 04.12.07r.</t>
  </si>
  <si>
    <t>80195,p.2030 będzie w pl. W grudniu</t>
  </si>
  <si>
    <t>80195,p.2130 ZP 24.10</t>
  </si>
  <si>
    <t>85220,p.2130 -weszło we wrz</t>
  </si>
  <si>
    <t>85202,p.2130 tj. Caritas im. Sw.O.Pio, Caritas im. J.Pawła II, i "Za sosnami"</t>
  </si>
  <si>
    <t>nqa wydruku</t>
  </si>
  <si>
    <t>60015,par.6620</t>
  </si>
  <si>
    <t>Ustalone z Szefową 06.08.07r. Iż te doch. Będą tutaj, a nie jak do tej pory śr z UE, gdyz paragrafy nie mają końcówek unijnych.-Wydz. Integracji Europejskiej! Tellus- różnice kursowe,60015,p.2700 i 60095; Otwarta Platf. 75095, p.2700 - odsetki; do planu T</t>
  </si>
  <si>
    <t>środki z Sopotu i Gdańska na realizację zadania - Inteligentny System Zarządzania Ruchem w Trójmieście - TRISTAR"</t>
  </si>
  <si>
    <t>Porozumienia:</t>
  </si>
  <si>
    <t>rozliczenia z lat ubiegłych oraz zwroty dotacji wykorzystanych niezgodnie z przeznaczeniem lub pobranych w nadmiernej wysokości</t>
  </si>
  <si>
    <t>INFO od Danusi Miluć 70001 - ABK nr 3, 85154,p.2910 zwrot z dotacji m.in..SPZOZ Osr. Profil. I Terapii Uzależnień ; i 92605 - Urząd Morski ORAZ rozlicz. Z lat ub p.900 ustalono dn. 05.03.2009r., że te 2 poz. Zwroty dot. I rozlicz z lat ub. Razem!!!</t>
  </si>
  <si>
    <t>90095,6298, wykon. Weszło w grud. 2008r.</t>
  </si>
  <si>
    <t>weszło 23.04- 60016, p.6290,90001,</t>
  </si>
  <si>
    <t>wpływy do budżetu nadwyżki środków obrotowych zakładu budżetowego</t>
  </si>
  <si>
    <t>80104,p.2370 ustal. 03.06 że to tu ma być</t>
  </si>
  <si>
    <t>75618. Alicja 13.12.06r. Poinf, że RIO zakwest. Kwalifik renty planist. Powinna być w 75618 -wpł.z innych opłat stanow.doch jst.na podst ustaw, ustalono od.02.10 - że ta poz. Nie ma być w dochodach z majątku, tylko w opłatach pob. Prze a było -P. Wiłucka-</t>
  </si>
  <si>
    <t xml:space="preserve">środki z Sejmiku Województwa Pomorskiego na integrację lokalnego transportu zbiorowego w ramach Metropolitarnego Związku Komunikacyjnego Zatoki Gdańskiej </t>
  </si>
  <si>
    <t>60004,par.2710, weszło 28.05 RM</t>
  </si>
  <si>
    <t>80101;p.2030 weszło ZP 28.05</t>
  </si>
  <si>
    <t>71095,p2889 i 0929 GCI to są porozumienia ustalono , że w 2009r. Też są w tej pozycji to nie zmieniać 05.03.2009r. Ustal</t>
  </si>
  <si>
    <t>środki na budowę Trasy Kwiatkowskiego</t>
  </si>
  <si>
    <t>na finansowanie zadań z zakresu poprawy bezpieczeństwa ruchu drogowego</t>
  </si>
  <si>
    <t>dotacja z Funduszu Rozwoju Kultury Fizycznej na dofinansowanie budowy krytej pływalni przy ZS Nr 7</t>
  </si>
  <si>
    <t>dotacja z Funduszu Rozwoju Kultury Fizycznej na dofinansowanie budowy hali widowiskowo - sportowej</t>
  </si>
  <si>
    <t>środki z Urzędu Marszałkowskiego  na "Budowę boiska międzydzielnicowego z trawy sztucznej na terenie Szkoły nr 47 Zespołu Szkół nr 14 w Gdyni"</t>
  </si>
  <si>
    <t>środki w ramach porozumienia z Kosakowem za dzieci uczęszczające do gdyńskich przedszkoli</t>
  </si>
  <si>
    <t>błędnie zaks. W maju, 80195,powinno być w 80104 p.231 w lipcu wykonano pierwszedochody</t>
  </si>
  <si>
    <t>60015,p.6423w 2007r. To weszło ZP 29.08.07r. Na zadanie:finansowanie drogowych zadań z zakresu poprawy bezpieczeństwa ruchu drogowego ze środków Pożyczek Ramowych- Projekt Rehabilitacji Dróg Priorytetowych II A i B, a teraz 26.03.08r. Na to samo - ale ina</t>
  </si>
  <si>
    <t>75802,p.6180 weszło 25.06.08 Minist. Infrastruktury</t>
  </si>
  <si>
    <t>85202,p.2130 ustalone z A.Z. dotacja DPS</t>
  </si>
  <si>
    <t>85201, 0680 ((w edukacji?)</t>
  </si>
  <si>
    <t xml:space="preserve">środki z Funduszu Rozwoju Kultury Fizycznej na dofinansowanie budowy boiska sportowego w ramach Programu "BLISKO BOISKO" przy Zespole Szkół Nr 14 </t>
  </si>
  <si>
    <t>92605p.6260 weszło RM 25.06</t>
  </si>
  <si>
    <t>InżynieriaRuchu60095,p.2708</t>
  </si>
  <si>
    <t>92601,P.6260</t>
  </si>
  <si>
    <t>75621,22p.0010</t>
  </si>
  <si>
    <t>środki z PZU na poprawę bezpieczeństwa w budynku Urzędu Miasta</t>
  </si>
  <si>
    <t>75023, p.2700, weszło RM 28.05</t>
  </si>
  <si>
    <t>Zarząd Dróg i Zieleni (wcześniej Wydz. Doch)-60095,p.0690</t>
  </si>
  <si>
    <t>75023,p.0830  i 0970weszło RM 26.03- wpływy z PZU Życie za obsługę grup. Ubezp.pracowników- 37 000zł, i na apł. Z róż doch na pokrycie kosztów postęp. Sądowegow których gmina jest pozwaną</t>
  </si>
  <si>
    <t>60004,p.2310, 428.472 zł doszło w lutym 08 zp z 26.02</t>
  </si>
  <si>
    <t>w doch wł</t>
  </si>
  <si>
    <t>w doch.ogół</t>
  </si>
  <si>
    <t>doch wł</t>
  </si>
  <si>
    <t>doch.ogół</t>
  </si>
  <si>
    <t>w doch.ogółem</t>
  </si>
  <si>
    <t>stypendia oraz inne formy pomocy dla uczniów</t>
  </si>
  <si>
    <t>80197,p.2380 i w GOSIrze 92695, p.2380 wpł  do budż.cz ęści zysku</t>
  </si>
  <si>
    <t>wpływy z tytułu darowizny na rzecz projektu "YOUTH" Młodzieżowa Rewizja Dzisiejszych Miejskich Zwyczajów Transportowych</t>
  </si>
  <si>
    <t>60004, p.2310, weszło RM z 28.05.08, wykonanie było zero na I półr. 08, P. Ula sprawdziła to 04.08.08r.</t>
  </si>
  <si>
    <t>60015,0690,0970,0580, dodatkowo 0570 - ustalić czy ten paragr. Jest ok. i ma być, Dochody te ma Zarząd Dróg i Zieleni oraz Wydz. Polityki Gosp i Nieruch. Pani Kamienik tel.8153</t>
  </si>
  <si>
    <t>70005,p.211 , w tym dotacja 89595 zł z przeznaczeniem na uregul.odszk. Na rzecz osób fizycznych za przejętą z dn.01.01.99r. Nieruchomość zajętą  pod drogę publiczną powiatową., z 01.04 doszła kw 13.547zł zwrot koszt.postęp sąd.z powództwa os. Fiz. I pr, a</t>
  </si>
  <si>
    <t>ZKM - 60004,p.0830,0920,0970,</t>
  </si>
  <si>
    <t>gmina80101 p.2440 i 6260;i 80110,p.2440,     powiat 80120,p.2440</t>
  </si>
  <si>
    <t>udziały w podatku dochodowym od osób prawnych</t>
  </si>
  <si>
    <t>środki z Europejskiego Funduszu Społecznego na dofinansowanie projektu " Gimnastyka umysłowa urzędnika"</t>
  </si>
  <si>
    <t>85333 p. 2008 weszło RM z 27.08 proj PUP</t>
  </si>
  <si>
    <t>środki z Sejmiku Województwa Pomorskiego na dofinansowanie lokalnego transportu zbiorowego na liniach komunikacyjnych regularnego transportu wodnego po akwenie Zatoki Gdańskiej i Zatoki Puckiej</t>
  </si>
  <si>
    <t xml:space="preserve">środki z Sejmiku Województwa Pomorskiego na budowę kompleksu sportowego w ramach programu "Moje boisko - Orlik 2012" </t>
  </si>
  <si>
    <t>92601, p. 6300 weszło RM z 27.08.08r. Bud.kompleksu na ter.SZ.Podst. Nr 29</t>
  </si>
  <si>
    <t>środki z Europejskiego Funduszu Społecznego na dofinansowanie projektu " Doradca na plus"</t>
  </si>
  <si>
    <t>85212.p.2010 oraz zg ZP z 27.08 par. 6310 na wdrożenie w okr lip-wrzes.ustawy o pomocy osobom uprawnionym do alimentów</t>
  </si>
  <si>
    <t>60004, p. 0960 wykonanie w czerwcu 2008r., plan RM 28.05, natomiast RM z 27.08 plan 2000 zł został przeniesiony do par.0970</t>
  </si>
  <si>
    <t>60004, p.2710 weszło 27.08 -</t>
  </si>
  <si>
    <t xml:space="preserve">92605,P.6290 WESZŁO W CZERWCU </t>
  </si>
  <si>
    <t>środki z Funduszy Prewencyjnych PZU na zakup i montaż nawierzchni z trawy syntetycznej oraz budowy boiska</t>
  </si>
  <si>
    <t>program "Monitoring wizyjny w szkołach i placówkach"</t>
  </si>
  <si>
    <t>80195,p.2130 rządowy program wspierania w lat.2007-2009…."Monitoring wizyjny w szkołach i pl" weszło ZP 30.09 decyzja Urz.Wojew.</t>
  </si>
  <si>
    <t>75601 -p.0910 gm.75618,p.091;75621,p.0890,pow.75622,p089</t>
  </si>
  <si>
    <t>80101,80120, 80130pi 85403 oraz pow. Doch.z najmu mieszk.służb. Domu Dziecka 85201 par.0750</t>
  </si>
  <si>
    <t>85202,p.0830</t>
  </si>
  <si>
    <t>90095,p.8545 -śr poch z Norwesk. Mechnowy pr.wszedł RM z 29.08.07r. Wydział Budynków</t>
  </si>
  <si>
    <t>dotacja z WFOŚiGW na dofinansowanie realizacji zadania: "Wsparcie działań propagujących ekologiczne formy transportu na trasie Gdyni-Półwysep Helski"</t>
  </si>
  <si>
    <t>środki z Europejskiego Funduszu Społecznego  na dofinansowanie projektu "Rodzina bliżej siebie"</t>
  </si>
  <si>
    <t>85395,p.2008 weszło RM 22.10.08r.</t>
  </si>
  <si>
    <t>realizacja programu "Bezpieczna i przyjazna szkoła"</t>
  </si>
  <si>
    <t>60004, p.6260 weszło RM 22.10.08r.  A WYKONANIE JEST NA P. 2440 !!!!!!!!!!!!</t>
  </si>
  <si>
    <t>63095,,P.6612</t>
  </si>
  <si>
    <t>75023,p.2008</t>
  </si>
  <si>
    <t>80104,p.2310, oraz info od P. Uli kw. 227zł z St.Powiat.Wejherowo na fin wynagr. Nauczycieli religiiz edukacji info: 80140,p.232 za kształcenie uczniów w Wojew. Ośr. Doskonalenia Zawodowego</t>
  </si>
  <si>
    <t>sfinansowanie wypłaty jednorazowej gratyfikacji pieniężnej dla nauczycieli dyplomowanych (tytuł honorowego profesora oświaty)</t>
  </si>
  <si>
    <t>80195,p.2130 -ZP 28.10</t>
  </si>
  <si>
    <t>dofinansowanie  realizacji przedsięwzięcia inwestycyjnego "Budowa kompleksu sportowego na terenie SP nr 29</t>
  </si>
  <si>
    <t>92601,p.6330 weszło RM z 22.10</t>
  </si>
  <si>
    <t>dotacja na dofinansowanie realizacji projektu "Rodzina bliżej siebie"</t>
  </si>
  <si>
    <t>85395,2009-weszło RM 22.10.08 info od Wiesi , że tj. dot. Z budżetu państwa</t>
  </si>
  <si>
    <t>z wydz.dochodów85121,p.0870;       85403,p.0870;92605p.087    pow. 80130- 0870</t>
  </si>
  <si>
    <t>75814,p.0927 i 80101 itd. I 80101p 2707</t>
  </si>
  <si>
    <t>71095- P.0838, p.2708 i 6298  GCI</t>
  </si>
  <si>
    <t>80195,p.203</t>
  </si>
  <si>
    <t>85201,p.213 i 6430 w lipcu ZP z 15.07 weszło 21000 dla MOPSU na osiągn stand. W pl. Op-wych i do Domu dziecka 24.000 zł</t>
  </si>
  <si>
    <t>odsetki za nieterminowe rozliczania płacone przez US</t>
  </si>
  <si>
    <t>75621 i 75622 p.0890 weszło w grudniu08.</t>
  </si>
  <si>
    <t>powinno być w 92605 ,par.6300, a jest w maju błędnie w 92601 par.6300, weszło RM z 25.06</t>
  </si>
  <si>
    <t>71015,p.211</t>
  </si>
  <si>
    <t>dofinansowanie realizacji przedsięwzięcia inwestycyjnego "Budowa krytej pływalni w Zespole Szkół nr 7"</t>
  </si>
  <si>
    <t>92601,p.6330 weszło RM z 19.11.08r.</t>
  </si>
  <si>
    <t>80195,p.2030, do planu doszło 3.696zł ZP z 25.11iZP 09.12 doszło 260.369 zł</t>
  </si>
  <si>
    <t>85213.p2010 ZP. Z 09.12 minus 129.020zł</t>
  </si>
  <si>
    <t>85214.p.2010, ZP z 09.12 minus 493.116zł</t>
  </si>
  <si>
    <t xml:space="preserve">opłacenie składek emerytalno-rentowych </t>
  </si>
  <si>
    <t>85295,p.2010weszło 25.11.08r. Za opł skł. Za okres od 01.01.2002r. Do 30.04.2004r. Wynik z wyroku Samorządowego Kolegium Odwoławczego w Gdańsku</t>
  </si>
  <si>
    <t>85406 p.2130 weszło ZP 28.10.08, doszło 25.11 - 43.632 zł</t>
  </si>
  <si>
    <t>85415 p.2130 i ,p.203 ZP zwiększ.o83.480 zł , ZP 28.10 69.075 zł "Pomoc pań w zakr doż" i 116.006 zł pomoc mater o char eduk., 25.11.08 doszło gwb 3.261 zł</t>
  </si>
  <si>
    <t>zakup karetki dla SP ZOZ Miejska Stacja Pogotowia Ratunkowego w Gdyni</t>
  </si>
  <si>
    <t>01095;p.201 weszło ZP z 28.05.08r. I 19.11.08 kw.2023 zł-przeznacz. Na real. Ust.z 10.marca 2006r o zwrocie podat.akcyz.zawart.w cenie oleju napęd</t>
  </si>
  <si>
    <t>ZP z 25.11.08r.85141,p.6410</t>
  </si>
  <si>
    <t xml:space="preserve">80195,p.231 w lipcu wykonano pierwszedochody </t>
  </si>
  <si>
    <t>71095, par 2888par0928 / GCI</t>
  </si>
  <si>
    <t>Lp.</t>
  </si>
  <si>
    <t>Gmina</t>
  </si>
  <si>
    <t>Powiat</t>
  </si>
  <si>
    <t>Razem</t>
  </si>
  <si>
    <t>DOCHODY OGÓŁEM</t>
  </si>
  <si>
    <t xml:space="preserve">podatek od nieruchomości </t>
  </si>
  <si>
    <t xml:space="preserve">podatek od środków transportowych </t>
  </si>
  <si>
    <t>opłata skarbowa</t>
  </si>
  <si>
    <t>pozostałe</t>
  </si>
  <si>
    <t>podatek rolny</t>
  </si>
  <si>
    <t xml:space="preserve">podatek leśny </t>
  </si>
  <si>
    <t>zaległości z podatków zniesionych</t>
  </si>
  <si>
    <t xml:space="preserve">opłata administracyjna 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</si>
  <si>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</si>
  <si>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</si>
  <si>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</si>
  <si>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</si>
  <si>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</si>
  <si>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>odsetki od należności podatkowych pobieranych przez US</t>
  </si>
  <si>
    <t>wpływy ze sprzedaży mienia komunalnego</t>
  </si>
  <si>
    <t>dochody z dzierżawy</t>
  </si>
  <si>
    <t>wpływy z lokali użytkowych</t>
  </si>
  <si>
    <t>użytkowanie wieczyste</t>
  </si>
  <si>
    <t>opłata adiacencka i renta planistyczna</t>
  </si>
  <si>
    <t xml:space="preserve">sprzedaż składników majątkowych </t>
  </si>
  <si>
    <t>dochody z najmu i dzierżawy skł. majątkowych gminy oddanych w użytkowanie jednostkom i zakł. budżetowym</t>
  </si>
  <si>
    <t>wpływy z czynszów za mieszkania służbowe</t>
  </si>
  <si>
    <t xml:space="preserve">Inne dochody własne </t>
  </si>
  <si>
    <t>wpływy Zarządu Komunikacji Miejskiej</t>
  </si>
  <si>
    <t>wpływy z opłat rodziców za pobyt dzieci w żłobku</t>
  </si>
  <si>
    <t>wpływy z usług opiekuńczych i opłaty za pobyt w ośrodkach wsparcia</t>
  </si>
  <si>
    <t>wpływy z usług Gdyńskiego Centrum Innowacji</t>
  </si>
  <si>
    <t xml:space="preserve">wpływy z opłat za pobyt w domu opieki społecznej </t>
  </si>
  <si>
    <t xml:space="preserve">opłaty za wpis do rejestru działalności gospodarczej za egzaminy i dokumenty wydawane w związku z wykonywaniem transportu drogowego oraz inne opłaty pobierane przez UM </t>
  </si>
  <si>
    <t>25% dochodów z nieruchom.Skarbu Państwa</t>
  </si>
  <si>
    <t xml:space="preserve">5% dochodów uzysk. na rzecz budżetu państwa w związku z real. zad. zleconych </t>
  </si>
  <si>
    <t>dochody z tyt. ustawy o przeciwdziałaniu alkoholizmowi</t>
  </si>
  <si>
    <t>opłaty za tablice rejestracyjne, prawa jazdy, świadectwa kwal.itp.</t>
  </si>
  <si>
    <t>opłaty za usuwanie pojazdów z pasa drogowego</t>
  </si>
  <si>
    <t>środki z opłat za zajęcie pasa drogowego, umieszczanie reklam i stoisk w pasie drogowym i in.</t>
  </si>
  <si>
    <t>odsetki od środków na rachunkach bankowych</t>
  </si>
  <si>
    <t>wpływy z opłat za korzystanie z lodowiska</t>
  </si>
  <si>
    <t>pozostałe dochody</t>
  </si>
  <si>
    <t>grzywny i kary - Straż Miejska</t>
  </si>
  <si>
    <t>wpływy z opłat za pobyt dzieci w placówkach opiekuńczo - wychowawczych</t>
  </si>
  <si>
    <t>zwrot kosztów wyceny i kosztów postępowania sądowego</t>
  </si>
  <si>
    <t>otrzymane darowizny</t>
  </si>
  <si>
    <t>wpływy ze środków specjalnych</t>
  </si>
  <si>
    <t>różne dochody jednostek organizacyjnych miasta</t>
  </si>
  <si>
    <t xml:space="preserve">zadania oświatowe </t>
  </si>
  <si>
    <t>Miejski Rzecznik Konsumentów</t>
  </si>
  <si>
    <t>obsługa mieszkańców Sopotu przez Powiatowy Urząd Pracy w Gdyni</t>
  </si>
  <si>
    <t xml:space="preserve">rodziny zastępcze </t>
  </si>
  <si>
    <t>placówki opiekuńczo - wychowawcze</t>
  </si>
  <si>
    <t>środki z gmin ościennych na organizację usług komunikacyjnych na ich terenie przez ZKM w Gdyni na podstawie porozumień</t>
  </si>
  <si>
    <t>Dotacje i inne środki zewnętrzne na dofinansowanie zadań własnych</t>
  </si>
  <si>
    <t>środki na rozbudowę ul. J.Wiśniewskiego (porozumienie z Zarządem Morskiego Portu Gdynia S.A.)</t>
  </si>
  <si>
    <t>wkład beneficjentów w realizację zadania: rozwój turystyki w rejonie Zatoki Gdańskiej</t>
  </si>
  <si>
    <t>Środki z UE na dofinansowanie zadań własnych</t>
  </si>
  <si>
    <t>środki na rozbudowę ul. J.Wiśniewskiego</t>
  </si>
  <si>
    <t>środki na realizację zadania: rozwój turystyki w rejonie Zatoki Gdańskiej współfinansowanego ze środków funduszu PHARE</t>
  </si>
  <si>
    <t>środki z wkładu UE na realizację projektu SEBTrans - Link - nowoczesny Terminal Promowy w Porcie Wschodnim w Gdyni</t>
  </si>
  <si>
    <t>środki na dofinansowanie projektu "Pomorski Park Naukowo - Technologiczny"</t>
  </si>
  <si>
    <t>Udziały we wpływach z podatków dochodowych</t>
  </si>
  <si>
    <t xml:space="preserve">udziały w podatku dochodowym od osób fizycznych </t>
  </si>
  <si>
    <t>II.  SUBWENCJA OGÓLNA</t>
  </si>
  <si>
    <t>część oświatowa</t>
  </si>
  <si>
    <t>część równoważąca</t>
  </si>
  <si>
    <t>III.  DOTACJE CELOWE Z BUDŻETU PAŃSTWA</t>
  </si>
  <si>
    <t>NA ZADANIA ZLECONE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</si>
  <si>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</si>
  <si>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</si>
  <si>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 xml:space="preserve"> składki na ubezp. zdrowotne</t>
  </si>
  <si>
    <t xml:space="preserve"> zasiłki i pomoc w naturze</t>
  </si>
  <si>
    <t>świadczenia rodzinne</t>
  </si>
  <si>
    <t xml:space="preserve"> usługi opiekuńcze</t>
  </si>
  <si>
    <t>zespół ds. orzekania o stopniu niepełnosprawn.</t>
  </si>
  <si>
    <t xml:space="preserve">składki na ubezpieczenia zdrowotne </t>
  </si>
  <si>
    <t>wybory do Parlamentu Europejskiego</t>
  </si>
  <si>
    <t>wybory do Sejmu i Senatu</t>
  </si>
  <si>
    <t>wybory Prezydenta Rzeczypospolitej Polskiej</t>
  </si>
  <si>
    <t>rejestr wyborców</t>
  </si>
  <si>
    <t>funkcjonowanie Centrum Ratownictwa Medycznego</t>
  </si>
  <si>
    <t xml:space="preserve">prace geodezyjne i kartograficzne </t>
  </si>
  <si>
    <t>opracowania geodezyjne i kartograficzne</t>
  </si>
  <si>
    <t>gospodarka gruntami i nieruchomościami</t>
  </si>
  <si>
    <t>komisje poborowe</t>
  </si>
  <si>
    <t>NA ZADANIA REALIZOWANE NA MOCY POROZUMIEŃ Z ORGANAMI ADMINISTRACJI RZĄDOWEJ</t>
  </si>
  <si>
    <t>zadania z zakresu oświaty</t>
  </si>
  <si>
    <t>zakup książek do biblioteki</t>
  </si>
  <si>
    <t>dotacja dla Teatru Miejskiego</t>
  </si>
  <si>
    <t>utrzymanie grobów wojennych</t>
  </si>
  <si>
    <t>NA FINANSOWANIE LUB DOFINANSOWANIE ZADAŃ WŁASNYCH</t>
  </si>
  <si>
    <t>pomoc materialna dla uczniów</t>
  </si>
  <si>
    <t>uczniowskie praktyki zawodowe</t>
  </si>
  <si>
    <t>budowa Muzeum miasta Gdyni</t>
  </si>
  <si>
    <t>komisje kwalifikacyjne i egzaminacyjne</t>
  </si>
  <si>
    <t>zadania z zakresu opieki społecznej:</t>
  </si>
  <si>
    <t>dożywianie uczniów</t>
  </si>
  <si>
    <t>DPS Legionów</t>
  </si>
  <si>
    <t>opieka w domach o zasięgu ponadgminnym</t>
  </si>
  <si>
    <t>zasiłki i pomoc w naturze</t>
  </si>
  <si>
    <t>ośrodki pomocy społecznej</t>
  </si>
  <si>
    <r>
      <t xml:space="preserve">I. </t>
    </r>
    <r>
      <rPr>
        <b/>
        <sz val="10"/>
        <rFont val="Arial CE"/>
        <family val="2"/>
      </rPr>
      <t xml:space="preserve"> DOCHODY WŁASNE, w tym:</t>
    </r>
  </si>
  <si>
    <t>ośrodki interwencji kryzysowej</t>
  </si>
  <si>
    <t>z Funduszu Pracy na finansowanie wynagrodzeń i składek na ubezpieczenie pracowników Powiatowego Urzędu Pracy</t>
  </si>
  <si>
    <t>środki na dofinansowanie projektów: "Tellus", " Otwarta platforma usług Urzędu udostępnianych drogą telefonii komórkowej"</t>
  </si>
  <si>
    <t>środki zwrócone przez Urząd Skarbowy na podstawie wyroku Sądu</t>
  </si>
  <si>
    <t>środki na realizację projektu SEBTrans - Link - nowoczesny Terminal Promowy w Porcie Wschodnim w Gdyni</t>
  </si>
  <si>
    <t>środki na dofinansowanie projektu " Szkolenia kompetencyjne w zakresie pomocy dziecku krzywdzonemu w Gdyni"</t>
  </si>
  <si>
    <t>środki na realizację projektu ABC II (Alians Miast Bałtyckich)</t>
  </si>
  <si>
    <t>środki na dofinansowanie projektu "Szkolenia kompetencyjne w zakresie pomocy dziecku krzywdzonemu w Gdyni"</t>
  </si>
  <si>
    <t>wpłata części zysku gospodarstwa pomocniczego</t>
  </si>
  <si>
    <t>środki na realizację projektu "MariTour"</t>
  </si>
  <si>
    <t>środki przeznaczone na wsparcie osoby poszkodowanej w katastrofie budowlanej na terenie Międzynarodowych Targów Katowickich</t>
  </si>
  <si>
    <t>realizacja projektu "Szkolny monitoring zanieczyszczeń najbliższego otoczenia z wykorzystaniem prostych technik biologicznych i chemicznych"</t>
  </si>
  <si>
    <t xml:space="preserve">zwrot kosztów audytu zewnętrznego 4 projektów planowanych do realizacji przez PUP współfinansowanych ze środków Europejskiego Funduszu Społecznego </t>
  </si>
  <si>
    <t>środki na realizację projektu "Bustrip" wdrażanie i planowanie Bałtyckiego Miejskiego Zrównoważonego Transportu</t>
  </si>
  <si>
    <t>utrzymanie schroniska dla zwierząt "Ciapkowo"</t>
  </si>
  <si>
    <t>koszty wydawania decyzji w sprawie świadczeń zdrowotnych</t>
  </si>
  <si>
    <t>środki otrzymane z Towarzystw Ubezpieczeniowych z tytułu odszkodowania za naprawę uszkodzonych latarni ulicznych</t>
  </si>
  <si>
    <t>środki na realizację projektu "www.innowacje.gdynia.pl"</t>
  </si>
  <si>
    <t>funkcjonowanie Centrum Powiadamiania Ratunkowego</t>
  </si>
  <si>
    <t>projekt "BALTINNO"</t>
  </si>
  <si>
    <t>administracja państwowa (na zadania bieżące i inwestycyjne)</t>
  </si>
  <si>
    <t>środki z Agencji Rozwoju Pomorza na realizację projektu "www.innowacje.gdynia.pl"</t>
  </si>
  <si>
    <t xml:space="preserve">środki na dofinansowanie projektu "Fundusz stypendialny dla uczniów gdyńskich szkół ponadgimnazjalnych" </t>
  </si>
  <si>
    <t xml:space="preserve">środki z budżetu państwa na dofinansowanie projektu "Fundusz stypendialny dla uczniów gdyńskich szkół ponadgimnazjalnych" </t>
  </si>
  <si>
    <t>środki z PFRON -u na realizację zadania " Niepełnosprawny pracownik na rynku pracy"</t>
  </si>
  <si>
    <t>środki na realizację projektu "Gdyński Spinaker - Aktywizacja długotrwale bezrobotnych, samotnych rodziców na rynku pracy"</t>
  </si>
  <si>
    <t>dotacja z WFOŚ na funkcjonowanie tramwaju wodnego</t>
  </si>
  <si>
    <t>dotacja z Urzędu Marszałkowskiego na funkcjonowanie tramwaju wodnego</t>
  </si>
  <si>
    <t>zadania z zakresu budowy systemu ratownictwa medycznego</t>
  </si>
  <si>
    <t>pomoc dla rodzin rolniczych, których gospodarstwa rolne zostały dotknięte suszą w 2006r.</t>
  </si>
  <si>
    <t>koszty związane z postępowaniem w sprawie zwrotu podatku akcyzowego zawartego w cenie oleju napędowego wykorzystywanego do produkcji rolnej</t>
  </si>
  <si>
    <t>wybory samorządowe</t>
  </si>
  <si>
    <t>zwrot wydatków poniesionych na realizację inwestycji infrastrukturalnych</t>
  </si>
  <si>
    <t>dotacja na realizację inwestycji "Budowa muzeum Miasta Gdyni etap II"</t>
  </si>
  <si>
    <t>sfinansowanie nauczania języka angielskiego w pierwszych klasach szkół podstawowych</t>
  </si>
  <si>
    <t xml:space="preserve">rekompensata utraconych dochodów (z PFRON - u) z tytułu zwolnień w podatkach </t>
  </si>
  <si>
    <t>Treść</t>
  </si>
  <si>
    <t>projekt "YOUTH" Młodzieżowa Rewizja Dzisiejszych Miejskich Zwyczajów Transportowych</t>
  </si>
  <si>
    <t>wypłata renty socjalnej za okres od 1 lipca 2002r. do 30 września 2003r.</t>
  </si>
  <si>
    <t>lokalne inicjatywy inwestycyjne</t>
  </si>
  <si>
    <t xml:space="preserve">Droga Różowa IV etap - rozbudowa ul. Lotników </t>
  </si>
  <si>
    <t>środki na realizację projektu "A-B Landbridge"</t>
  </si>
  <si>
    <t xml:space="preserve">dotacja z Narodowego Funduszu Ochrony Środowiska i Gospodarki Wodnej na dofinansowanie przedsięwziecia "Ekologiczna wystawa edukacyjna" </t>
  </si>
  <si>
    <t>projekt "CreActive NET"</t>
  </si>
  <si>
    <t>uzupełnienie subwencji ogólnej na dofinansowanie inwestycji drogowej</t>
  </si>
  <si>
    <t>środki na realizację zadania " Niepełnosprawny pracownik na otwartym rynku pracy"</t>
  </si>
  <si>
    <t>program "Posiłek dla potrzebujących"</t>
  </si>
  <si>
    <t>środki z Norweskiego Mechanizmu Finansowego na dofinansowanie realizacji projektu "Kompleksowa termomodernizacja siedmiu budynków placówek oświatowych na terenie Gdyni"</t>
  </si>
  <si>
    <t>wpływy z usług Centrum Aktywności Seniora</t>
  </si>
  <si>
    <t>wpływy z usług Zespołu Placówek Specjalistycznych im. Lisieckiego "Dziadka"</t>
  </si>
  <si>
    <t>środki z Funduszu Rozwoju Kultury Fizycznej na dofinansowanie programu szkolenia młodzieży uzdolnionej sportowo</t>
  </si>
  <si>
    <t>środki z Państwowego Funduszu Rehabilitacji Osób Niepełnosprawnych na dofinansowanie projektów "Jestem sprawny, świat mnie rozumie" i " W mojej szkole jestem bezpieczny"</t>
  </si>
  <si>
    <t>opłata od posiadania psów</t>
  </si>
  <si>
    <t>funkcjonowanie ośrodków interwencji kryzysowej</t>
  </si>
  <si>
    <t>w ramach wdrażania reformy oświaty- wypłaty wynagrodzeń dla nauczycieli za przeprowadzenie (poza tygodniowym obowiązkowym wymiarem zajęć) ustnego egzaminu maturalnego</t>
  </si>
  <si>
    <t>środki na dofinansowanie modernizacji przystani rybackiej w Gdyni Orłowie</t>
  </si>
  <si>
    <t xml:space="preserve">dotacja z WFOŚ i GW na dofinansowanie programu ograniczenia ruchu samochodowego na drogach na Półwysep Helski poprzez organizacje przewozów drogą morską (tramwaj wodny) </t>
  </si>
  <si>
    <t>funkcjonowanie punktu katechetycznego</t>
  </si>
  <si>
    <t>wpływy ze sprzedaży biletów na "tramwaj wodny"</t>
  </si>
  <si>
    <t>Podatki i opłaty pobierane przez miasto</t>
  </si>
  <si>
    <t>Dochody z majątku miasta</t>
  </si>
  <si>
    <t>Dotacje od jednostek samorządu terytorialnego</t>
  </si>
  <si>
    <t>wpływy z tytułu przekształcenia użytkowania wieczystego na własność</t>
  </si>
  <si>
    <t>opłaty lokalne (opłata targowa i miejscowa)</t>
  </si>
  <si>
    <t>dofinansowanie "Programu wycieczek edukacyjnych dla dzieci i młodzieży do miejsc pamięci narodowej" Podróże historyczno - kulturowe w czasie i przestrzeni</t>
  </si>
  <si>
    <t>środki na dofinansowanie realizacji zadania "Boisko międzydzielnicowe z trawy sztucznej na terenie ZS nr 14</t>
  </si>
  <si>
    <t xml:space="preserve">50% zwrotów zaliczek alimentacyjnych </t>
  </si>
  <si>
    <t>Komenda Powiatowa Państwowej Straży Pożarnej (na zadania bieżące)</t>
  </si>
  <si>
    <t>Komenda Powiatowa Państwowej Straży Pożarnej (na zadania inwestycyjne)</t>
  </si>
  <si>
    <t xml:space="preserve">dotacja celowa z Samorządu Województwa Pomorskiego z przeznaczeniem na integrację lokalnego transportu zbiorowego w ramach Metropolitarnego Związku Komunikacyjnego Zatoki Gdańskiej  </t>
  </si>
  <si>
    <t>dotacja z Narodowego Centrum Kultury na realizację Ogólnopolskiego programu rozwoju chórów szkolnych Ministra Kultury i Dziedzictwa Narodowego "Śpiewająca Polska"</t>
  </si>
  <si>
    <t xml:space="preserve">dotacja z WFOŚ i GW na dofinansowanie zadania "Wykonanie Elektronicznej Mapy Akustycznej Miasta Gdyni (EMAMG) - etap I </t>
  </si>
  <si>
    <t>przeprowadzenie wykładów i ćwiczeń z matematyki, chemii i biologii dla uczniów VI Liceum Ogólnokształcącego w Gdyni</t>
  </si>
  <si>
    <t>dofinansowanie do programu opieki i terapii skierowanego na uczniów z niepłynnością mowy</t>
  </si>
  <si>
    <t>dofinansowanie monitoringu wizyjnego w szkołach</t>
  </si>
  <si>
    <t>dofinansowanie do Rządowego programu poprawy stanu bezpieczeństwa w szkołach i placówkach "Zero tolerancji dla przemocy w szkole"</t>
  </si>
  <si>
    <t>środki na sygnalizację świetlną z Urzędu Miasta Gdańska</t>
  </si>
  <si>
    <t>dynamika (kol.8:5)</t>
  </si>
  <si>
    <t>dotacje z Helu i Jastarni na dofinansowanie funkcjonowania "Tramwaju wodnego"</t>
  </si>
  <si>
    <t>Uwagi - zapiski Wioli - nie kasować!</t>
  </si>
  <si>
    <t>75615,75616, p.0310</t>
  </si>
  <si>
    <t>75615,16,p.0340</t>
  </si>
  <si>
    <t>75615,75616p.0320</t>
  </si>
  <si>
    <t>p.0330</t>
  </si>
  <si>
    <t>75616,p.0560</t>
  </si>
  <si>
    <t>Inspektorat Nadzoru Budowlanego (na zadania bieżące i inwestycyjne)</t>
  </si>
  <si>
    <t>realizacja programu korekcyjno - edukacyjnego dla sprawców przemocy w rodzinie</t>
  </si>
  <si>
    <t>85295,p.2110 Z Urzędu Wojew. Pierwszy raz weszło na 2009r.</t>
  </si>
  <si>
    <t>ok..własne gminy</t>
  </si>
  <si>
    <t>OK. wł powiatu</t>
  </si>
  <si>
    <t>ustalony plan 10.03.09r.</t>
  </si>
  <si>
    <t xml:space="preserve">Wykonanie dochodów budżetu miasta Gdyni za  okres I …. 2009 roku wg źródeł                                </t>
  </si>
  <si>
    <t>63095,,P.6612weszło RM z 25.03 wpłata gminy Hel z tyt. Rozlicz prac dodatk.</t>
  </si>
  <si>
    <t>75801,p.292 zmiana RM z 25.03.09r.łączne zmiejszenie subw o 2.800.198zł</t>
  </si>
  <si>
    <t>75832,p.292 zmiajsz. O 3.478 zł RM z 25.03.09r.</t>
  </si>
  <si>
    <t xml:space="preserve">Wykonanie dochodów budżetu miasta Gdyni za  okres I - III 2009 roku wg źródeł                                </t>
  </si>
  <si>
    <t xml:space="preserve">środki na realizację projektu "Dobry zawód gwarancja sukcesu" </t>
  </si>
  <si>
    <t>85415,p.2009, weszło RM z 25.03.09r. WYDZIAŁ EDUKACJI</t>
  </si>
  <si>
    <t xml:space="preserve">środki na realizację projektu "Dobry zawód gwarancją sukcesu" </t>
  </si>
  <si>
    <t>plan wł gminy</t>
  </si>
  <si>
    <t>plan wł powiat</t>
  </si>
  <si>
    <t xml:space="preserve">ustal plan po RM z 25.03  </t>
  </si>
  <si>
    <t>85415,p.2009, weszło RM z 25.03.09r. WYDZIAŁ EDUKACJI- Pani Magdalena Głuchowska tel 8466</t>
  </si>
  <si>
    <t>gm:60004,p.0690;75023,p.0590,0690;pow.75023,0590,0690 z Wydz. Spraw Obywatelskich UWAGA!- URM z 15.04.09r. Zmiejszono plan o 320.000 zł, w związku ze zmianą ust. O swobodzie dział.gosp!</t>
  </si>
  <si>
    <t>Wykonanie za I kwartał 2007r.</t>
  </si>
  <si>
    <t>Wykonanie roczne 2007r.</t>
  </si>
  <si>
    <t>Wykonanie za I kwartał 2008r.</t>
  </si>
  <si>
    <t>Wykonanie roczne 2008r.</t>
  </si>
  <si>
    <t>Plan na 2009r.</t>
  </si>
  <si>
    <t>Wykonanie za okres I - III 2009r.</t>
  </si>
  <si>
    <t>ANALIZA WYKONANIA DOCHODÓW - LATA 2007- 2009</t>
  </si>
  <si>
    <t xml:space="preserve">% </t>
  </si>
  <si>
    <t>I.  DOCHODY WŁASNE, w tym:</t>
  </si>
  <si>
    <t>85212.p.2010 zwiększ ZP z 25.03.09r.</t>
  </si>
  <si>
    <t>gm.85415p.203 weszło ZP z 25.03.09r.na dof.pomocy mater.dla uczn.o charakt socj. Od 1 stycz do 30 czerw. Br</t>
  </si>
  <si>
    <t>ustal plan po ZPz 25.03  OK.</t>
  </si>
  <si>
    <t xml:space="preserve">85201, 0680 ((w edukacji?) </t>
  </si>
  <si>
    <t>75601 -p.0910 gm.75618,p.091;75621,p.0890,pow.75622,p089 i   85215 dodatki mieszk. P.0910</t>
  </si>
  <si>
    <t>gmina</t>
  </si>
  <si>
    <t>powiat</t>
  </si>
  <si>
    <t>ma być</t>
  </si>
  <si>
    <t>jest</t>
  </si>
  <si>
    <t>80104,p.2310, kw.212 zł są to przedszkola w szk.podstawowych</t>
  </si>
  <si>
    <t xml:space="preserve">OK. </t>
  </si>
  <si>
    <t>Gdynia,29.04.09r. Ok.</t>
  </si>
  <si>
    <t>środki na realizację projektu systemowego "Rodzina Bliżej Siebie"</t>
  </si>
  <si>
    <t>dotacja na Modernizację Przystani Rybackiej na Oksywiu</t>
  </si>
  <si>
    <t xml:space="preserve">Plan na 2009 rok </t>
  </si>
  <si>
    <t xml:space="preserve">Wykonanie dochodów budżetu miasta Gdyni za  okres I - VI 2009 roku wg źródeł                                </t>
  </si>
  <si>
    <t>Wykonanie za okres I - VI 2009r.</t>
  </si>
  <si>
    <t>rozliczenie mediów zużywanych przez Krytą Pływalnie przy ZS nr 10</t>
  </si>
  <si>
    <t>zwrot refundacji kosztów projektu "Pomorski Park Naukowo-Technologiczny- Rozbudowa-etap 3</t>
  </si>
  <si>
    <t>dotacja z Funduszu Rozwoju Kultury Fizycznej na dofinansowanie budowy hali sportowo - widowiskowej</t>
  </si>
  <si>
    <t xml:space="preserve">środki z Sejmiku Województwa Pomorskiego na dofinansowanie lokalnego transportu zbiorowego na liniach komunikacyjnych regularnego transportu wodnego </t>
  </si>
  <si>
    <t xml:space="preserve">środki z Samorządu Województwa Pomorskiego na integrację lokalnego transportu zbiorowego w ramach Metropolitarnego Związku Komunikacyjnego Zatoki Gdańskiej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</si>
</sst>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yy\-mm\-dd"/>
    <numFmt numFmtId="168" formatCode="dd\-mmm\-yy"/>
    <numFmt numFmtId="169" formatCode="dd\-mmm"/>
    <numFmt numFmtId="170" formatCode="mmm\-yy"/>
    <numFmt numFmtId="171" formatCode="yy\-mm\-dd\ hh:mm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0.0000000000"/>
    <numFmt numFmtId="193" formatCode="_-* #,##0.000\ _z_ł_-;\-* #,##0.000\ _z_ł_-;_-* &quot;-&quot;??\ _z_ł_-;_-@_-"/>
    <numFmt numFmtId="194" formatCode="h:mm"/>
    <numFmt numFmtId="195" formatCode="#,##0.00\ &quot;zł&quot;"/>
  </numFmts>
  <fonts count="38"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MS Sans Serif"/>
      <family val="2"/>
    </font>
    <font>
      <i/>
      <sz val="8"/>
      <name val="Times New Roman"/>
      <family val="1"/>
    </font>
    <font>
      <sz val="8"/>
      <color indexed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i/>
      <sz val="7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i/>
      <sz val="6"/>
      <name val="Arial CE"/>
      <family val="2"/>
    </font>
    <font>
      <b/>
      <i/>
      <sz val="6"/>
      <name val="Arial CE"/>
      <family val="2"/>
    </font>
    <font>
      <i/>
      <sz val="7"/>
      <color indexed="10"/>
      <name val="Arial CE"/>
      <family val="2"/>
    </font>
    <font>
      <b/>
      <sz val="13"/>
      <color indexed="10"/>
      <name val="Arial CE"/>
      <family val="2"/>
    </font>
    <font>
      <b/>
      <sz val="8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i/>
      <sz val="8"/>
      <color indexed="10"/>
      <name val="Arial CE"/>
      <family val="2"/>
    </font>
    <font>
      <b/>
      <i/>
      <sz val="11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3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4" fontId="0" fillId="0" borderId="0" xfId="19" applyNumberFormat="1" applyFont="1" applyFill="1" applyAlignment="1">
      <alignment vertical="center"/>
      <protection/>
    </xf>
    <xf numFmtId="4" fontId="0" fillId="0" borderId="0" xfId="19" applyNumberFormat="1" applyFont="1" applyFill="1">
      <alignment/>
      <protection/>
    </xf>
    <xf numFmtId="4" fontId="0" fillId="0" borderId="0" xfId="19" applyNumberFormat="1" applyFont="1" applyFill="1" applyBorder="1" applyAlignment="1">
      <alignment vertical="center"/>
      <protection/>
    </xf>
    <xf numFmtId="1" fontId="5" fillId="0" borderId="0" xfId="19" applyNumberFormat="1" applyFont="1" applyFill="1">
      <alignment/>
      <protection/>
    </xf>
    <xf numFmtId="3" fontId="5" fillId="0" borderId="1" xfId="19" applyNumberFormat="1" applyFont="1" applyFill="1" applyBorder="1" applyAlignment="1">
      <alignment horizontal="center" vertical="center" wrapText="1"/>
      <protection/>
    </xf>
    <xf numFmtId="4" fontId="7" fillId="0" borderId="0" xfId="19" applyNumberFormat="1" applyFont="1" applyFill="1">
      <alignment/>
      <protection/>
    </xf>
    <xf numFmtId="3" fontId="10" fillId="0" borderId="2" xfId="19" applyNumberFormat="1" applyFont="1" applyFill="1" applyBorder="1" applyAlignment="1">
      <alignment vertical="center"/>
      <protection/>
    </xf>
    <xf numFmtId="4" fontId="5" fillId="0" borderId="0" xfId="19" applyNumberFormat="1" applyFont="1" applyFill="1" applyAlignment="1">
      <alignment vertical="center"/>
      <protection/>
    </xf>
    <xf numFmtId="3" fontId="6" fillId="0" borderId="1" xfId="19" applyNumberFormat="1" applyFont="1" applyFill="1" applyBorder="1" applyAlignment="1">
      <alignment vertical="center"/>
      <protection/>
    </xf>
    <xf numFmtId="4" fontId="8" fillId="0" borderId="0" xfId="19" applyNumberFormat="1" applyFont="1" applyFill="1" applyAlignment="1">
      <alignment vertical="center"/>
      <protection/>
    </xf>
    <xf numFmtId="4" fontId="9" fillId="0" borderId="0" xfId="19" applyNumberFormat="1" applyFont="1" applyFill="1" applyAlignment="1">
      <alignment vertical="center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3" fontId="0" fillId="0" borderId="1" xfId="18" applyNumberFormat="1" applyFont="1" applyFill="1" applyBorder="1" applyAlignment="1">
      <alignment vertical="center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3" fontId="0" fillId="0" borderId="1" xfId="19" applyNumberFormat="1" applyFont="1" applyFill="1" applyBorder="1" applyAlignment="1">
      <alignment horizontal="right" vertical="center" wrapText="1"/>
      <protection/>
    </xf>
    <xf numFmtId="0" fontId="0" fillId="0" borderId="0" xfId="18" applyFont="1" applyFill="1">
      <alignment/>
      <protection/>
    </xf>
    <xf numFmtId="0" fontId="0" fillId="0" borderId="0" xfId="18" applyFont="1" applyFill="1" applyAlignment="1">
      <alignment vertical="center"/>
      <protection/>
    </xf>
    <xf numFmtId="0" fontId="0" fillId="0" borderId="1" xfId="18" applyFont="1" applyFill="1" applyBorder="1" applyAlignment="1">
      <alignment vertical="center" wrapText="1"/>
      <protection/>
    </xf>
    <xf numFmtId="0" fontId="7" fillId="0" borderId="1" xfId="18" applyFont="1" applyFill="1" applyBorder="1" applyAlignment="1">
      <alignment vertical="center" wrapText="1"/>
      <protection/>
    </xf>
    <xf numFmtId="3" fontId="12" fillId="0" borderId="1" xfId="19" applyNumberFormat="1" applyFont="1" applyFill="1" applyBorder="1" applyAlignment="1">
      <alignment horizontal="right"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7" fillId="0" borderId="0" xfId="18" applyFont="1" applyFill="1">
      <alignment/>
      <protection/>
    </xf>
    <xf numFmtId="0" fontId="7" fillId="0" borderId="0" xfId="18" applyFont="1" applyFill="1" applyAlignment="1">
      <alignment vertical="center"/>
      <protection/>
    </xf>
    <xf numFmtId="1" fontId="6" fillId="0" borderId="1" xfId="19" applyNumberFormat="1" applyFont="1" applyFill="1" applyBorder="1" applyAlignment="1">
      <alignment horizontal="center" vertical="center"/>
      <protection/>
    </xf>
    <xf numFmtId="4" fontId="6" fillId="0" borderId="1" xfId="19" applyNumberFormat="1" applyFont="1" applyFill="1" applyBorder="1" applyAlignment="1">
      <alignment horizontal="left" vertical="center" wrapText="1"/>
      <protection/>
    </xf>
    <xf numFmtId="4" fontId="6" fillId="0" borderId="1" xfId="19" applyNumberFormat="1" applyFont="1" applyFill="1" applyBorder="1" applyAlignment="1">
      <alignment vertical="center" wrapText="1"/>
      <protection/>
    </xf>
    <xf numFmtId="3" fontId="6" fillId="0" borderId="1" xfId="19" applyNumberFormat="1" applyFont="1" applyFill="1" applyBorder="1" applyAlignment="1">
      <alignment horizontal="right" vertical="center" wrapText="1"/>
      <protection/>
    </xf>
    <xf numFmtId="4" fontId="0" fillId="0" borderId="1" xfId="19" applyNumberFormat="1" applyFont="1" applyFill="1" applyBorder="1" applyAlignment="1">
      <alignment vertical="center" wrapText="1"/>
      <protection/>
    </xf>
    <xf numFmtId="0" fontId="13" fillId="0" borderId="1" xfId="18" applyFont="1" applyFill="1" applyBorder="1" applyAlignment="1">
      <alignment horizontal="left" vertical="center" wrapText="1"/>
      <protection/>
    </xf>
    <xf numFmtId="3" fontId="0" fillId="0" borderId="1" xfId="19" applyNumberFormat="1" applyFont="1" applyFill="1" applyBorder="1" applyAlignment="1">
      <alignment vertical="center"/>
      <protection/>
    </xf>
    <xf numFmtId="4" fontId="12" fillId="0" borderId="0" xfId="19" applyNumberFormat="1" applyFont="1" applyFill="1">
      <alignment/>
      <protection/>
    </xf>
    <xf numFmtId="0" fontId="13" fillId="0" borderId="1" xfId="18" applyFont="1" applyFill="1" applyBorder="1" applyAlignment="1">
      <alignment vertical="center" wrapText="1"/>
      <protection/>
    </xf>
    <xf numFmtId="4" fontId="0" fillId="0" borderId="1" xfId="19" applyNumberFormat="1" applyFont="1" applyFill="1" applyBorder="1" applyAlignment="1">
      <alignment horizontal="left" vertical="center" wrapText="1"/>
      <protection/>
    </xf>
    <xf numFmtId="4" fontId="0" fillId="0" borderId="0" xfId="19" applyNumberFormat="1" applyFont="1" applyFill="1" applyBorder="1">
      <alignment/>
      <protection/>
    </xf>
    <xf numFmtId="0" fontId="13" fillId="0" borderId="1" xfId="18" applyFont="1" applyFill="1" applyBorder="1" applyAlignment="1">
      <alignment horizontal="left" vertical="center" wrapText="1"/>
      <protection/>
    </xf>
    <xf numFmtId="4" fontId="12" fillId="0" borderId="0" xfId="19" applyNumberFormat="1" applyFont="1" applyFill="1" applyAlignment="1">
      <alignment vertical="center"/>
      <protection/>
    </xf>
    <xf numFmtId="3" fontId="10" fillId="0" borderId="1" xfId="19" applyNumberFormat="1" applyFont="1" applyFill="1" applyBorder="1" applyAlignment="1">
      <alignment vertical="center"/>
      <protection/>
    </xf>
    <xf numFmtId="3" fontId="10" fillId="0" borderId="1" xfId="19" applyNumberFormat="1" applyFont="1" applyFill="1" applyBorder="1" applyAlignment="1">
      <alignment horizontal="right" vertical="center" wrapText="1"/>
      <protection/>
    </xf>
    <xf numFmtId="4" fontId="7" fillId="0" borderId="0" xfId="19" applyNumberFormat="1" applyFont="1" applyFill="1" applyAlignment="1">
      <alignment vertical="center"/>
      <protection/>
    </xf>
    <xf numFmtId="3" fontId="6" fillId="0" borderId="1" xfId="19" applyNumberFormat="1" applyFont="1" applyFill="1" applyBorder="1" applyAlignment="1">
      <alignment horizontal="left" vertical="center" wrapText="1"/>
      <protection/>
    </xf>
    <xf numFmtId="3" fontId="5" fillId="0" borderId="0" xfId="19" applyNumberFormat="1" applyFont="1" applyFill="1" applyAlignment="1">
      <alignment vertical="center"/>
      <protection/>
    </xf>
    <xf numFmtId="1" fontId="0" fillId="0" borderId="1" xfId="19" applyNumberFormat="1" applyFont="1" applyFill="1" applyBorder="1" applyAlignment="1">
      <alignment vertical="center" wrapText="1"/>
      <protection/>
    </xf>
    <xf numFmtId="1" fontId="0" fillId="0" borderId="1" xfId="19" applyNumberFormat="1" applyFont="1" applyFill="1" applyBorder="1" applyAlignment="1">
      <alignment horizontal="left" vertical="center" wrapText="1"/>
      <protection/>
    </xf>
    <xf numFmtId="1" fontId="7" fillId="0" borderId="1" xfId="19" applyNumberFormat="1" applyFont="1" applyFill="1" applyBorder="1" applyAlignment="1">
      <alignment horizontal="right" vertical="center" wrapText="1"/>
      <protection/>
    </xf>
    <xf numFmtId="3" fontId="6" fillId="0" borderId="1" xfId="18" applyNumberFormat="1" applyFont="1" applyFill="1" applyBorder="1" applyAlignment="1">
      <alignment vertical="center"/>
      <protection/>
    </xf>
    <xf numFmtId="0" fontId="7" fillId="0" borderId="1" xfId="18" applyFont="1" applyFill="1" applyBorder="1" applyAlignment="1">
      <alignment horizontal="right" vertical="center" wrapText="1"/>
      <protection/>
    </xf>
    <xf numFmtId="1" fontId="5" fillId="0" borderId="1" xfId="19" applyNumberFormat="1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horizontal="center" vertical="center"/>
      <protection/>
    </xf>
    <xf numFmtId="1" fontId="7" fillId="0" borderId="1" xfId="19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1" fontId="12" fillId="0" borderId="1" xfId="19" applyNumberFormat="1" applyFont="1" applyFill="1" applyBorder="1" applyAlignment="1">
      <alignment horizontal="center" vertical="center"/>
      <protection/>
    </xf>
    <xf numFmtId="3" fontId="6" fillId="0" borderId="1" xfId="19" applyNumberFormat="1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vertical="center" wrapText="1"/>
      <protection/>
    </xf>
    <xf numFmtId="0" fontId="7" fillId="0" borderId="0" xfId="18" applyFont="1" applyFill="1" applyAlignment="1">
      <alignment vertical="center"/>
      <protection/>
    </xf>
    <xf numFmtId="0" fontId="14" fillId="0" borderId="1" xfId="18" applyFont="1" applyFill="1" applyBorder="1" applyAlignment="1">
      <alignment horizontal="right" vertical="center" wrapText="1"/>
      <protection/>
    </xf>
    <xf numFmtId="1" fontId="14" fillId="0" borderId="1" xfId="19" applyNumberFormat="1" applyFont="1" applyFill="1" applyBorder="1" applyAlignment="1">
      <alignment horizontal="right" vertical="center" wrapText="1"/>
      <protection/>
    </xf>
    <xf numFmtId="3" fontId="12" fillId="0" borderId="0" xfId="19" applyNumberFormat="1" applyFont="1" applyFill="1">
      <alignment/>
      <protection/>
    </xf>
    <xf numFmtId="3" fontId="17" fillId="0" borderId="2" xfId="19" applyNumberFormat="1" applyFont="1" applyFill="1" applyBorder="1" applyAlignment="1">
      <alignment horizontal="right" vertical="center" wrapText="1"/>
      <protection/>
    </xf>
    <xf numFmtId="3" fontId="18" fillId="0" borderId="0" xfId="19" applyNumberFormat="1" applyFont="1" applyFill="1" applyAlignment="1">
      <alignment horizontal="center" vertical="center" wrapText="1"/>
      <protection/>
    </xf>
    <xf numFmtId="3" fontId="17" fillId="0" borderId="1" xfId="19" applyNumberFormat="1" applyFont="1" applyFill="1" applyBorder="1" applyAlignment="1">
      <alignment horizontal="right" vertical="center" wrapText="1"/>
      <protection/>
    </xf>
    <xf numFmtId="1" fontId="5" fillId="0" borderId="0" xfId="19" applyNumberFormat="1" applyFont="1" applyFill="1">
      <alignment/>
      <protection/>
    </xf>
    <xf numFmtId="0" fontId="5" fillId="0" borderId="1" xfId="18" applyFont="1" applyFill="1" applyBorder="1" applyAlignment="1">
      <alignment horizontal="center" vertical="center"/>
      <protection/>
    </xf>
    <xf numFmtId="9" fontId="0" fillId="0" borderId="1" xfId="18" applyNumberFormat="1" applyFont="1" applyFill="1" applyBorder="1" applyAlignment="1">
      <alignment vertical="center" wrapText="1"/>
      <protection/>
    </xf>
    <xf numFmtId="4" fontId="19" fillId="0" borderId="0" xfId="19" applyNumberFormat="1" applyFont="1" applyFill="1" applyBorder="1" applyAlignment="1">
      <alignment vertical="center"/>
      <protection/>
    </xf>
    <xf numFmtId="4" fontId="20" fillId="0" borderId="0" xfId="19" applyNumberFormat="1" applyFont="1" applyFill="1" applyBorder="1">
      <alignment/>
      <protection/>
    </xf>
    <xf numFmtId="0" fontId="19" fillId="0" borderId="0" xfId="18" applyFont="1" applyFill="1">
      <alignment/>
      <protection/>
    </xf>
    <xf numFmtId="0" fontId="20" fillId="0" borderId="0" xfId="18" applyFont="1" applyFill="1">
      <alignment/>
      <protection/>
    </xf>
    <xf numFmtId="0" fontId="19" fillId="0" borderId="0" xfId="18" applyFont="1" applyFill="1">
      <alignment/>
      <protection/>
    </xf>
    <xf numFmtId="0" fontId="19" fillId="0" borderId="0" xfId="18" applyFont="1" applyFill="1" applyAlignment="1">
      <alignment vertical="center"/>
      <protection/>
    </xf>
    <xf numFmtId="4" fontId="19" fillId="0" borderId="0" xfId="19" applyNumberFormat="1" applyFont="1" applyFill="1">
      <alignment/>
      <protection/>
    </xf>
    <xf numFmtId="4" fontId="19" fillId="0" borderId="0" xfId="19" applyNumberFormat="1" applyFont="1" applyFill="1" applyAlignment="1">
      <alignment vertical="center"/>
      <protection/>
    </xf>
    <xf numFmtId="4" fontId="20" fillId="0" borderId="0" xfId="19" applyNumberFormat="1" applyFont="1" applyFill="1" applyAlignment="1">
      <alignment vertical="center"/>
      <protection/>
    </xf>
    <xf numFmtId="0" fontId="19" fillId="0" borderId="0" xfId="18" applyFont="1" applyFill="1" applyAlignment="1">
      <alignment vertical="center"/>
      <protection/>
    </xf>
    <xf numFmtId="4" fontId="21" fillId="0" borderId="0" xfId="19" applyNumberFormat="1" applyFont="1" applyFill="1">
      <alignment/>
      <protection/>
    </xf>
    <xf numFmtId="4" fontId="20" fillId="0" borderId="0" xfId="19" applyNumberFormat="1" applyFont="1" applyFill="1">
      <alignment/>
      <protection/>
    </xf>
    <xf numFmtId="4" fontId="19" fillId="0" borderId="0" xfId="19" applyNumberFormat="1" applyFont="1" applyFill="1">
      <alignment/>
      <protection/>
    </xf>
    <xf numFmtId="4" fontId="22" fillId="0" borderId="0" xfId="19" applyNumberFormat="1" applyFont="1" applyFill="1" applyAlignment="1">
      <alignment vertical="center"/>
      <protection/>
    </xf>
    <xf numFmtId="3" fontId="22" fillId="0" borderId="0" xfId="19" applyNumberFormat="1" applyFont="1" applyFill="1" applyAlignment="1">
      <alignment vertical="center"/>
      <protection/>
    </xf>
    <xf numFmtId="4" fontId="19" fillId="0" borderId="0" xfId="19" applyNumberFormat="1" applyFont="1" applyFill="1" applyBorder="1">
      <alignment/>
      <protection/>
    </xf>
    <xf numFmtId="4" fontId="21" fillId="0" borderId="0" xfId="19" applyNumberFormat="1" applyFont="1" applyFill="1" applyAlignment="1">
      <alignment vertical="center"/>
      <protection/>
    </xf>
    <xf numFmtId="0" fontId="19" fillId="0" borderId="0" xfId="18" applyFont="1" applyFill="1" applyAlignment="1">
      <alignment horizontal="left"/>
      <protection/>
    </xf>
    <xf numFmtId="0" fontId="23" fillId="0" borderId="0" xfId="18" applyFont="1" applyFill="1">
      <alignment/>
      <protection/>
    </xf>
    <xf numFmtId="4" fontId="24" fillId="0" borderId="0" xfId="19" applyNumberFormat="1" applyFont="1" applyFill="1">
      <alignment/>
      <protection/>
    </xf>
    <xf numFmtId="4" fontId="24" fillId="0" borderId="0" xfId="19" applyNumberFormat="1" applyFont="1" applyFill="1" applyAlignment="1">
      <alignment vertical="center"/>
      <protection/>
    </xf>
    <xf numFmtId="4" fontId="23" fillId="0" borderId="0" xfId="19" applyNumberFormat="1" applyFont="1" applyFill="1">
      <alignment/>
      <protection/>
    </xf>
    <xf numFmtId="4" fontId="23" fillId="0" borderId="0" xfId="19" applyNumberFormat="1" applyFont="1" applyFill="1" applyAlignment="1">
      <alignment vertical="center"/>
      <protection/>
    </xf>
    <xf numFmtId="0" fontId="24" fillId="0" borderId="0" xfId="18" applyFont="1" applyFill="1">
      <alignment/>
      <protection/>
    </xf>
    <xf numFmtId="4" fontId="25" fillId="0" borderId="0" xfId="19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1" xfId="18" applyFont="1" applyFill="1" applyBorder="1" applyAlignment="1">
      <alignment vertical="center" wrapText="1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0" fontId="0" fillId="0" borderId="0" xfId="18" applyFont="1" applyFill="1">
      <alignment/>
      <protection/>
    </xf>
    <xf numFmtId="0" fontId="0" fillId="0" borderId="0" xfId="18" applyFont="1" applyFill="1" applyAlignment="1">
      <alignment vertical="center"/>
      <protection/>
    </xf>
    <xf numFmtId="3" fontId="0" fillId="0" borderId="0" xfId="18" applyNumberFormat="1" applyFont="1" applyFill="1" applyAlignment="1">
      <alignment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horizontal="left" vertical="center" wrapText="1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vertical="center" wrapText="1"/>
      <protection/>
    </xf>
    <xf numFmtId="4" fontId="0" fillId="0" borderId="0" xfId="19" applyNumberFormat="1" applyFont="1" applyFill="1">
      <alignment/>
      <protection/>
    </xf>
    <xf numFmtId="0" fontId="0" fillId="0" borderId="0" xfId="0" applyFont="1" applyFill="1" applyAlignment="1">
      <alignment/>
    </xf>
    <xf numFmtId="4" fontId="24" fillId="0" borderId="0" xfId="19" applyNumberFormat="1" applyFont="1" applyFill="1" applyAlignment="1">
      <alignment horizontal="left"/>
      <protection/>
    </xf>
    <xf numFmtId="3" fontId="0" fillId="0" borderId="0" xfId="0" applyNumberFormat="1" applyFont="1" applyFill="1" applyAlignment="1">
      <alignment/>
    </xf>
    <xf numFmtId="3" fontId="0" fillId="0" borderId="0" xfId="19" applyNumberFormat="1" applyFont="1" applyFill="1" applyBorder="1" applyAlignment="1">
      <alignment horizontal="right" vertical="center" wrapText="1"/>
      <protection/>
    </xf>
    <xf numFmtId="3" fontId="5" fillId="0" borderId="0" xfId="19" applyNumberFormat="1" applyFont="1" applyFill="1" applyBorder="1" applyAlignment="1">
      <alignment horizontal="right" vertical="center" wrapText="1"/>
      <protection/>
    </xf>
    <xf numFmtId="4" fontId="7" fillId="0" borderId="0" xfId="19" applyNumberFormat="1" applyFont="1" applyFill="1" applyBorder="1">
      <alignment/>
      <protection/>
    </xf>
    <xf numFmtId="3" fontId="18" fillId="0" borderId="0" xfId="19" applyNumberFormat="1" applyFont="1" applyFill="1" applyBorder="1" applyAlignment="1">
      <alignment horizontal="center" vertical="center" wrapText="1"/>
      <protection/>
    </xf>
    <xf numFmtId="4" fontId="5" fillId="0" borderId="0" xfId="19" applyNumberFormat="1" applyFont="1" applyFill="1" applyBorder="1" applyAlignment="1">
      <alignment vertical="center"/>
      <protection/>
    </xf>
    <xf numFmtId="4" fontId="9" fillId="0" borderId="0" xfId="19" applyNumberFormat="1" applyFont="1" applyFill="1" applyBorder="1" applyAlignment="1">
      <alignment vertical="center"/>
      <protection/>
    </xf>
    <xf numFmtId="164" fontId="5" fillId="0" borderId="1" xfId="19" applyNumberFormat="1" applyFont="1" applyFill="1" applyBorder="1" applyAlignment="1">
      <alignment horizontal="center" vertical="center" wrapText="1"/>
      <protection/>
    </xf>
    <xf numFmtId="164" fontId="5" fillId="0" borderId="0" xfId="19" applyNumberFormat="1" applyFont="1" applyFill="1" applyBorder="1" applyAlignment="1">
      <alignment horizontal="center" vertical="center" wrapText="1"/>
      <protection/>
    </xf>
    <xf numFmtId="0" fontId="22" fillId="0" borderId="0" xfId="18" applyFont="1" applyFill="1" applyAlignment="1">
      <alignment vertical="center"/>
      <protection/>
    </xf>
    <xf numFmtId="1" fontId="19" fillId="0" borderId="0" xfId="19" applyNumberFormat="1" applyFont="1" applyFill="1">
      <alignment/>
      <protection/>
    </xf>
    <xf numFmtId="0" fontId="20" fillId="0" borderId="0" xfId="18" applyFont="1" applyFill="1" applyAlignment="1">
      <alignment vertical="center"/>
      <protection/>
    </xf>
    <xf numFmtId="4" fontId="15" fillId="0" borderId="0" xfId="19" applyNumberFormat="1" applyFont="1" applyFill="1" applyBorder="1" applyAlignment="1">
      <alignment horizontal="right" vertical="center" wrapText="1"/>
      <protection/>
    </xf>
    <xf numFmtId="4" fontId="19" fillId="2" borderId="0" xfId="19" applyNumberFormat="1" applyFont="1" applyFill="1">
      <alignment/>
      <protection/>
    </xf>
    <xf numFmtId="4" fontId="0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8" applyNumberFormat="1" applyFont="1" applyFill="1">
      <alignment/>
      <protection/>
    </xf>
    <xf numFmtId="4" fontId="0" fillId="0" borderId="0" xfId="18" applyNumberFormat="1" applyFont="1" applyFill="1">
      <alignment/>
      <protection/>
    </xf>
    <xf numFmtId="3" fontId="5" fillId="0" borderId="3" xfId="19" applyNumberFormat="1" applyFont="1" applyFill="1" applyBorder="1" applyAlignment="1">
      <alignment horizontal="center" vertical="center" wrapText="1"/>
      <protection/>
    </xf>
    <xf numFmtId="3" fontId="7" fillId="0" borderId="0" xfId="19" applyNumberFormat="1" applyFont="1" applyFill="1">
      <alignment/>
      <protection/>
    </xf>
    <xf numFmtId="3" fontId="15" fillId="0" borderId="1" xfId="19" applyNumberFormat="1" applyFont="1" applyFill="1" applyBorder="1" applyAlignment="1">
      <alignment horizontal="right" vertical="center" wrapText="1"/>
      <protection/>
    </xf>
    <xf numFmtId="4" fontId="26" fillId="0" borderId="0" xfId="19" applyNumberFormat="1" applyFont="1" applyFill="1">
      <alignment/>
      <protection/>
    </xf>
    <xf numFmtId="3" fontId="7" fillId="0" borderId="0" xfId="18" applyNumberFormat="1" applyFont="1" applyFill="1">
      <alignment/>
      <protection/>
    </xf>
    <xf numFmtId="0" fontId="19" fillId="2" borderId="0" xfId="18" applyFont="1" applyFill="1" applyAlignment="1">
      <alignment wrapText="1"/>
      <protection/>
    </xf>
    <xf numFmtId="4" fontId="24" fillId="2" borderId="0" xfId="19" applyNumberFormat="1" applyFont="1" applyFill="1" applyAlignment="1">
      <alignment horizontal="left"/>
      <protection/>
    </xf>
    <xf numFmtId="0" fontId="19" fillId="3" borderId="0" xfId="18" applyFont="1" applyFill="1">
      <alignment/>
      <protection/>
    </xf>
    <xf numFmtId="43" fontId="19" fillId="0" borderId="0" xfId="15" applyFont="1" applyFill="1" applyAlignment="1">
      <alignment wrapText="1"/>
    </xf>
    <xf numFmtId="0" fontId="19" fillId="4" borderId="0" xfId="18" applyFont="1" applyFill="1">
      <alignment/>
      <protection/>
    </xf>
    <xf numFmtId="3" fontId="15" fillId="0" borderId="0" xfId="19" applyNumberFormat="1" applyFont="1" applyFill="1" applyBorder="1" applyAlignment="1">
      <alignment horizontal="right" vertical="center" wrapText="1"/>
      <protection/>
    </xf>
    <xf numFmtId="4" fontId="23" fillId="4" borderId="0" xfId="19" applyNumberFormat="1" applyFont="1" applyFill="1" applyAlignment="1">
      <alignment vertical="center"/>
      <protection/>
    </xf>
    <xf numFmtId="4" fontId="20" fillId="2" borderId="0" xfId="19" applyNumberFormat="1" applyFont="1" applyFill="1">
      <alignment/>
      <protection/>
    </xf>
    <xf numFmtId="4" fontId="19" fillId="3" borderId="0" xfId="19" applyNumberFormat="1" applyFont="1" applyFill="1">
      <alignment/>
      <protection/>
    </xf>
    <xf numFmtId="0" fontId="19" fillId="0" borderId="0" xfId="18" applyFont="1" applyFill="1" applyAlignment="1">
      <alignment horizontal="left" vertical="center"/>
      <protection/>
    </xf>
    <xf numFmtId="4" fontId="0" fillId="0" borderId="0" xfId="0" applyNumberFormat="1" applyFont="1" applyFill="1" applyAlignment="1">
      <alignment/>
    </xf>
    <xf numFmtId="0" fontId="15" fillId="0" borderId="0" xfId="18" applyFont="1" applyFill="1">
      <alignment/>
      <protection/>
    </xf>
    <xf numFmtId="3" fontId="0" fillId="0" borderId="0" xfId="18" applyNumberFormat="1" applyFont="1" applyFill="1">
      <alignment/>
      <protection/>
    </xf>
    <xf numFmtId="0" fontId="20" fillId="2" borderId="0" xfId="18" applyFont="1" applyFill="1">
      <alignment/>
      <protection/>
    </xf>
    <xf numFmtId="4" fontId="0" fillId="2" borderId="0" xfId="19" applyNumberFormat="1" applyFont="1" applyFill="1">
      <alignment/>
      <protection/>
    </xf>
    <xf numFmtId="4" fontId="24" fillId="2" borderId="0" xfId="19" applyNumberFormat="1" applyFont="1" applyFill="1">
      <alignment/>
      <protection/>
    </xf>
    <xf numFmtId="4" fontId="7" fillId="2" borderId="0" xfId="19" applyNumberFormat="1" applyFont="1" applyFill="1">
      <alignment/>
      <protection/>
    </xf>
    <xf numFmtId="1" fontId="5" fillId="0" borderId="0" xfId="19" applyNumberFormat="1" applyFont="1" applyFill="1" applyBorder="1">
      <alignment/>
      <protection/>
    </xf>
    <xf numFmtId="0" fontId="0" fillId="0" borderId="0" xfId="18" applyFont="1" applyFill="1" applyBorder="1">
      <alignment/>
      <protection/>
    </xf>
    <xf numFmtId="3" fontId="0" fillId="0" borderId="0" xfId="18" applyNumberFormat="1" applyFont="1" applyFill="1" applyBorder="1">
      <alignment/>
      <protection/>
    </xf>
    <xf numFmtId="0" fontId="7" fillId="0" borderId="0" xfId="18" applyFont="1" applyFill="1" applyBorder="1">
      <alignment/>
      <protection/>
    </xf>
    <xf numFmtId="0" fontId="0" fillId="0" borderId="0" xfId="18" applyFont="1" applyFill="1" applyBorder="1">
      <alignment/>
      <protection/>
    </xf>
    <xf numFmtId="3" fontId="0" fillId="0" borderId="0" xfId="18" applyNumberFormat="1" applyFont="1" applyFill="1" applyBorder="1" applyAlignment="1">
      <alignment vertical="center"/>
      <protection/>
    </xf>
    <xf numFmtId="3" fontId="5" fillId="0" borderId="0" xfId="18" applyNumberFormat="1" applyFont="1" applyFill="1" applyBorder="1">
      <alignment/>
      <protection/>
    </xf>
    <xf numFmtId="4" fontId="5" fillId="0" borderId="0" xfId="19" applyNumberFormat="1" applyFont="1" applyFill="1" applyBorder="1" applyAlignment="1">
      <alignment horizontal="right" vertical="center" wrapText="1"/>
      <protection/>
    </xf>
    <xf numFmtId="4" fontId="20" fillId="0" borderId="0" xfId="19" applyNumberFormat="1" applyFont="1" applyFill="1" applyBorder="1" applyAlignment="1">
      <alignment vertical="center"/>
      <protection/>
    </xf>
    <xf numFmtId="0" fontId="19" fillId="0" borderId="0" xfId="18" applyFont="1" applyFill="1" applyBorder="1" applyAlignment="1">
      <alignment horizontal="left"/>
      <protection/>
    </xf>
    <xf numFmtId="0" fontId="19" fillId="0" borderId="0" xfId="18" applyFont="1" applyFill="1" applyBorder="1">
      <alignment/>
      <protection/>
    </xf>
    <xf numFmtId="3" fontId="7" fillId="0" borderId="0" xfId="19" applyNumberFormat="1" applyFont="1" applyFill="1" applyBorder="1" applyAlignment="1">
      <alignment horizontal="right" vertical="center" wrapText="1"/>
      <protection/>
    </xf>
    <xf numFmtId="3" fontId="29" fillId="0" borderId="2" xfId="19" applyNumberFormat="1" applyFont="1" applyFill="1" applyBorder="1" applyAlignment="1">
      <alignment horizontal="right" vertical="center" wrapText="1"/>
      <protection/>
    </xf>
    <xf numFmtId="3" fontId="30" fillId="0" borderId="2" xfId="19" applyNumberFormat="1" applyFont="1" applyFill="1" applyBorder="1" applyAlignment="1">
      <alignment vertical="center"/>
      <protection/>
    </xf>
    <xf numFmtId="3" fontId="31" fillId="0" borderId="1" xfId="19" applyNumberFormat="1" applyFont="1" applyFill="1" applyBorder="1" applyAlignment="1">
      <alignment vertical="center"/>
      <protection/>
    </xf>
    <xf numFmtId="3" fontId="32" fillId="0" borderId="1" xfId="19" applyNumberFormat="1" applyFont="1" applyFill="1" applyBorder="1" applyAlignment="1">
      <alignment horizontal="right" vertical="center" wrapText="1"/>
      <protection/>
    </xf>
    <xf numFmtId="3" fontId="15" fillId="0" borderId="1" xfId="19" applyNumberFormat="1" applyFont="1" applyFill="1" applyBorder="1" applyAlignment="1">
      <alignment vertical="center"/>
      <protection/>
    </xf>
    <xf numFmtId="3" fontId="15" fillId="0" borderId="1" xfId="18" applyNumberFormat="1" applyFont="1" applyFill="1" applyBorder="1" applyAlignment="1">
      <alignment vertical="center"/>
      <protection/>
    </xf>
    <xf numFmtId="164" fontId="28" fillId="0" borderId="3" xfId="19" applyNumberFormat="1" applyFont="1" applyFill="1" applyBorder="1" applyAlignment="1">
      <alignment horizontal="center" vertical="center" wrapText="1"/>
      <protection/>
    </xf>
    <xf numFmtId="4" fontId="15" fillId="0" borderId="1" xfId="19" applyNumberFormat="1" applyFont="1" applyFill="1" applyBorder="1" applyAlignment="1">
      <alignment vertical="center"/>
      <protection/>
    </xf>
    <xf numFmtId="3" fontId="28" fillId="0" borderId="1" xfId="19" applyNumberFormat="1" applyFont="1" applyFill="1" applyBorder="1" applyAlignment="1">
      <alignment horizontal="right" vertical="center" wrapText="1"/>
      <protection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9" fillId="4" borderId="0" xfId="18" applyFont="1" applyFill="1" applyBorder="1">
      <alignment/>
      <protection/>
    </xf>
    <xf numFmtId="1" fontId="0" fillId="2" borderId="1" xfId="19" applyNumberFormat="1" applyFont="1" applyFill="1" applyBorder="1" applyAlignment="1">
      <alignment vertical="center" wrapText="1"/>
      <protection/>
    </xf>
    <xf numFmtId="4" fontId="0" fillId="5" borderId="0" xfId="19" applyNumberFormat="1" applyFont="1" applyFill="1" applyBorder="1" applyAlignment="1">
      <alignment vertical="center"/>
      <protection/>
    </xf>
    <xf numFmtId="4" fontId="0" fillId="2" borderId="1" xfId="19" applyNumberFormat="1" applyFont="1" applyFill="1" applyBorder="1" applyAlignment="1">
      <alignment vertical="center" wrapText="1"/>
      <protection/>
    </xf>
    <xf numFmtId="3" fontId="0" fillId="2" borderId="1" xfId="19" applyNumberFormat="1" applyFont="1" applyFill="1" applyBorder="1" applyAlignment="1">
      <alignment horizontal="right" vertical="center" wrapText="1"/>
      <protection/>
    </xf>
    <xf numFmtId="0" fontId="0" fillId="2" borderId="1" xfId="18" applyFont="1" applyFill="1" applyBorder="1" applyAlignment="1">
      <alignment horizontal="left" vertical="center" wrapText="1"/>
      <protection/>
    </xf>
    <xf numFmtId="3" fontId="15" fillId="2" borderId="1" xfId="19" applyNumberFormat="1" applyFont="1" applyFill="1" applyBorder="1" applyAlignment="1">
      <alignment horizontal="right" vertical="center" wrapText="1"/>
      <protection/>
    </xf>
    <xf numFmtId="4" fontId="0" fillId="4" borderId="0" xfId="19" applyNumberFormat="1" applyFont="1" applyFill="1" applyBorder="1" applyAlignment="1">
      <alignment vertical="center"/>
      <protection/>
    </xf>
    <xf numFmtId="0" fontId="7" fillId="0" borderId="0" xfId="18" applyFont="1" applyFill="1" applyAlignment="1">
      <alignment vertical="center" wrapText="1"/>
      <protection/>
    </xf>
    <xf numFmtId="4" fontId="27" fillId="0" borderId="4" xfId="19" applyNumberFormat="1" applyFont="1" applyFill="1" applyBorder="1" applyAlignment="1">
      <alignment horizontal="center" vertical="center" wrapText="1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0" fontId="7" fillId="6" borderId="1" xfId="18" applyFont="1" applyFill="1" applyBorder="1" applyAlignment="1">
      <alignment vertical="center" wrapText="1"/>
      <protection/>
    </xf>
    <xf numFmtId="0" fontId="7" fillId="0" borderId="0" xfId="18" applyFont="1" applyFill="1" applyBorder="1" applyAlignment="1">
      <alignment vertical="center" wrapText="1"/>
      <protection/>
    </xf>
    <xf numFmtId="3" fontId="5" fillId="2" borderId="1" xfId="19" applyNumberFormat="1" applyFont="1" applyFill="1" applyBorder="1" applyAlignment="1">
      <alignment horizontal="right" vertical="center" wrapText="1"/>
      <protection/>
    </xf>
    <xf numFmtId="3" fontId="34" fillId="0" borderId="2" xfId="19" applyNumberFormat="1" applyFont="1" applyFill="1" applyBorder="1" applyAlignment="1">
      <alignment horizontal="right" vertical="center" wrapText="1"/>
      <protection/>
    </xf>
    <xf numFmtId="3" fontId="11" fillId="0" borderId="1" xfId="19" applyNumberFormat="1" applyFont="1" applyFill="1" applyBorder="1" applyAlignment="1">
      <alignment horizontal="right" vertical="center" wrapText="1"/>
      <protection/>
    </xf>
    <xf numFmtId="3" fontId="11" fillId="0" borderId="2" xfId="19" applyNumberFormat="1" applyFont="1" applyFill="1" applyBorder="1" applyAlignment="1">
      <alignment horizontal="right" vertical="center" wrapText="1"/>
      <protection/>
    </xf>
    <xf numFmtId="164" fontId="11" fillId="0" borderId="1" xfId="19" applyNumberFormat="1" applyFont="1" applyFill="1" applyBorder="1" applyAlignment="1">
      <alignment horizontal="center" vertical="center" wrapText="1"/>
      <protection/>
    </xf>
    <xf numFmtId="3" fontId="11" fillId="0" borderId="0" xfId="19" applyNumberFormat="1" applyFont="1" applyFill="1" applyBorder="1" applyAlignment="1">
      <alignment horizontal="right" vertical="center" wrapText="1"/>
      <protection/>
    </xf>
    <xf numFmtId="3" fontId="35" fillId="0" borderId="0" xfId="19" applyNumberFormat="1" applyFont="1" applyFill="1" applyBorder="1" applyAlignment="1">
      <alignment horizontal="right" vertical="center" wrapText="1"/>
      <protection/>
    </xf>
    <xf numFmtId="3" fontId="36" fillId="0" borderId="0" xfId="19" applyNumberFormat="1" applyFont="1" applyFill="1" applyBorder="1" applyAlignment="1">
      <alignment horizontal="center" vertical="center" wrapText="1"/>
      <protection/>
    </xf>
    <xf numFmtId="3" fontId="36" fillId="0" borderId="0" xfId="19" applyNumberFormat="1" applyFont="1" applyFill="1" applyAlignment="1">
      <alignment horizontal="center" vertical="center" wrapText="1"/>
      <protection/>
    </xf>
    <xf numFmtId="3" fontId="34" fillId="0" borderId="2" xfId="19" applyNumberFormat="1" applyFont="1" applyFill="1" applyBorder="1" applyAlignment="1">
      <alignment vertical="center"/>
      <protection/>
    </xf>
    <xf numFmtId="3" fontId="11" fillId="0" borderId="2" xfId="19" applyNumberFormat="1" applyFont="1" applyFill="1" applyBorder="1" applyAlignment="1">
      <alignment vertical="center"/>
      <protection/>
    </xf>
    <xf numFmtId="4" fontId="11" fillId="0" borderId="0" xfId="19" applyNumberFormat="1" applyFont="1" applyFill="1" applyAlignment="1">
      <alignment vertical="center"/>
      <protection/>
    </xf>
    <xf numFmtId="4" fontId="11" fillId="0" borderId="0" xfId="19" applyNumberFormat="1" applyFont="1" applyFill="1" applyBorder="1" applyAlignment="1">
      <alignment vertical="center"/>
      <protection/>
    </xf>
    <xf numFmtId="3" fontId="5" fillId="0" borderId="0" xfId="19" applyNumberFormat="1" applyFont="1" applyFill="1" applyBorder="1" applyAlignment="1">
      <alignment horizontal="right" vertical="center" wrapText="1"/>
      <protection/>
    </xf>
    <xf numFmtId="164" fontId="5" fillId="0" borderId="0" xfId="19" applyNumberFormat="1" applyFont="1" applyFill="1" applyBorder="1" applyAlignment="1">
      <alignment horizontal="center" vertical="center" wrapText="1"/>
      <protection/>
    </xf>
    <xf numFmtId="3" fontId="5" fillId="0" borderId="1" xfId="19" applyNumberFormat="1" applyFont="1" applyFill="1" applyBorder="1" applyAlignment="1">
      <alignment horizontal="center" vertical="center" wrapText="1"/>
      <protection/>
    </xf>
    <xf numFmtId="1" fontId="0" fillId="0" borderId="0" xfId="19" applyNumberFormat="1" applyFont="1" applyFill="1">
      <alignment/>
      <protection/>
    </xf>
    <xf numFmtId="4" fontId="0" fillId="0" borderId="0" xfId="19" applyNumberFormat="1" applyFont="1" applyFill="1" applyBorder="1" applyAlignment="1">
      <alignment horizontal="right" vertical="center" wrapText="1"/>
      <protection/>
    </xf>
    <xf numFmtId="1" fontId="5" fillId="0" borderId="1" xfId="19" applyNumberFormat="1" applyFont="1" applyFill="1" applyBorder="1" applyAlignment="1">
      <alignment horizontal="center" vertical="center"/>
      <protection/>
    </xf>
    <xf numFmtId="4" fontId="7" fillId="0" borderId="0" xfId="19" applyNumberFormat="1" applyFont="1" applyFill="1" applyBorder="1">
      <alignment/>
      <protection/>
    </xf>
    <xf numFmtId="4" fontId="7" fillId="0" borderId="0" xfId="19" applyNumberFormat="1" applyFont="1" applyFill="1">
      <alignment/>
      <protection/>
    </xf>
    <xf numFmtId="3" fontId="0" fillId="0" borderId="0" xfId="18" applyNumberFormat="1" applyFont="1" applyFill="1">
      <alignment/>
      <protection/>
    </xf>
    <xf numFmtId="3" fontId="0" fillId="4" borderId="1" xfId="19" applyNumberFormat="1" applyFont="1" applyFill="1" applyBorder="1" applyAlignment="1">
      <alignment vertical="center"/>
      <protection/>
    </xf>
    <xf numFmtId="3" fontId="5" fillId="4" borderId="1" xfId="19" applyNumberFormat="1" applyFont="1" applyFill="1" applyBorder="1" applyAlignment="1">
      <alignment horizontal="right" vertical="center" wrapText="1"/>
      <protection/>
    </xf>
    <xf numFmtId="164" fontId="11" fillId="7" borderId="0" xfId="19" applyNumberFormat="1" applyFont="1" applyFill="1" applyBorder="1" applyAlignment="1">
      <alignment horizontal="center" vertical="center" wrapText="1"/>
      <protection/>
    </xf>
    <xf numFmtId="164" fontId="5" fillId="0" borderId="3" xfId="19" applyNumberFormat="1" applyFont="1" applyFill="1" applyBorder="1" applyAlignment="1">
      <alignment horizontal="center" vertical="center" wrapText="1"/>
      <protection/>
    </xf>
    <xf numFmtId="4" fontId="0" fillId="0" borderId="1" xfId="19" applyNumberFormat="1" applyFont="1" applyFill="1" applyBorder="1" applyAlignment="1">
      <alignment vertical="center"/>
      <protection/>
    </xf>
    <xf numFmtId="4" fontId="0" fillId="0" borderId="1" xfId="19" applyNumberFormat="1" applyFont="1" applyFill="1" applyBorder="1" applyAlignment="1">
      <alignment horizontal="right" vertical="center" wrapText="1"/>
      <protection/>
    </xf>
    <xf numFmtId="0" fontId="19" fillId="0" borderId="0" xfId="18" applyFont="1" applyFill="1" applyAlignment="1">
      <alignment wrapText="1"/>
      <protection/>
    </xf>
    <xf numFmtId="195" fontId="0" fillId="0" borderId="0" xfId="0" applyNumberFormat="1" applyFont="1" applyFill="1" applyAlignment="1">
      <alignment wrapText="1"/>
    </xf>
    <xf numFmtId="4" fontId="5" fillId="0" borderId="1" xfId="19" applyNumberFormat="1" applyFont="1" applyFill="1" applyBorder="1" applyAlignment="1">
      <alignment horizontal="center" vertical="center" wrapText="1"/>
      <protection/>
    </xf>
    <xf numFmtId="0" fontId="19" fillId="3" borderId="5" xfId="18" applyFont="1" applyFill="1" applyBorder="1" applyAlignment="1">
      <alignment wrapText="1"/>
      <protection/>
    </xf>
    <xf numFmtId="0" fontId="19" fillId="3" borderId="0" xfId="18" applyFont="1" applyFill="1" applyAlignment="1">
      <alignment wrapText="1"/>
      <protection/>
    </xf>
    <xf numFmtId="1" fontId="11" fillId="0" borderId="1" xfId="19" applyNumberFormat="1" applyFont="1" applyFill="1" applyBorder="1" applyAlignment="1">
      <alignment horizontal="left" vertical="center" wrapText="1"/>
      <protection/>
    </xf>
    <xf numFmtId="4" fontId="16" fillId="0" borderId="6" xfId="19" applyNumberFormat="1" applyFont="1" applyFill="1" applyBorder="1" applyAlignment="1">
      <alignment horizontal="center" vertical="center" wrapText="1"/>
      <protection/>
    </xf>
    <xf numFmtId="4" fontId="16" fillId="0" borderId="2" xfId="19" applyNumberFormat="1" applyFont="1" applyFill="1" applyBorder="1" applyAlignment="1">
      <alignment horizontal="center" vertical="center" wrapText="1"/>
      <protection/>
    </xf>
    <xf numFmtId="4" fontId="11" fillId="0" borderId="1" xfId="19" applyNumberFormat="1" applyFont="1" applyFill="1" applyBorder="1" applyAlignment="1">
      <alignment horizontal="left" vertical="center" wrapText="1"/>
      <protection/>
    </xf>
    <xf numFmtId="4" fontId="5" fillId="0" borderId="1" xfId="19" applyNumberFormat="1" applyFont="1" applyFill="1" applyBorder="1" applyAlignment="1">
      <alignment horizontal="left" vertical="center" wrapText="1"/>
      <protection/>
    </xf>
    <xf numFmtId="4" fontId="0" fillId="0" borderId="5" xfId="19" applyNumberFormat="1" applyFont="1" applyFill="1" applyBorder="1" applyAlignment="1">
      <alignment horizontal="left" vertical="center" wrapText="1"/>
      <protection/>
    </xf>
    <xf numFmtId="4" fontId="0" fillId="0" borderId="0" xfId="19" applyNumberFormat="1" applyFont="1" applyFill="1" applyBorder="1" applyAlignment="1">
      <alignment horizontal="left" vertical="center" wrapText="1"/>
      <protection/>
    </xf>
    <xf numFmtId="0" fontId="7" fillId="0" borderId="5" xfId="18" applyFont="1" applyFill="1" applyBorder="1" applyAlignment="1">
      <alignment vertical="center" wrapText="1"/>
      <protection/>
    </xf>
    <xf numFmtId="0" fontId="7" fillId="0" borderId="0" xfId="18" applyFont="1" applyFill="1" applyAlignment="1">
      <alignment vertical="center" wrapText="1"/>
      <protection/>
    </xf>
    <xf numFmtId="164" fontId="0" fillId="2" borderId="5" xfId="19" applyNumberFormat="1" applyFont="1" applyFill="1" applyBorder="1" applyAlignment="1">
      <alignment horizontal="left" vertical="center" wrapText="1"/>
      <protection/>
    </xf>
    <xf numFmtId="164" fontId="0" fillId="2" borderId="0" xfId="19" applyNumberFormat="1" applyFont="1" applyFill="1" applyBorder="1" applyAlignment="1">
      <alignment horizontal="left" vertical="center" wrapText="1"/>
      <protection/>
    </xf>
    <xf numFmtId="4" fontId="27" fillId="0" borderId="4" xfId="19" applyNumberFormat="1" applyFont="1" applyFill="1" applyBorder="1" applyAlignment="1">
      <alignment horizontal="center" vertical="center" wrapText="1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4" fontId="5" fillId="0" borderId="1" xfId="19" applyNumberFormat="1" applyFont="1" applyFill="1" applyBorder="1" applyAlignment="1">
      <alignment horizontal="center" vertical="center" wrapText="1"/>
      <protection/>
    </xf>
    <xf numFmtId="1" fontId="6" fillId="0" borderId="1" xfId="19" applyNumberFormat="1" applyFont="1" applyFill="1" applyBorder="1" applyAlignment="1">
      <alignment horizontal="center" vertical="center" wrapText="1"/>
      <protection/>
    </xf>
    <xf numFmtId="1" fontId="6" fillId="0" borderId="7" xfId="19" applyNumberFormat="1" applyFont="1" applyFill="1" applyBorder="1" applyAlignment="1">
      <alignment horizontal="center" vertical="center" wrapText="1"/>
      <protection/>
    </xf>
    <xf numFmtId="1" fontId="6" fillId="0" borderId="3" xfId="19" applyNumberFormat="1" applyFont="1" applyFill="1" applyBorder="1" applyAlignment="1">
      <alignment horizontal="center" vertical="center" wrapText="1"/>
      <protection/>
    </xf>
    <xf numFmtId="4" fontId="37" fillId="0" borderId="4" xfId="19" applyNumberFormat="1" applyFont="1" applyFill="1" applyBorder="1" applyAlignment="1">
      <alignment horizontal="center" vertical="center" wrapText="1"/>
      <protection/>
    </xf>
    <xf numFmtId="164" fontId="0" fillId="0" borderId="5" xfId="19" applyNumberFormat="1" applyFont="1" applyFill="1" applyBorder="1" applyAlignment="1">
      <alignment horizontal="left" vertical="center" wrapText="1"/>
      <protection/>
    </xf>
    <xf numFmtId="164" fontId="0" fillId="0" borderId="0" xfId="19" applyNumberFormat="1" applyFont="1" applyFill="1" applyBorder="1" applyAlignment="1">
      <alignment horizontal="left" vertical="center" wrapText="1"/>
      <protection/>
    </xf>
    <xf numFmtId="0" fontId="19" fillId="0" borderId="5" xfId="18" applyFont="1" applyFill="1" applyBorder="1" applyAlignment="1">
      <alignment wrapText="1"/>
      <protection/>
    </xf>
    <xf numFmtId="0" fontId="19" fillId="0" borderId="0" xfId="18" applyFont="1" applyFill="1" applyAlignment="1">
      <alignment wrapText="1"/>
      <protection/>
    </xf>
    <xf numFmtId="4" fontId="33" fillId="0" borderId="6" xfId="19" applyNumberFormat="1" applyFont="1" applyFill="1" applyBorder="1" applyAlignment="1">
      <alignment horizontal="center" vertical="center" wrapText="1"/>
      <protection/>
    </xf>
    <xf numFmtId="4" fontId="33" fillId="0" borderId="2" xfId="19" applyNumberFormat="1" applyFont="1" applyFill="1" applyBorder="1" applyAlignment="1">
      <alignment horizontal="center" vertical="center" wrapText="1"/>
      <protection/>
    </xf>
    <xf numFmtId="1" fontId="5" fillId="0" borderId="7" xfId="19" applyNumberFormat="1" applyFont="1" applyFill="1" applyBorder="1" applyAlignment="1">
      <alignment horizontal="center" vertical="center" wrapText="1"/>
      <protection/>
    </xf>
    <xf numFmtId="1" fontId="5" fillId="0" borderId="3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zoomScale="140" zoomScaleNormal="140" workbookViewId="0" topLeftCell="C1">
      <pane ySplit="4" topLeftCell="BM5" activePane="bottomLeft" state="frozen"/>
      <selection pane="topLeft" activeCell="A1" sqref="A1"/>
      <selection pane="bottomLeft" activeCell="M15" sqref="M15"/>
    </sheetView>
  </sheetViews>
  <sheetFormatPr defaultColWidth="9.140625" defaultRowHeight="12"/>
  <cols>
    <col min="1" max="1" width="3.28125" style="105" customWidth="1"/>
    <col min="2" max="2" width="45.8515625" style="105" customWidth="1"/>
    <col min="3" max="3" width="19.00390625" style="167" customWidth="1"/>
    <col min="4" max="4" width="20.421875" style="167" customWidth="1"/>
    <col min="5" max="5" width="18.8515625" style="94" customWidth="1"/>
    <col min="6" max="6" width="21.140625" style="107" hidden="1" customWidth="1"/>
    <col min="7" max="7" width="18.421875" style="107" hidden="1" customWidth="1"/>
    <col min="8" max="8" width="17.28125" style="105" hidden="1" customWidth="1"/>
    <col min="9" max="9" width="10.140625" style="105" customWidth="1"/>
    <col min="10" max="10" width="15.140625" style="105" customWidth="1"/>
    <col min="11" max="11" width="15.00390625" style="105" customWidth="1"/>
    <col min="12" max="12" width="16.140625" style="105" customWidth="1"/>
    <col min="13" max="13" width="15.00390625" style="105" customWidth="1"/>
    <col min="14" max="14" width="14.421875" style="105" customWidth="1"/>
    <col min="15" max="36" width="9.28125" style="105" customWidth="1"/>
    <col min="37" max="16384" width="9.140625" style="105" customWidth="1"/>
  </cols>
  <sheetData>
    <row r="1" spans="1:12" s="3" customFormat="1" ht="24" customHeight="1">
      <c r="A1" s="226" t="s">
        <v>406</v>
      </c>
      <c r="B1" s="226"/>
      <c r="C1" s="226"/>
      <c r="D1" s="226"/>
      <c r="E1" s="226"/>
      <c r="F1" s="226"/>
      <c r="G1" s="226"/>
      <c r="H1" s="226"/>
      <c r="I1" s="226"/>
      <c r="J1" s="109">
        <f>C5-C160</f>
        <v>668891068</v>
      </c>
      <c r="K1" s="109">
        <f>D5-D160</f>
        <v>198266147</v>
      </c>
      <c r="L1" s="171" t="s">
        <v>405</v>
      </c>
    </row>
    <row r="2" spans="1:12" s="4" customFormat="1" ht="19.5" customHeight="1">
      <c r="A2" s="227" t="s">
        <v>211</v>
      </c>
      <c r="B2" s="228" t="s">
        <v>351</v>
      </c>
      <c r="C2" s="229" t="s">
        <v>24</v>
      </c>
      <c r="D2" s="229"/>
      <c r="E2" s="229"/>
      <c r="F2" s="229" t="s">
        <v>23</v>
      </c>
      <c r="G2" s="229"/>
      <c r="H2" s="229"/>
      <c r="I2" s="230" t="s">
        <v>392</v>
      </c>
      <c r="J2" s="109" t="s">
        <v>403</v>
      </c>
      <c r="K2" s="109" t="s">
        <v>404</v>
      </c>
      <c r="L2" s="115"/>
    </row>
    <row r="3" spans="1:14" s="66" customFormat="1" ht="15.75" customHeight="1">
      <c r="A3" s="227"/>
      <c r="B3" s="228"/>
      <c r="C3" s="5" t="s">
        <v>212</v>
      </c>
      <c r="D3" s="5" t="s">
        <v>213</v>
      </c>
      <c r="E3" s="5" t="s">
        <v>214</v>
      </c>
      <c r="F3" s="5" t="s">
        <v>212</v>
      </c>
      <c r="G3" s="5" t="s">
        <v>213</v>
      </c>
      <c r="H3" s="5" t="s">
        <v>214</v>
      </c>
      <c r="I3" s="231"/>
      <c r="J3" s="117" t="s">
        <v>394</v>
      </c>
      <c r="L3" s="146"/>
      <c r="M3" s="146"/>
      <c r="N3" s="121"/>
    </row>
    <row r="4" spans="1:18" s="6" customFormat="1" ht="9" customHeight="1">
      <c r="A4" s="47">
        <v>1</v>
      </c>
      <c r="B4" s="47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70"/>
      <c r="K4" s="110"/>
      <c r="L4" s="110"/>
      <c r="M4" s="110"/>
      <c r="N4" s="110"/>
      <c r="O4" s="110"/>
      <c r="P4" s="110"/>
      <c r="Q4" s="110"/>
      <c r="R4" s="110"/>
    </row>
    <row r="5" spans="1:18" s="64" customFormat="1" ht="15.75">
      <c r="A5" s="216" t="s">
        <v>215</v>
      </c>
      <c r="B5" s="217"/>
      <c r="C5" s="158">
        <f>SUM(C6,C155,C159)</f>
        <v>715816083</v>
      </c>
      <c r="D5" s="158">
        <f>SUM(D6,D155,D159)</f>
        <v>213819057</v>
      </c>
      <c r="E5" s="65">
        <f aca="true" t="shared" si="0" ref="E5:E48">SUM(C5:D5)</f>
        <v>929635140</v>
      </c>
      <c r="F5" s="63">
        <f>SUM(F6,F155,F159)</f>
        <v>0</v>
      </c>
      <c r="G5" s="63">
        <f>SUM(G6,G155,G159)</f>
        <v>0</v>
      </c>
      <c r="H5" s="65">
        <f aca="true" t="shared" si="1" ref="H5:H70">SUM(F5:G5)</f>
        <v>0</v>
      </c>
      <c r="I5" s="114">
        <f aca="true" t="shared" si="2" ref="I5:I25">H5/E5</f>
        <v>0</v>
      </c>
      <c r="J5" s="109"/>
      <c r="K5" s="109"/>
      <c r="L5" s="108"/>
      <c r="M5" s="108"/>
      <c r="N5" s="108"/>
      <c r="O5" s="111"/>
      <c r="P5" s="111"/>
      <c r="Q5" s="111"/>
      <c r="R5" s="111"/>
    </row>
    <row r="6" spans="1:18" s="8" customFormat="1" ht="12.75">
      <c r="A6" s="218" t="s">
        <v>314</v>
      </c>
      <c r="B6" s="219"/>
      <c r="C6" s="159">
        <f>SUM(C7,C22,C28,C38,C98,C123,C73,C152)</f>
        <v>585457290</v>
      </c>
      <c r="D6" s="159">
        <f>SUM(D7,D22,D28,D38,D98,D123,D73,D152)</f>
        <v>93427210</v>
      </c>
      <c r="E6" s="7">
        <f t="shared" si="0"/>
        <v>678884500</v>
      </c>
      <c r="F6" s="7">
        <f>SUM(F7,F22,F28,F38,F98,F123,F73,F152)</f>
        <v>0</v>
      </c>
      <c r="G6" s="7">
        <f>SUM(G7,G22,G28,G38,G98,G123,G73,G152)</f>
        <v>0</v>
      </c>
      <c r="H6" s="7">
        <f t="shared" si="1"/>
        <v>0</v>
      </c>
      <c r="I6" s="114">
        <f t="shared" si="2"/>
        <v>0</v>
      </c>
      <c r="J6" s="115"/>
      <c r="L6" s="108"/>
      <c r="M6" s="108"/>
      <c r="N6" s="108"/>
      <c r="O6" s="112"/>
      <c r="P6" s="112"/>
      <c r="Q6" s="112"/>
      <c r="R6" s="112"/>
    </row>
    <row r="7" spans="1:18" s="11" customFormat="1" ht="17.25" customHeight="1">
      <c r="A7" s="24">
        <v>1</v>
      </c>
      <c r="B7" s="26" t="s">
        <v>374</v>
      </c>
      <c r="C7" s="9">
        <f>SUM(C8:C21)</f>
        <v>126371700</v>
      </c>
      <c r="D7" s="9">
        <f>SUM(D8:D21)</f>
        <v>5314200</v>
      </c>
      <c r="E7" s="9">
        <f t="shared" si="0"/>
        <v>131685900</v>
      </c>
      <c r="F7" s="9">
        <f>SUM(F8:F21)</f>
        <v>0</v>
      </c>
      <c r="G7" s="9">
        <f>SUM(G8:G21)</f>
        <v>0</v>
      </c>
      <c r="H7" s="9">
        <f t="shared" si="1"/>
        <v>0</v>
      </c>
      <c r="I7" s="114">
        <f t="shared" si="2"/>
        <v>0</v>
      </c>
      <c r="J7" s="115"/>
      <c r="L7" s="108"/>
      <c r="M7" s="108"/>
      <c r="N7" s="108"/>
      <c r="O7" s="113"/>
      <c r="P7" s="113"/>
      <c r="Q7" s="113"/>
      <c r="R7" s="113"/>
    </row>
    <row r="8" spans="1:14" s="16" customFormat="1" ht="11.25">
      <c r="A8" s="48"/>
      <c r="B8" s="12" t="s">
        <v>216</v>
      </c>
      <c r="C8" s="15">
        <f>86000000+16359400+1750000+1750000</f>
        <v>105859400</v>
      </c>
      <c r="D8" s="15"/>
      <c r="E8" s="14">
        <f t="shared" si="0"/>
        <v>105859400</v>
      </c>
      <c r="F8" s="15"/>
      <c r="G8" s="15"/>
      <c r="H8" s="14">
        <f t="shared" si="1"/>
        <v>0</v>
      </c>
      <c r="I8" s="114">
        <f t="shared" si="2"/>
        <v>0</v>
      </c>
      <c r="J8" s="71" t="s">
        <v>395</v>
      </c>
      <c r="K8" s="16" t="s">
        <v>106</v>
      </c>
      <c r="L8" s="108"/>
      <c r="M8" s="108"/>
      <c r="N8" s="147"/>
    </row>
    <row r="9" spans="1:14" s="16" customFormat="1" ht="13.5" customHeight="1">
      <c r="A9" s="48"/>
      <c r="B9" s="12" t="s">
        <v>217</v>
      </c>
      <c r="C9" s="15">
        <f>4480600+2344500+1200000+300000</f>
        <v>8325100</v>
      </c>
      <c r="D9" s="15"/>
      <c r="E9" s="14">
        <f t="shared" si="0"/>
        <v>8325100</v>
      </c>
      <c r="F9" s="15"/>
      <c r="G9" s="15"/>
      <c r="H9" s="14">
        <f t="shared" si="1"/>
        <v>0</v>
      </c>
      <c r="I9" s="114">
        <f t="shared" si="2"/>
        <v>0</v>
      </c>
      <c r="J9" s="71" t="s">
        <v>396</v>
      </c>
      <c r="L9" s="152"/>
      <c r="M9" s="148"/>
      <c r="N9" s="147"/>
    </row>
    <row r="10" spans="1:14" s="22" customFormat="1" ht="11.25">
      <c r="A10" s="49"/>
      <c r="B10" s="95" t="s">
        <v>220</v>
      </c>
      <c r="C10" s="15">
        <f>2000+39000</f>
        <v>41000</v>
      </c>
      <c r="D10" s="21"/>
      <c r="E10" s="20">
        <f t="shared" si="0"/>
        <v>41000</v>
      </c>
      <c r="F10" s="15"/>
      <c r="G10" s="21"/>
      <c r="H10" s="20">
        <f t="shared" si="1"/>
        <v>0</v>
      </c>
      <c r="I10" s="114">
        <f t="shared" si="2"/>
        <v>0</v>
      </c>
      <c r="J10" s="72" t="s">
        <v>397</v>
      </c>
      <c r="K10" s="128"/>
      <c r="L10" s="108"/>
      <c r="M10" s="108"/>
      <c r="N10" s="149"/>
    </row>
    <row r="11" spans="1:14" s="97" customFormat="1" ht="11.25">
      <c r="A11" s="67"/>
      <c r="B11" s="96" t="s">
        <v>221</v>
      </c>
      <c r="C11" s="15">
        <f>70000+4200</f>
        <v>74200</v>
      </c>
      <c r="D11" s="15"/>
      <c r="E11" s="14">
        <f t="shared" si="0"/>
        <v>74200</v>
      </c>
      <c r="F11" s="15"/>
      <c r="G11" s="15"/>
      <c r="H11" s="14">
        <f t="shared" si="1"/>
        <v>0</v>
      </c>
      <c r="I11" s="114">
        <f t="shared" si="2"/>
        <v>0</v>
      </c>
      <c r="J11" s="73" t="s">
        <v>398</v>
      </c>
      <c r="K11" s="128"/>
      <c r="L11" s="108"/>
      <c r="M11" s="108"/>
      <c r="N11" s="150"/>
    </row>
    <row r="12" spans="1:14" s="98" customFormat="1" ht="12" customHeight="1">
      <c r="A12" s="67"/>
      <c r="B12" s="95" t="s">
        <v>222</v>
      </c>
      <c r="C12" s="15">
        <v>2000</v>
      </c>
      <c r="D12" s="15"/>
      <c r="E12" s="14">
        <f t="shared" si="0"/>
        <v>2000</v>
      </c>
      <c r="F12" s="15"/>
      <c r="G12" s="15"/>
      <c r="H12" s="14">
        <f t="shared" si="1"/>
        <v>0</v>
      </c>
      <c r="I12" s="114">
        <f t="shared" si="2"/>
        <v>0</v>
      </c>
      <c r="J12" s="74" t="s">
        <v>399</v>
      </c>
      <c r="K12" s="99"/>
      <c r="L12" s="153"/>
      <c r="M12" s="153"/>
      <c r="N12" s="151"/>
    </row>
    <row r="13" spans="1:13" s="97" customFormat="1" ht="22.5" customHeight="1">
      <c r="A13" s="100"/>
      <c r="B13" s="101" t="s">
        <v>350</v>
      </c>
      <c r="C13" s="15">
        <v>440000</v>
      </c>
      <c r="D13" s="15"/>
      <c r="E13" s="14">
        <f t="shared" si="0"/>
        <v>440000</v>
      </c>
      <c r="F13" s="15"/>
      <c r="G13" s="15"/>
      <c r="H13" s="14">
        <f t="shared" si="1"/>
        <v>0</v>
      </c>
      <c r="I13" s="114">
        <f t="shared" si="2"/>
        <v>0</v>
      </c>
      <c r="J13" s="74" t="s">
        <v>0</v>
      </c>
      <c r="L13" s="122"/>
      <c r="M13" s="97" t="s">
        <v>89</v>
      </c>
    </row>
    <row r="14" spans="1:13" s="16" customFormat="1" ht="11.25">
      <c r="A14" s="48"/>
      <c r="B14" s="12" t="s">
        <v>218</v>
      </c>
      <c r="C14" s="15">
        <v>4100000</v>
      </c>
      <c r="D14" s="15"/>
      <c r="E14" s="14">
        <f t="shared" si="0"/>
        <v>4100000</v>
      </c>
      <c r="F14" s="15"/>
      <c r="G14" s="15"/>
      <c r="H14" s="14">
        <f t="shared" si="1"/>
        <v>0</v>
      </c>
      <c r="I14" s="114">
        <f t="shared" si="2"/>
        <v>0</v>
      </c>
      <c r="J14" s="138">
        <v>75618.041</v>
      </c>
      <c r="M14" s="16" t="s">
        <v>89</v>
      </c>
    </row>
    <row r="15" spans="1:13" s="16" customFormat="1" ht="17.25" customHeight="1">
      <c r="A15" s="48"/>
      <c r="B15" s="12" t="s">
        <v>247</v>
      </c>
      <c r="C15" s="15">
        <v>5200000</v>
      </c>
      <c r="D15" s="15"/>
      <c r="E15" s="14">
        <f t="shared" si="0"/>
        <v>5200000</v>
      </c>
      <c r="F15" s="15"/>
      <c r="G15" s="15"/>
      <c r="H15" s="14">
        <f t="shared" si="1"/>
        <v>0</v>
      </c>
      <c r="I15" s="114">
        <f t="shared" si="2"/>
        <v>0</v>
      </c>
      <c r="J15" s="71" t="s">
        <v>1</v>
      </c>
      <c r="L15" s="108"/>
      <c r="M15" s="108"/>
    </row>
    <row r="16" spans="1:10" s="16" customFormat="1" ht="22.5" customHeight="1">
      <c r="A16" s="53"/>
      <c r="B16" s="28" t="s">
        <v>248</v>
      </c>
      <c r="C16" s="15"/>
      <c r="D16" s="15">
        <f>5100000*104.2%</f>
        <v>5314200</v>
      </c>
      <c r="E16" s="14">
        <f t="shared" si="0"/>
        <v>5314200</v>
      </c>
      <c r="F16" s="15"/>
      <c r="G16" s="15"/>
      <c r="H16" s="14">
        <f t="shared" si="1"/>
        <v>0</v>
      </c>
      <c r="I16" s="114">
        <f t="shared" si="2"/>
        <v>0</v>
      </c>
      <c r="J16" s="71" t="s">
        <v>2</v>
      </c>
    </row>
    <row r="17" spans="1:12" s="97" customFormat="1" ht="14.25" customHeight="1">
      <c r="A17" s="67"/>
      <c r="B17" s="95" t="s">
        <v>378</v>
      </c>
      <c r="C17" s="15">
        <f>800000+230000</f>
        <v>1030000</v>
      </c>
      <c r="D17" s="15"/>
      <c r="E17" s="14">
        <f t="shared" si="0"/>
        <v>1030000</v>
      </c>
      <c r="F17" s="15"/>
      <c r="G17" s="15"/>
      <c r="H17" s="14">
        <f t="shared" si="1"/>
        <v>0</v>
      </c>
      <c r="I17" s="114">
        <f t="shared" si="2"/>
        <v>0</v>
      </c>
      <c r="J17" s="73" t="s">
        <v>3</v>
      </c>
      <c r="L17" s="141"/>
    </row>
    <row r="18" spans="1:10" s="97" customFormat="1" ht="11.25" hidden="1">
      <c r="A18" s="67"/>
      <c r="B18" s="95" t="s">
        <v>223</v>
      </c>
      <c r="C18" s="15">
        <v>0</v>
      </c>
      <c r="D18" s="15"/>
      <c r="E18" s="14">
        <f t="shared" si="0"/>
        <v>0</v>
      </c>
      <c r="F18" s="15"/>
      <c r="G18" s="15"/>
      <c r="H18" s="14">
        <f t="shared" si="1"/>
        <v>0</v>
      </c>
      <c r="I18" s="114" t="e">
        <f t="shared" si="2"/>
        <v>#DIV/0!</v>
      </c>
      <c r="J18" s="73" t="s">
        <v>4</v>
      </c>
    </row>
    <row r="19" spans="1:10" s="97" customFormat="1" ht="11.25" hidden="1">
      <c r="A19" s="67"/>
      <c r="B19" s="95" t="s">
        <v>367</v>
      </c>
      <c r="C19" s="15">
        <f>100000-100000</f>
        <v>0</v>
      </c>
      <c r="D19" s="15"/>
      <c r="E19" s="14">
        <f t="shared" si="0"/>
        <v>0</v>
      </c>
      <c r="F19" s="15"/>
      <c r="G19" s="15"/>
      <c r="H19" s="14">
        <f t="shared" si="1"/>
        <v>0</v>
      </c>
      <c r="I19" s="114" t="e">
        <f t="shared" si="2"/>
        <v>#DIV/0!</v>
      </c>
      <c r="J19" s="73" t="s">
        <v>5</v>
      </c>
    </row>
    <row r="20" spans="1:10" s="98" customFormat="1" ht="11.25" customHeight="1">
      <c r="A20" s="100"/>
      <c r="B20" s="96" t="s">
        <v>234</v>
      </c>
      <c r="C20" s="15">
        <v>100000</v>
      </c>
      <c r="D20" s="15"/>
      <c r="E20" s="14">
        <f t="shared" si="0"/>
        <v>100000</v>
      </c>
      <c r="F20" s="15"/>
      <c r="G20" s="15"/>
      <c r="H20" s="14">
        <f t="shared" si="1"/>
        <v>0</v>
      </c>
      <c r="I20" s="114">
        <f t="shared" si="2"/>
        <v>0</v>
      </c>
      <c r="J20" s="116" t="s">
        <v>117</v>
      </c>
    </row>
    <row r="21" spans="1:10" s="104" customFormat="1" ht="11.25">
      <c r="A21" s="102"/>
      <c r="B21" s="103" t="s">
        <v>224</v>
      </c>
      <c r="C21" s="15">
        <f>900000+300000</f>
        <v>1200000</v>
      </c>
      <c r="D21" s="15"/>
      <c r="E21" s="14">
        <f t="shared" si="0"/>
        <v>1200000</v>
      </c>
      <c r="F21" s="15"/>
      <c r="G21" s="15"/>
      <c r="H21" s="14">
        <f t="shared" si="1"/>
        <v>0</v>
      </c>
      <c r="I21" s="114">
        <f t="shared" si="2"/>
        <v>0</v>
      </c>
      <c r="J21" s="75" t="s">
        <v>6</v>
      </c>
    </row>
    <row r="22" spans="1:10" s="10" customFormat="1" ht="12.75" customHeight="1">
      <c r="A22" s="24">
        <v>2</v>
      </c>
      <c r="B22" s="25" t="s">
        <v>225</v>
      </c>
      <c r="C22" s="9">
        <f>SUM(C23:C27)</f>
        <v>41900000</v>
      </c>
      <c r="D22" s="9">
        <f>SUM(D23:D27)</f>
        <v>0</v>
      </c>
      <c r="E22" s="9">
        <f t="shared" si="0"/>
        <v>41900000</v>
      </c>
      <c r="F22" s="9">
        <f>SUM(F23:F27)</f>
        <v>0</v>
      </c>
      <c r="G22" s="9">
        <f>SUM(G23:G27)</f>
        <v>0</v>
      </c>
      <c r="H22" s="9">
        <f t="shared" si="1"/>
        <v>0</v>
      </c>
      <c r="I22" s="114">
        <f t="shared" si="2"/>
        <v>0</v>
      </c>
      <c r="J22" s="76"/>
    </row>
    <row r="23" spans="1:10" s="16" customFormat="1" ht="11.25">
      <c r="A23" s="48"/>
      <c r="B23" s="18" t="s">
        <v>226</v>
      </c>
      <c r="C23" s="15">
        <v>900000</v>
      </c>
      <c r="D23" s="126"/>
      <c r="E23" s="14">
        <f t="shared" si="0"/>
        <v>900000</v>
      </c>
      <c r="F23" s="15"/>
      <c r="G23" s="15"/>
      <c r="H23" s="14">
        <f t="shared" si="1"/>
        <v>0</v>
      </c>
      <c r="I23" s="114">
        <f t="shared" si="2"/>
        <v>0</v>
      </c>
      <c r="J23" s="71" t="s">
        <v>7</v>
      </c>
    </row>
    <row r="24" spans="1:10" s="16" customFormat="1" ht="12" customHeight="1">
      <c r="A24" s="48"/>
      <c r="B24" s="18" t="s">
        <v>227</v>
      </c>
      <c r="C24" s="15">
        <f>3600000+400000</f>
        <v>4000000</v>
      </c>
      <c r="D24" s="126"/>
      <c r="E24" s="14">
        <f t="shared" si="0"/>
        <v>4000000</v>
      </c>
      <c r="F24" s="15"/>
      <c r="G24" s="15"/>
      <c r="H24" s="14">
        <f t="shared" si="1"/>
        <v>0</v>
      </c>
      <c r="I24" s="114">
        <f t="shared" si="2"/>
        <v>0</v>
      </c>
      <c r="J24" s="71" t="s">
        <v>8</v>
      </c>
    </row>
    <row r="25" spans="1:10" s="16" customFormat="1" ht="12" customHeight="1">
      <c r="A25" s="48"/>
      <c r="B25" s="18" t="s">
        <v>228</v>
      </c>
      <c r="C25" s="15">
        <v>37000000</v>
      </c>
      <c r="D25" s="126"/>
      <c r="E25" s="14">
        <f t="shared" si="0"/>
        <v>37000000</v>
      </c>
      <c r="F25" s="15"/>
      <c r="G25" s="15"/>
      <c r="H25" s="14">
        <f t="shared" si="1"/>
        <v>0</v>
      </c>
      <c r="I25" s="114">
        <f t="shared" si="2"/>
        <v>0</v>
      </c>
      <c r="J25" s="71" t="s">
        <v>9</v>
      </c>
    </row>
    <row r="26" spans="1:11" s="16" customFormat="1" ht="15" customHeight="1">
      <c r="A26" s="48"/>
      <c r="B26" s="18" t="s">
        <v>229</v>
      </c>
      <c r="C26" s="126"/>
      <c r="D26" s="126"/>
      <c r="E26" s="14">
        <f t="shared" si="0"/>
        <v>0</v>
      </c>
      <c r="F26" s="15"/>
      <c r="G26" s="15"/>
      <c r="H26" s="14">
        <f t="shared" si="1"/>
        <v>0</v>
      </c>
      <c r="I26" s="114"/>
      <c r="J26" s="75" t="s">
        <v>170</v>
      </c>
      <c r="K26" s="132"/>
    </row>
    <row r="27" spans="1:11" s="16" customFormat="1" ht="13.5" customHeight="1">
      <c r="A27" s="48"/>
      <c r="B27" s="18" t="s">
        <v>193</v>
      </c>
      <c r="C27" s="126"/>
      <c r="D27" s="126"/>
      <c r="E27" s="14">
        <f t="shared" si="0"/>
        <v>0</v>
      </c>
      <c r="F27" s="15"/>
      <c r="G27" s="15"/>
      <c r="H27" s="14">
        <f t="shared" si="1"/>
        <v>0</v>
      </c>
      <c r="I27" s="114"/>
      <c r="J27" s="75" t="s">
        <v>194</v>
      </c>
      <c r="K27" s="132"/>
    </row>
    <row r="28" spans="1:11" s="11" customFormat="1" ht="13.5" customHeight="1">
      <c r="A28" s="24">
        <v>3</v>
      </c>
      <c r="B28" s="26" t="s">
        <v>375</v>
      </c>
      <c r="C28" s="9">
        <f>SUM(C29:C34)</f>
        <v>64336166</v>
      </c>
      <c r="D28" s="9">
        <f>SUM(D29:D34)</f>
        <v>87440</v>
      </c>
      <c r="E28" s="27">
        <f t="shared" si="0"/>
        <v>64423606</v>
      </c>
      <c r="F28" s="9">
        <f>SUM(F29:F34)</f>
        <v>0</v>
      </c>
      <c r="G28" s="9">
        <f>SUM(G29:G34)</f>
        <v>0</v>
      </c>
      <c r="H28" s="27">
        <f t="shared" si="1"/>
        <v>0</v>
      </c>
      <c r="I28" s="114">
        <f aca="true" t="shared" si="3" ref="I28:I45">H28/E28</f>
        <v>0</v>
      </c>
      <c r="J28" s="115"/>
      <c r="K28" s="113"/>
    </row>
    <row r="29" spans="1:11" s="16" customFormat="1" ht="15" customHeight="1">
      <c r="A29" s="48"/>
      <c r="B29" s="18" t="s">
        <v>230</v>
      </c>
      <c r="C29" s="15">
        <v>30000000</v>
      </c>
      <c r="D29" s="126"/>
      <c r="E29" s="14">
        <f t="shared" si="0"/>
        <v>30000000</v>
      </c>
      <c r="F29" s="15"/>
      <c r="G29" s="15"/>
      <c r="H29" s="14">
        <f t="shared" si="1"/>
        <v>0</v>
      </c>
      <c r="I29" s="114">
        <f t="shared" si="3"/>
        <v>0</v>
      </c>
      <c r="J29" s="154" t="s">
        <v>10</v>
      </c>
      <c r="K29" s="115"/>
    </row>
    <row r="30" spans="1:11" s="16" customFormat="1" ht="21.75" customHeight="1">
      <c r="A30" s="48"/>
      <c r="B30" s="18" t="s">
        <v>377</v>
      </c>
      <c r="C30" s="15">
        <v>2600000</v>
      </c>
      <c r="D30" s="126"/>
      <c r="E30" s="14">
        <f t="shared" si="0"/>
        <v>2600000</v>
      </c>
      <c r="F30" s="15"/>
      <c r="G30" s="15"/>
      <c r="H30" s="14">
        <f t="shared" si="1"/>
        <v>0</v>
      </c>
      <c r="I30" s="114">
        <f t="shared" si="3"/>
        <v>0</v>
      </c>
      <c r="J30" s="154" t="s">
        <v>11</v>
      </c>
      <c r="K30" s="115"/>
    </row>
    <row r="31" spans="1:11" s="16" customFormat="1" ht="11.25">
      <c r="A31" s="48"/>
      <c r="B31" s="18" t="s">
        <v>231</v>
      </c>
      <c r="C31" s="15">
        <f>7700000+1000000</f>
        <v>8700000</v>
      </c>
      <c r="D31" s="126"/>
      <c r="E31" s="14">
        <f t="shared" si="0"/>
        <v>8700000</v>
      </c>
      <c r="F31" s="15"/>
      <c r="G31" s="15"/>
      <c r="H31" s="14">
        <f t="shared" si="1"/>
        <v>0</v>
      </c>
      <c r="I31" s="114">
        <f t="shared" si="3"/>
        <v>0</v>
      </c>
      <c r="J31" s="155">
        <v>70005.075</v>
      </c>
      <c r="K31" s="115"/>
    </row>
    <row r="32" spans="1:11" s="16" customFormat="1" ht="11.25">
      <c r="A32" s="48"/>
      <c r="B32" s="18" t="s">
        <v>232</v>
      </c>
      <c r="C32" s="15">
        <f>4500000-400000</f>
        <v>4100000</v>
      </c>
      <c r="D32" s="126"/>
      <c r="E32" s="14">
        <f t="shared" si="0"/>
        <v>4100000</v>
      </c>
      <c r="F32" s="15"/>
      <c r="G32" s="15"/>
      <c r="H32" s="14">
        <f t="shared" si="1"/>
        <v>0</v>
      </c>
      <c r="I32" s="114">
        <f t="shared" si="3"/>
        <v>0</v>
      </c>
      <c r="J32" s="156" t="s">
        <v>12</v>
      </c>
      <c r="K32" s="115"/>
    </row>
    <row r="33" spans="1:11" s="16" customFormat="1" ht="11.25">
      <c r="A33" s="48"/>
      <c r="B33" s="18" t="s">
        <v>233</v>
      </c>
      <c r="C33" s="15">
        <v>5500000</v>
      </c>
      <c r="D33" s="126"/>
      <c r="E33" s="14">
        <f t="shared" si="0"/>
        <v>5500000</v>
      </c>
      <c r="F33" s="15"/>
      <c r="G33" s="15"/>
      <c r="H33" s="14">
        <f t="shared" si="1"/>
        <v>0</v>
      </c>
      <c r="I33" s="114">
        <f t="shared" si="3"/>
        <v>0</v>
      </c>
      <c r="J33" s="156" t="s">
        <v>13</v>
      </c>
      <c r="K33" s="115"/>
    </row>
    <row r="34" spans="1:11" s="16" customFormat="1" ht="11.25">
      <c r="A34" s="48"/>
      <c r="B34" s="18" t="s">
        <v>219</v>
      </c>
      <c r="C34" s="15">
        <f>SUM(C35:C37)</f>
        <v>13436166</v>
      </c>
      <c r="D34" s="15">
        <f>SUM(D35:D37)</f>
        <v>87440</v>
      </c>
      <c r="E34" s="14">
        <f t="shared" si="0"/>
        <v>13523606</v>
      </c>
      <c r="F34" s="15">
        <f>SUM(F35:F37)</f>
        <v>0</v>
      </c>
      <c r="G34" s="15">
        <f>SUM(G35:G37)</f>
        <v>0</v>
      </c>
      <c r="H34" s="14">
        <f t="shared" si="1"/>
        <v>0</v>
      </c>
      <c r="I34" s="114">
        <f t="shared" si="3"/>
        <v>0</v>
      </c>
      <c r="J34" s="156"/>
      <c r="K34" s="115"/>
    </row>
    <row r="35" spans="1:10" s="22" customFormat="1" ht="12.75" customHeight="1">
      <c r="A35" s="51"/>
      <c r="B35" s="19" t="s">
        <v>235</v>
      </c>
      <c r="C35" s="21">
        <v>460000</v>
      </c>
      <c r="D35" s="21"/>
      <c r="E35" s="20">
        <f t="shared" si="0"/>
        <v>460000</v>
      </c>
      <c r="F35" s="21"/>
      <c r="G35" s="21"/>
      <c r="H35" s="20">
        <f t="shared" si="1"/>
        <v>0</v>
      </c>
      <c r="I35" s="114">
        <f t="shared" si="3"/>
        <v>0</v>
      </c>
      <c r="J35" s="72" t="s">
        <v>188</v>
      </c>
    </row>
    <row r="36" spans="1:12" s="59" customFormat="1" ht="28.5" customHeight="1">
      <c r="A36" s="57"/>
      <c r="B36" s="58" t="s">
        <v>236</v>
      </c>
      <c r="C36" s="21">
        <f>5135929+5812649+1179661+50000+35341+360000+300000</f>
        <v>12873580</v>
      </c>
      <c r="D36" s="21">
        <v>40000</v>
      </c>
      <c r="E36" s="20">
        <f t="shared" si="0"/>
        <v>12913580</v>
      </c>
      <c r="F36" s="21"/>
      <c r="G36" s="21"/>
      <c r="H36" s="20">
        <f t="shared" si="1"/>
        <v>0</v>
      </c>
      <c r="I36" s="114">
        <f t="shared" si="3"/>
        <v>0</v>
      </c>
      <c r="J36" s="222" t="s">
        <v>90</v>
      </c>
      <c r="K36" s="223"/>
      <c r="L36" s="223"/>
    </row>
    <row r="37" spans="1:14" s="23" customFormat="1" ht="15.75" customHeight="1">
      <c r="A37" s="51"/>
      <c r="B37" s="19" t="s">
        <v>237</v>
      </c>
      <c r="C37" s="21">
        <f>102586</f>
        <v>102586</v>
      </c>
      <c r="D37" s="21">
        <v>47440</v>
      </c>
      <c r="E37" s="20">
        <f t="shared" si="0"/>
        <v>150026</v>
      </c>
      <c r="F37" s="21"/>
      <c r="G37" s="21"/>
      <c r="H37" s="20">
        <f t="shared" si="1"/>
        <v>0</v>
      </c>
      <c r="I37" s="114">
        <f t="shared" si="3"/>
        <v>0</v>
      </c>
      <c r="J37" s="86" t="s">
        <v>171</v>
      </c>
      <c r="N37" s="157"/>
    </row>
    <row r="38" spans="1:10" s="11" customFormat="1" ht="12">
      <c r="A38" s="24">
        <v>4</v>
      </c>
      <c r="B38" s="26" t="s">
        <v>238</v>
      </c>
      <c r="C38" s="9">
        <f>SUM(C39:C62)</f>
        <v>74973722</v>
      </c>
      <c r="D38" s="9">
        <f>SUM(D39:D62)</f>
        <v>8246558</v>
      </c>
      <c r="E38" s="27">
        <f t="shared" si="0"/>
        <v>83220280</v>
      </c>
      <c r="F38" s="9">
        <f>SUM(F39:F62)</f>
        <v>0</v>
      </c>
      <c r="G38" s="9">
        <f>SUM(G39:G62)</f>
        <v>0</v>
      </c>
      <c r="H38" s="27">
        <f t="shared" si="1"/>
        <v>0</v>
      </c>
      <c r="I38" s="114">
        <f t="shared" si="3"/>
        <v>0</v>
      </c>
      <c r="J38" s="77"/>
    </row>
    <row r="39" spans="1:12" s="16" customFormat="1" ht="12" customHeight="1">
      <c r="A39" s="48"/>
      <c r="B39" s="18" t="s">
        <v>239</v>
      </c>
      <c r="C39" s="15">
        <f>66662613-50000</f>
        <v>66612613</v>
      </c>
      <c r="D39" s="126"/>
      <c r="E39" s="14">
        <f t="shared" si="0"/>
        <v>66612613</v>
      </c>
      <c r="F39" s="15"/>
      <c r="G39" s="15"/>
      <c r="H39" s="14">
        <f t="shared" si="1"/>
        <v>0</v>
      </c>
      <c r="I39" s="114">
        <f t="shared" si="3"/>
        <v>0</v>
      </c>
      <c r="J39" s="71" t="s">
        <v>154</v>
      </c>
      <c r="L39" s="134"/>
    </row>
    <row r="40" spans="1:10" s="16" customFormat="1" ht="15.75" customHeight="1">
      <c r="A40" s="48"/>
      <c r="B40" s="18" t="s">
        <v>373</v>
      </c>
      <c r="C40" s="15">
        <f>2100000+200000</f>
        <v>2300000</v>
      </c>
      <c r="D40" s="126"/>
      <c r="E40" s="14">
        <f t="shared" si="0"/>
        <v>2300000</v>
      </c>
      <c r="F40" s="15"/>
      <c r="G40" s="15"/>
      <c r="H40" s="14">
        <f t="shared" si="1"/>
        <v>0</v>
      </c>
      <c r="I40" s="114">
        <f t="shared" si="3"/>
        <v>0</v>
      </c>
      <c r="J40" s="71" t="s">
        <v>91</v>
      </c>
    </row>
    <row r="41" spans="1:10" s="16" customFormat="1" ht="35.25" customHeight="1" hidden="1">
      <c r="A41" s="48"/>
      <c r="B41" s="18" t="s">
        <v>150</v>
      </c>
      <c r="C41" s="126">
        <f>2000-2000</f>
        <v>0</v>
      </c>
      <c r="D41" s="126"/>
      <c r="E41" s="14">
        <f t="shared" si="0"/>
        <v>0</v>
      </c>
      <c r="F41" s="15"/>
      <c r="G41" s="15"/>
      <c r="H41" s="14">
        <f t="shared" si="1"/>
        <v>0</v>
      </c>
      <c r="I41" s="114" t="e">
        <f t="shared" si="3"/>
        <v>#DIV/0!</v>
      </c>
      <c r="J41" s="71" t="s">
        <v>164</v>
      </c>
    </row>
    <row r="42" spans="1:10" s="16" customFormat="1" ht="17.25" customHeight="1">
      <c r="A42" s="48"/>
      <c r="B42" s="18" t="s">
        <v>25</v>
      </c>
      <c r="C42" s="126"/>
      <c r="D42" s="15">
        <v>3603768</v>
      </c>
      <c r="E42" s="14">
        <f t="shared" si="0"/>
        <v>3603768</v>
      </c>
      <c r="F42" s="15"/>
      <c r="G42" s="15"/>
      <c r="H42" s="14">
        <f t="shared" si="1"/>
        <v>0</v>
      </c>
      <c r="I42" s="114">
        <f t="shared" si="3"/>
        <v>0</v>
      </c>
      <c r="J42" s="169" t="s">
        <v>26</v>
      </c>
    </row>
    <row r="43" spans="1:10" s="16" customFormat="1" ht="11.25">
      <c r="A43" s="48"/>
      <c r="B43" s="18" t="s">
        <v>86</v>
      </c>
      <c r="C43" s="15">
        <v>300000</v>
      </c>
      <c r="D43" s="126"/>
      <c r="E43" s="14">
        <f t="shared" si="0"/>
        <v>300000</v>
      </c>
      <c r="F43" s="15"/>
      <c r="G43" s="15"/>
      <c r="H43" s="14">
        <f t="shared" si="1"/>
        <v>0</v>
      </c>
      <c r="I43" s="114">
        <f t="shared" si="3"/>
        <v>0</v>
      </c>
      <c r="J43" s="71" t="s">
        <v>141</v>
      </c>
    </row>
    <row r="44" spans="1:10" s="16" customFormat="1" ht="15.75" customHeight="1">
      <c r="A44" s="48"/>
      <c r="B44" s="18" t="s">
        <v>240</v>
      </c>
      <c r="C44" s="15">
        <v>277295</v>
      </c>
      <c r="D44" s="126"/>
      <c r="E44" s="14">
        <f t="shared" si="0"/>
        <v>277295</v>
      </c>
      <c r="F44" s="15"/>
      <c r="G44" s="15"/>
      <c r="H44" s="14">
        <f t="shared" si="1"/>
        <v>0</v>
      </c>
      <c r="I44" s="114">
        <f t="shared" si="3"/>
        <v>0</v>
      </c>
      <c r="J44" s="71" t="s">
        <v>14</v>
      </c>
    </row>
    <row r="45" spans="1:12" s="16" customFormat="1" ht="20.25" customHeight="1">
      <c r="A45" s="48"/>
      <c r="B45" s="18" t="s">
        <v>241</v>
      </c>
      <c r="C45" s="15">
        <v>871220</v>
      </c>
      <c r="D45" s="126"/>
      <c r="E45" s="14">
        <f t="shared" si="0"/>
        <v>871220</v>
      </c>
      <c r="F45" s="15"/>
      <c r="G45" s="15"/>
      <c r="H45" s="14">
        <f t="shared" si="1"/>
        <v>0</v>
      </c>
      <c r="I45" s="114">
        <f t="shared" si="3"/>
        <v>0</v>
      </c>
      <c r="J45" s="71" t="s">
        <v>15</v>
      </c>
      <c r="L45" s="121"/>
    </row>
    <row r="46" spans="1:11" s="16" customFormat="1" ht="22.5" customHeight="1">
      <c r="A46" s="48"/>
      <c r="B46" s="18" t="s">
        <v>93</v>
      </c>
      <c r="C46" s="126"/>
      <c r="D46" s="126"/>
      <c r="E46" s="14">
        <f t="shared" si="0"/>
        <v>0</v>
      </c>
      <c r="F46" s="15"/>
      <c r="G46" s="15"/>
      <c r="H46" s="14">
        <f t="shared" si="1"/>
        <v>0</v>
      </c>
      <c r="I46" s="114"/>
      <c r="J46" s="71" t="s">
        <v>132</v>
      </c>
      <c r="K46" s="121"/>
    </row>
    <row r="47" spans="1:10" s="16" customFormat="1" ht="13.5" customHeight="1">
      <c r="A47" s="48"/>
      <c r="B47" s="18" t="s">
        <v>242</v>
      </c>
      <c r="C47" s="15">
        <v>714308</v>
      </c>
      <c r="D47" s="126"/>
      <c r="E47" s="14">
        <f t="shared" si="0"/>
        <v>714308</v>
      </c>
      <c r="F47" s="15"/>
      <c r="G47" s="15"/>
      <c r="H47" s="14">
        <f t="shared" si="1"/>
        <v>0</v>
      </c>
      <c r="I47" s="114">
        <f aca="true" t="shared" si="4" ref="I47:I57">H47/E47</f>
        <v>0</v>
      </c>
      <c r="J47" s="71" t="s">
        <v>16</v>
      </c>
    </row>
    <row r="48" spans="1:11" s="16" customFormat="1" ht="14.25" customHeight="1">
      <c r="A48" s="48"/>
      <c r="B48" s="18" t="s">
        <v>363</v>
      </c>
      <c r="C48" s="126"/>
      <c r="D48" s="126"/>
      <c r="E48" s="14">
        <f t="shared" si="0"/>
        <v>0</v>
      </c>
      <c r="F48" s="15"/>
      <c r="G48" s="15"/>
      <c r="H48" s="14">
        <f t="shared" si="1"/>
        <v>0</v>
      </c>
      <c r="I48" s="114" t="e">
        <f t="shared" si="4"/>
        <v>#DIV/0!</v>
      </c>
      <c r="J48" s="71" t="s">
        <v>17</v>
      </c>
      <c r="K48" s="123"/>
    </row>
    <row r="49" spans="1:10" s="16" customFormat="1" ht="22.5" customHeight="1">
      <c r="A49" s="48"/>
      <c r="B49" s="18" t="s">
        <v>364</v>
      </c>
      <c r="C49" s="140"/>
      <c r="D49" s="126"/>
      <c r="E49" s="14">
        <f>SUM(D49:D49)</f>
        <v>0</v>
      </c>
      <c r="F49" s="15"/>
      <c r="G49" s="15"/>
      <c r="H49" s="14">
        <f t="shared" si="1"/>
        <v>0</v>
      </c>
      <c r="I49" s="114" t="e">
        <f t="shared" si="4"/>
        <v>#DIV/0!</v>
      </c>
      <c r="J49" s="86">
        <v>85201.083</v>
      </c>
    </row>
    <row r="50" spans="1:10" s="16" customFormat="1" ht="15" customHeight="1">
      <c r="A50" s="48"/>
      <c r="B50" s="18" t="s">
        <v>243</v>
      </c>
      <c r="C50" s="126"/>
      <c r="D50" s="15">
        <v>462490</v>
      </c>
      <c r="E50" s="14">
        <f aca="true" t="shared" si="5" ref="E50:E80">SUM(C50:D50)</f>
        <v>462490</v>
      </c>
      <c r="F50" s="15"/>
      <c r="G50" s="15"/>
      <c r="H50" s="14">
        <f t="shared" si="1"/>
        <v>0</v>
      </c>
      <c r="I50" s="114">
        <f t="shared" si="4"/>
        <v>0</v>
      </c>
      <c r="J50" s="71" t="s">
        <v>172</v>
      </c>
    </row>
    <row r="51" spans="1:10" s="16" customFormat="1" ht="44.25" customHeight="1">
      <c r="A51" s="48"/>
      <c r="B51" s="18" t="s">
        <v>244</v>
      </c>
      <c r="C51" s="15">
        <f>15000+40000+420000+145000</f>
        <v>620000</v>
      </c>
      <c r="D51" s="15">
        <f>54000+50000+100000</f>
        <v>204000</v>
      </c>
      <c r="E51" s="14">
        <f t="shared" si="5"/>
        <v>824000</v>
      </c>
      <c r="F51" s="15"/>
      <c r="G51" s="15"/>
      <c r="H51" s="14">
        <f t="shared" si="1"/>
        <v>0</v>
      </c>
      <c r="I51" s="114">
        <f t="shared" si="4"/>
        <v>0</v>
      </c>
      <c r="J51" s="71" t="s">
        <v>18</v>
      </c>
    </row>
    <row r="52" spans="1:10" s="16" customFormat="1" ht="11.25" customHeight="1">
      <c r="A52" s="48"/>
      <c r="B52" s="68" t="s">
        <v>381</v>
      </c>
      <c r="C52" s="15">
        <v>63900</v>
      </c>
      <c r="D52" s="126"/>
      <c r="E52" s="14">
        <f t="shared" si="5"/>
        <v>63900</v>
      </c>
      <c r="F52" s="15"/>
      <c r="G52" s="15"/>
      <c r="H52" s="14">
        <f t="shared" si="1"/>
        <v>0</v>
      </c>
      <c r="I52" s="114">
        <f t="shared" si="4"/>
        <v>0</v>
      </c>
      <c r="J52" s="71" t="s">
        <v>19</v>
      </c>
    </row>
    <row r="53" spans="1:10" s="16" customFormat="1" ht="13.5" customHeight="1">
      <c r="A53" s="52"/>
      <c r="B53" s="12" t="s">
        <v>245</v>
      </c>
      <c r="C53" s="126"/>
      <c r="D53" s="15">
        <v>1875000</v>
      </c>
      <c r="E53" s="14">
        <f t="shared" si="5"/>
        <v>1875000</v>
      </c>
      <c r="F53" s="15"/>
      <c r="G53" s="15"/>
      <c r="H53" s="14">
        <f t="shared" si="1"/>
        <v>0</v>
      </c>
      <c r="I53" s="114">
        <f t="shared" si="4"/>
        <v>0</v>
      </c>
      <c r="J53" s="71" t="s">
        <v>20</v>
      </c>
    </row>
    <row r="54" spans="1:10" s="16" customFormat="1" ht="21.75" customHeight="1">
      <c r="A54" s="52"/>
      <c r="B54" s="18" t="s">
        <v>246</v>
      </c>
      <c r="C54" s="15">
        <f>61366+925+2095</f>
        <v>64386</v>
      </c>
      <c r="D54" s="15">
        <f>1300</f>
        <v>1300</v>
      </c>
      <c r="E54" s="14">
        <f t="shared" si="5"/>
        <v>65686</v>
      </c>
      <c r="F54" s="15"/>
      <c r="G54" s="15"/>
      <c r="H54" s="14">
        <f t="shared" si="1"/>
        <v>0</v>
      </c>
      <c r="I54" s="114">
        <f t="shared" si="4"/>
        <v>0</v>
      </c>
      <c r="J54" s="71" t="s">
        <v>89</v>
      </c>
    </row>
    <row r="55" spans="1:10" s="16" customFormat="1" ht="12.75" customHeight="1">
      <c r="A55" s="48"/>
      <c r="B55" s="18" t="s">
        <v>249</v>
      </c>
      <c r="C55" s="15">
        <v>15000</v>
      </c>
      <c r="D55" s="126"/>
      <c r="E55" s="14">
        <f t="shared" si="5"/>
        <v>15000</v>
      </c>
      <c r="F55" s="15"/>
      <c r="G55" s="15"/>
      <c r="H55" s="14">
        <f t="shared" si="1"/>
        <v>0</v>
      </c>
      <c r="I55" s="114">
        <f t="shared" si="4"/>
        <v>0</v>
      </c>
      <c r="J55" s="71" t="s">
        <v>140</v>
      </c>
    </row>
    <row r="56" spans="1:12" s="17" customFormat="1" ht="26.25" customHeight="1">
      <c r="A56" s="52"/>
      <c r="B56" s="18" t="s">
        <v>250</v>
      </c>
      <c r="C56" s="126"/>
      <c r="D56" s="15">
        <v>2100000</v>
      </c>
      <c r="E56" s="14">
        <f t="shared" si="5"/>
        <v>2100000</v>
      </c>
      <c r="F56" s="15"/>
      <c r="G56" s="15"/>
      <c r="H56" s="14">
        <f t="shared" si="1"/>
        <v>0</v>
      </c>
      <c r="I56" s="114">
        <f t="shared" si="4"/>
        <v>0</v>
      </c>
      <c r="J56" s="224" t="s">
        <v>152</v>
      </c>
      <c r="K56" s="225"/>
      <c r="L56" s="225"/>
    </row>
    <row r="57" spans="1:10" s="17" customFormat="1" ht="33" customHeight="1" hidden="1">
      <c r="A57" s="52"/>
      <c r="B57" s="18" t="s">
        <v>331</v>
      </c>
      <c r="C57" s="126"/>
      <c r="D57" s="126"/>
      <c r="E57" s="14">
        <f t="shared" si="5"/>
        <v>0</v>
      </c>
      <c r="F57" s="15"/>
      <c r="G57" s="15"/>
      <c r="H57" s="14">
        <f t="shared" si="1"/>
        <v>0</v>
      </c>
      <c r="I57" s="114" t="e">
        <f t="shared" si="4"/>
        <v>#DIV/0!</v>
      </c>
      <c r="J57" s="78"/>
    </row>
    <row r="58" spans="1:10" s="16" customFormat="1" ht="33.75" hidden="1">
      <c r="A58" s="52"/>
      <c r="B58" s="33" t="s">
        <v>317</v>
      </c>
      <c r="C58" s="126"/>
      <c r="D58" s="126"/>
      <c r="E58" s="14">
        <f t="shared" si="5"/>
        <v>0</v>
      </c>
      <c r="F58" s="15"/>
      <c r="G58" s="15"/>
      <c r="H58" s="14">
        <f t="shared" si="1"/>
        <v>0</v>
      </c>
      <c r="I58" s="114"/>
      <c r="J58" s="71" t="s">
        <v>108</v>
      </c>
    </row>
    <row r="59" spans="1:10" s="1" customFormat="1" ht="10.5" customHeight="1">
      <c r="A59" s="53"/>
      <c r="B59" s="28" t="s">
        <v>251</v>
      </c>
      <c r="C59" s="15">
        <v>3000000</v>
      </c>
      <c r="D59" s="126"/>
      <c r="E59" s="14">
        <f t="shared" si="5"/>
        <v>3000000</v>
      </c>
      <c r="F59" s="15"/>
      <c r="G59" s="15"/>
      <c r="H59" s="14">
        <f t="shared" si="1"/>
        <v>0</v>
      </c>
      <c r="I59" s="114">
        <f>H59/E59</f>
        <v>0</v>
      </c>
      <c r="J59" s="76" t="s">
        <v>21</v>
      </c>
    </row>
    <row r="60" spans="1:10" s="1" customFormat="1" ht="22.5" hidden="1">
      <c r="A60" s="53"/>
      <c r="B60" s="18" t="s">
        <v>318</v>
      </c>
      <c r="C60" s="126"/>
      <c r="D60" s="126"/>
      <c r="E60" s="14">
        <f t="shared" si="5"/>
        <v>0</v>
      </c>
      <c r="F60" s="15"/>
      <c r="G60" s="15"/>
      <c r="H60" s="14">
        <f t="shared" si="1"/>
        <v>0</v>
      </c>
      <c r="I60" s="114" t="e">
        <f>H60/E60</f>
        <v>#DIV/0!</v>
      </c>
      <c r="J60" s="76"/>
    </row>
    <row r="61" spans="1:10" s="16" customFormat="1" ht="11.25" customHeight="1" hidden="1">
      <c r="A61" s="48"/>
      <c r="B61" s="18" t="s">
        <v>252</v>
      </c>
      <c r="C61" s="126">
        <f>110000-110000</f>
        <v>0</v>
      </c>
      <c r="D61" s="126"/>
      <c r="E61" s="14">
        <f t="shared" si="5"/>
        <v>0</v>
      </c>
      <c r="F61" s="15">
        <f>110000-110000</f>
        <v>0</v>
      </c>
      <c r="G61" s="15"/>
      <c r="H61" s="14">
        <f t="shared" si="1"/>
        <v>0</v>
      </c>
      <c r="I61" s="114" t="e">
        <f>H61/E61</f>
        <v>#DIV/0!</v>
      </c>
      <c r="J61" s="71"/>
    </row>
    <row r="62" spans="1:10" s="16" customFormat="1" ht="11.25">
      <c r="A62" s="48"/>
      <c r="B62" s="18" t="s">
        <v>253</v>
      </c>
      <c r="C62" s="15">
        <f>SUM(C63:C72)</f>
        <v>135000</v>
      </c>
      <c r="D62" s="15">
        <f>SUM(D63:D72)</f>
        <v>0</v>
      </c>
      <c r="E62" s="14">
        <f t="shared" si="5"/>
        <v>135000</v>
      </c>
      <c r="F62" s="15">
        <f>SUM(F63:F72)</f>
        <v>0</v>
      </c>
      <c r="G62" s="15">
        <f>SUM(G63:G72)</f>
        <v>0</v>
      </c>
      <c r="H62" s="14">
        <f t="shared" si="1"/>
        <v>0</v>
      </c>
      <c r="I62" s="114">
        <f>H62/E62</f>
        <v>0</v>
      </c>
      <c r="J62" s="71"/>
    </row>
    <row r="63" spans="1:10" s="59" customFormat="1" ht="12" customHeight="1">
      <c r="A63" s="57"/>
      <c r="B63" s="58" t="s">
        <v>323</v>
      </c>
      <c r="C63" s="21"/>
      <c r="D63" s="161"/>
      <c r="E63" s="20">
        <f t="shared" si="5"/>
        <v>0</v>
      </c>
      <c r="F63" s="21"/>
      <c r="G63" s="21"/>
      <c r="H63" s="20">
        <f t="shared" si="1"/>
        <v>0</v>
      </c>
      <c r="I63" s="114"/>
      <c r="J63" s="118" t="s">
        <v>149</v>
      </c>
    </row>
    <row r="64" spans="1:10" s="59" customFormat="1" ht="21" customHeight="1">
      <c r="A64" s="57"/>
      <c r="B64" s="58" t="s">
        <v>115</v>
      </c>
      <c r="C64" s="21"/>
      <c r="D64" s="161"/>
      <c r="E64" s="20">
        <f t="shared" si="5"/>
        <v>0</v>
      </c>
      <c r="F64" s="21"/>
      <c r="G64" s="21"/>
      <c r="H64" s="20">
        <f t="shared" si="1"/>
        <v>0</v>
      </c>
      <c r="I64" s="114"/>
      <c r="J64" s="118" t="s">
        <v>116</v>
      </c>
    </row>
    <row r="65" spans="1:10" s="22" customFormat="1" ht="11.25" customHeight="1">
      <c r="A65" s="51"/>
      <c r="B65" s="19" t="s">
        <v>254</v>
      </c>
      <c r="C65" s="21">
        <v>135000</v>
      </c>
      <c r="D65" s="161"/>
      <c r="E65" s="20">
        <f t="shared" si="5"/>
        <v>135000</v>
      </c>
      <c r="F65" s="21"/>
      <c r="G65" s="21"/>
      <c r="H65" s="20">
        <f t="shared" si="1"/>
        <v>0</v>
      </c>
      <c r="I65" s="114">
        <f aca="true" t="shared" si="6" ref="I65:I70">H65/E65</f>
        <v>0</v>
      </c>
      <c r="J65" s="72" t="s">
        <v>22</v>
      </c>
    </row>
    <row r="66" spans="1:10" s="22" customFormat="1" ht="22.5" hidden="1">
      <c r="A66" s="49"/>
      <c r="B66" s="19" t="s">
        <v>255</v>
      </c>
      <c r="C66" s="161"/>
      <c r="D66" s="161"/>
      <c r="E66" s="20">
        <f t="shared" si="5"/>
        <v>0</v>
      </c>
      <c r="F66" s="21"/>
      <c r="G66" s="21"/>
      <c r="H66" s="20">
        <f t="shared" si="1"/>
        <v>0</v>
      </c>
      <c r="I66" s="114" t="e">
        <f t="shared" si="6"/>
        <v>#DIV/0!</v>
      </c>
      <c r="J66" s="72"/>
    </row>
    <row r="67" spans="1:10" s="22" customFormat="1" ht="22.5" hidden="1">
      <c r="A67" s="49"/>
      <c r="B67" s="19" t="s">
        <v>256</v>
      </c>
      <c r="C67" s="161"/>
      <c r="D67" s="161"/>
      <c r="E67" s="20">
        <f t="shared" si="5"/>
        <v>0</v>
      </c>
      <c r="F67" s="21"/>
      <c r="G67" s="21"/>
      <c r="H67" s="20">
        <f t="shared" si="1"/>
        <v>0</v>
      </c>
      <c r="I67" s="114" t="e">
        <f t="shared" si="6"/>
        <v>#DIV/0!</v>
      </c>
      <c r="J67" s="72"/>
    </row>
    <row r="68" spans="1:10" s="22" customFormat="1" ht="11.25" hidden="1">
      <c r="A68" s="49"/>
      <c r="B68" s="19" t="s">
        <v>257</v>
      </c>
      <c r="C68" s="161"/>
      <c r="D68" s="161"/>
      <c r="E68" s="20">
        <f t="shared" si="5"/>
        <v>0</v>
      </c>
      <c r="F68" s="21"/>
      <c r="G68" s="21"/>
      <c r="H68" s="20">
        <f t="shared" si="1"/>
        <v>0</v>
      </c>
      <c r="I68" s="114" t="e">
        <f t="shared" si="6"/>
        <v>#DIV/0!</v>
      </c>
      <c r="J68" s="72"/>
    </row>
    <row r="69" spans="1:10" s="22" customFormat="1" ht="22.5" hidden="1">
      <c r="A69" s="49"/>
      <c r="B69" s="19" t="s">
        <v>256</v>
      </c>
      <c r="C69" s="161"/>
      <c r="D69" s="161"/>
      <c r="E69" s="20">
        <f t="shared" si="5"/>
        <v>0</v>
      </c>
      <c r="F69" s="21"/>
      <c r="G69" s="21"/>
      <c r="H69" s="20">
        <f t="shared" si="1"/>
        <v>0</v>
      </c>
      <c r="I69" s="114" t="e">
        <f t="shared" si="6"/>
        <v>#DIV/0!</v>
      </c>
      <c r="J69" s="72"/>
    </row>
    <row r="70" spans="1:10" s="22" customFormat="1" ht="11.25" hidden="1">
      <c r="A70" s="49"/>
      <c r="B70" s="19" t="s">
        <v>258</v>
      </c>
      <c r="C70" s="161"/>
      <c r="D70" s="161"/>
      <c r="E70" s="20">
        <f t="shared" si="5"/>
        <v>0</v>
      </c>
      <c r="F70" s="21"/>
      <c r="G70" s="21"/>
      <c r="H70" s="20">
        <f t="shared" si="1"/>
        <v>0</v>
      </c>
      <c r="I70" s="114" t="e">
        <f t="shared" si="6"/>
        <v>#DIV/0!</v>
      </c>
      <c r="J70" s="72"/>
    </row>
    <row r="71" spans="1:10" s="22" customFormat="1" ht="14.25" customHeight="1">
      <c r="A71" s="49"/>
      <c r="B71" s="19" t="s">
        <v>259</v>
      </c>
      <c r="C71" s="161"/>
      <c r="D71" s="161"/>
      <c r="E71" s="20">
        <f t="shared" si="5"/>
        <v>0</v>
      </c>
      <c r="F71" s="21"/>
      <c r="G71" s="21"/>
      <c r="H71" s="20">
        <f aca="true" t="shared" si="7" ref="H71:H133">SUM(F71:G71)</f>
        <v>0</v>
      </c>
      <c r="I71" s="114"/>
      <c r="J71" s="72" t="s">
        <v>28</v>
      </c>
    </row>
    <row r="72" spans="1:10" s="22" customFormat="1" ht="34.5" customHeight="1">
      <c r="A72" s="49"/>
      <c r="B72" s="19" t="s">
        <v>111</v>
      </c>
      <c r="C72" s="161"/>
      <c r="D72" s="161"/>
      <c r="E72" s="20">
        <f t="shared" si="5"/>
        <v>0</v>
      </c>
      <c r="F72" s="21"/>
      <c r="G72" s="21"/>
      <c r="H72" s="20">
        <f t="shared" si="7"/>
        <v>0</v>
      </c>
      <c r="I72" s="114"/>
      <c r="J72" s="142" t="s">
        <v>112</v>
      </c>
    </row>
    <row r="73" spans="1:10" s="11" customFormat="1" ht="18.75" customHeight="1">
      <c r="A73" s="24">
        <v>5</v>
      </c>
      <c r="B73" s="26" t="s">
        <v>376</v>
      </c>
      <c r="C73" s="9">
        <f>SUM(C74:C97)</f>
        <v>7242255</v>
      </c>
      <c r="D73" s="9">
        <f>SUM(D74:D97)</f>
        <v>6611537</v>
      </c>
      <c r="E73" s="27">
        <f t="shared" si="5"/>
        <v>13853792</v>
      </c>
      <c r="F73" s="9">
        <f>SUM(F74:F97)</f>
        <v>0</v>
      </c>
      <c r="G73" s="9">
        <f>SUM(G74:G97)</f>
        <v>0</v>
      </c>
      <c r="H73" s="27">
        <f t="shared" si="7"/>
        <v>0</v>
      </c>
      <c r="I73" s="114">
        <f>H73/E73</f>
        <v>0</v>
      </c>
      <c r="J73" s="77" t="s">
        <v>110</v>
      </c>
    </row>
    <row r="74" spans="1:10" s="31" customFormat="1" ht="12.75" customHeight="1">
      <c r="A74" s="53"/>
      <c r="B74" s="29" t="s">
        <v>260</v>
      </c>
      <c r="C74" s="15">
        <v>52000</v>
      </c>
      <c r="D74" s="126"/>
      <c r="E74" s="14">
        <f t="shared" si="5"/>
        <v>52000</v>
      </c>
      <c r="F74" s="15"/>
      <c r="G74" s="15"/>
      <c r="H74" s="14">
        <f t="shared" si="7"/>
        <v>0</v>
      </c>
      <c r="I74" s="114">
        <f>H74/E74</f>
        <v>0</v>
      </c>
      <c r="J74" s="81" t="s">
        <v>181</v>
      </c>
    </row>
    <row r="75" spans="1:10" s="6" customFormat="1" ht="33.75" hidden="1">
      <c r="A75" s="53"/>
      <c r="B75" s="12" t="s">
        <v>338</v>
      </c>
      <c r="C75" s="162"/>
      <c r="D75" s="162"/>
      <c r="E75" s="14">
        <f t="shared" si="5"/>
        <v>0</v>
      </c>
      <c r="F75" s="30"/>
      <c r="G75" s="15"/>
      <c r="H75" s="14">
        <f t="shared" si="7"/>
        <v>0</v>
      </c>
      <c r="I75" s="114"/>
      <c r="J75" s="80" t="s">
        <v>29</v>
      </c>
    </row>
    <row r="76" spans="1:10" s="6" customFormat="1" ht="21.75" customHeight="1" hidden="1">
      <c r="A76" s="53"/>
      <c r="B76" s="12" t="s">
        <v>391</v>
      </c>
      <c r="C76" s="162"/>
      <c r="D76" s="162"/>
      <c r="E76" s="14">
        <f t="shared" si="5"/>
        <v>0</v>
      </c>
      <c r="F76" s="30"/>
      <c r="G76" s="125"/>
      <c r="H76" s="14">
        <f t="shared" si="7"/>
        <v>0</v>
      </c>
      <c r="I76" s="114"/>
      <c r="J76" s="80"/>
    </row>
    <row r="77" spans="1:10" s="2" customFormat="1" ht="12.75" customHeight="1">
      <c r="A77" s="53"/>
      <c r="B77" s="33" t="s">
        <v>261</v>
      </c>
      <c r="C77" s="126"/>
      <c r="D77" s="15">
        <v>17680</v>
      </c>
      <c r="E77" s="14">
        <f t="shared" si="5"/>
        <v>17680</v>
      </c>
      <c r="F77" s="15"/>
      <c r="G77" s="15"/>
      <c r="H77" s="14">
        <f t="shared" si="7"/>
        <v>0</v>
      </c>
      <c r="I77" s="114">
        <f>H77/E77</f>
        <v>0</v>
      </c>
      <c r="J77" s="81" t="s">
        <v>30</v>
      </c>
    </row>
    <row r="78" spans="1:10" s="6" customFormat="1" ht="22.5" customHeight="1">
      <c r="A78" s="53"/>
      <c r="B78" s="33" t="s">
        <v>262</v>
      </c>
      <c r="C78" s="126"/>
      <c r="D78" s="15">
        <v>394125</v>
      </c>
      <c r="E78" s="14">
        <f t="shared" si="5"/>
        <v>394125</v>
      </c>
      <c r="F78" s="15"/>
      <c r="G78" s="15"/>
      <c r="H78" s="14">
        <f t="shared" si="7"/>
        <v>0</v>
      </c>
      <c r="I78" s="114">
        <f>H78/E78</f>
        <v>0</v>
      </c>
      <c r="J78" s="80" t="s">
        <v>31</v>
      </c>
    </row>
    <row r="79" spans="1:10" s="6" customFormat="1" ht="31.5" customHeight="1" hidden="1">
      <c r="A79" s="53"/>
      <c r="B79" s="33" t="s">
        <v>127</v>
      </c>
      <c r="C79" s="126"/>
      <c r="D79" s="126"/>
      <c r="E79" s="14">
        <f t="shared" si="5"/>
        <v>0</v>
      </c>
      <c r="F79" s="15"/>
      <c r="G79" s="15"/>
      <c r="H79" s="14">
        <f t="shared" si="7"/>
        <v>0</v>
      </c>
      <c r="I79" s="114"/>
      <c r="J79" s="80" t="s">
        <v>128</v>
      </c>
    </row>
    <row r="80" spans="1:10" s="6" customFormat="1" ht="12" customHeight="1">
      <c r="A80" s="53"/>
      <c r="B80" s="33" t="s">
        <v>263</v>
      </c>
      <c r="C80" s="126"/>
      <c r="D80" s="15">
        <v>262932</v>
      </c>
      <c r="E80" s="14">
        <f t="shared" si="5"/>
        <v>262932</v>
      </c>
      <c r="F80" s="15"/>
      <c r="G80" s="15"/>
      <c r="H80" s="14">
        <f t="shared" si="7"/>
        <v>0</v>
      </c>
      <c r="I80" s="114">
        <f>H80/E80</f>
        <v>0</v>
      </c>
      <c r="J80" s="80" t="s">
        <v>32</v>
      </c>
    </row>
    <row r="81" spans="1:10" s="16" customFormat="1" ht="22.5" hidden="1">
      <c r="A81" s="52"/>
      <c r="B81" s="12" t="s">
        <v>268</v>
      </c>
      <c r="C81" s="163"/>
      <c r="D81" s="163"/>
      <c r="E81" s="14">
        <f aca="true" t="shared" si="8" ref="E81:E113">SUM(C81:D81)</f>
        <v>0</v>
      </c>
      <c r="F81" s="13"/>
      <c r="G81" s="13"/>
      <c r="H81" s="14">
        <f t="shared" si="7"/>
        <v>0</v>
      </c>
      <c r="I81" s="114" t="e">
        <f>H81/E81</f>
        <v>#DIV/0!</v>
      </c>
      <c r="J81" s="71"/>
    </row>
    <row r="82" spans="1:10" s="6" customFormat="1" ht="38.25" customHeight="1">
      <c r="A82" s="53"/>
      <c r="B82" s="33" t="s">
        <v>27</v>
      </c>
      <c r="C82" s="126"/>
      <c r="D82" s="15">
        <v>47000</v>
      </c>
      <c r="E82" s="14">
        <f t="shared" si="8"/>
        <v>47000</v>
      </c>
      <c r="F82" s="15"/>
      <c r="G82" s="15"/>
      <c r="H82" s="14">
        <f t="shared" si="7"/>
        <v>0</v>
      </c>
      <c r="I82" s="114">
        <f>H82/E82</f>
        <v>0</v>
      </c>
      <c r="J82" s="80" t="s">
        <v>33</v>
      </c>
    </row>
    <row r="83" spans="1:10" s="6" customFormat="1" ht="22.5" hidden="1">
      <c r="A83" s="53"/>
      <c r="B83" s="33" t="s">
        <v>332</v>
      </c>
      <c r="C83" s="126"/>
      <c r="D83" s="126"/>
      <c r="E83" s="14">
        <f t="shared" si="8"/>
        <v>0</v>
      </c>
      <c r="F83" s="15"/>
      <c r="G83" s="15"/>
      <c r="H83" s="14">
        <f t="shared" si="7"/>
        <v>0</v>
      </c>
      <c r="I83" s="114" t="e">
        <f>H83/E83</f>
        <v>#DIV/0!</v>
      </c>
      <c r="J83" s="80"/>
    </row>
    <row r="84" spans="1:10" s="6" customFormat="1" ht="11.25" customHeight="1">
      <c r="A84" s="53"/>
      <c r="B84" s="33" t="s">
        <v>264</v>
      </c>
      <c r="C84" s="164"/>
      <c r="D84" s="15">
        <v>39800</v>
      </c>
      <c r="E84" s="14">
        <f t="shared" si="8"/>
        <v>39800</v>
      </c>
      <c r="F84" s="124"/>
      <c r="G84" s="15"/>
      <c r="H84" s="14">
        <f t="shared" si="7"/>
        <v>0</v>
      </c>
      <c r="I84" s="114">
        <f>H84/E84</f>
        <v>0</v>
      </c>
      <c r="J84" s="80" t="s">
        <v>34</v>
      </c>
    </row>
    <row r="85" spans="1:10" s="6" customFormat="1" ht="14.25" customHeight="1">
      <c r="A85" s="53"/>
      <c r="B85" s="33" t="s">
        <v>372</v>
      </c>
      <c r="C85" s="126"/>
      <c r="D85" s="126"/>
      <c r="E85" s="14">
        <f t="shared" si="8"/>
        <v>0</v>
      </c>
      <c r="F85" s="15"/>
      <c r="G85" s="15"/>
      <c r="H85" s="14">
        <f t="shared" si="7"/>
        <v>0</v>
      </c>
      <c r="I85" s="114"/>
      <c r="J85" s="80" t="s">
        <v>209</v>
      </c>
    </row>
    <row r="86" spans="1:10" s="6" customFormat="1" ht="27" customHeight="1" hidden="1">
      <c r="A86" s="53"/>
      <c r="B86" s="33" t="s">
        <v>329</v>
      </c>
      <c r="C86" s="126"/>
      <c r="D86" s="126"/>
      <c r="E86" s="14">
        <f t="shared" si="8"/>
        <v>0</v>
      </c>
      <c r="F86" s="15"/>
      <c r="G86" s="15"/>
      <c r="H86" s="14">
        <f t="shared" si="7"/>
        <v>0</v>
      </c>
      <c r="I86" s="114" t="e">
        <f aca="true" t="shared" si="9" ref="I86:I118">H86/E86</f>
        <v>#DIV/0!</v>
      </c>
      <c r="J86" s="80"/>
    </row>
    <row r="87" spans="1:10" s="6" customFormat="1" ht="39.75" customHeight="1" hidden="1">
      <c r="A87" s="53"/>
      <c r="B87" s="33" t="s">
        <v>325</v>
      </c>
      <c r="C87" s="126"/>
      <c r="D87" s="126"/>
      <c r="E87" s="14">
        <f t="shared" si="8"/>
        <v>0</v>
      </c>
      <c r="F87" s="15"/>
      <c r="G87" s="15"/>
      <c r="H87" s="14">
        <f t="shared" si="7"/>
        <v>0</v>
      </c>
      <c r="I87" s="114" t="e">
        <f t="shared" si="9"/>
        <v>#DIV/0!</v>
      </c>
      <c r="J87" s="80"/>
    </row>
    <row r="88" spans="1:10" s="16" customFormat="1" ht="36" customHeight="1">
      <c r="A88" s="52"/>
      <c r="B88" s="12" t="s">
        <v>265</v>
      </c>
      <c r="C88" s="15">
        <f>5491028+1072901</f>
        <v>6563929</v>
      </c>
      <c r="D88" s="126"/>
      <c r="E88" s="14">
        <f t="shared" si="8"/>
        <v>6563929</v>
      </c>
      <c r="F88" s="15"/>
      <c r="G88" s="15"/>
      <c r="H88" s="14">
        <f t="shared" si="7"/>
        <v>0</v>
      </c>
      <c r="I88" s="114">
        <f t="shared" si="9"/>
        <v>0</v>
      </c>
      <c r="J88" s="133" t="s">
        <v>142</v>
      </c>
    </row>
    <row r="89" spans="1:10" s="6" customFormat="1" ht="42.75" customHeight="1">
      <c r="A89" s="53"/>
      <c r="B89" s="33" t="s">
        <v>118</v>
      </c>
      <c r="C89" s="162"/>
      <c r="D89" s="162"/>
      <c r="E89" s="14">
        <f t="shared" si="8"/>
        <v>0</v>
      </c>
      <c r="F89" s="30"/>
      <c r="G89" s="30"/>
      <c r="H89" s="14">
        <f t="shared" si="7"/>
        <v>0</v>
      </c>
      <c r="I89" s="114" t="e">
        <f t="shared" si="9"/>
        <v>#DIV/0!</v>
      </c>
      <c r="J89" s="129" t="s">
        <v>119</v>
      </c>
    </row>
    <row r="90" spans="1:10" s="6" customFormat="1" ht="49.5" customHeight="1">
      <c r="A90" s="53"/>
      <c r="B90" s="33" t="s">
        <v>159</v>
      </c>
      <c r="C90" s="162"/>
      <c r="D90" s="162"/>
      <c r="E90" s="14">
        <f t="shared" si="8"/>
        <v>0</v>
      </c>
      <c r="F90" s="30"/>
      <c r="G90" s="30"/>
      <c r="H90" s="14">
        <f t="shared" si="7"/>
        <v>0</v>
      </c>
      <c r="I90" s="114" t="e">
        <f t="shared" si="9"/>
        <v>#DIV/0!</v>
      </c>
      <c r="J90" s="129" t="s">
        <v>165</v>
      </c>
    </row>
    <row r="91" spans="1:10" s="16" customFormat="1" ht="36.75" customHeight="1">
      <c r="A91" s="52"/>
      <c r="B91" s="12" t="s">
        <v>109</v>
      </c>
      <c r="C91" s="126"/>
      <c r="D91" s="15">
        <v>5850000</v>
      </c>
      <c r="E91" s="14">
        <f t="shared" si="8"/>
        <v>5850000</v>
      </c>
      <c r="F91" s="15"/>
      <c r="G91" s="15"/>
      <c r="H91" s="14">
        <f t="shared" si="7"/>
        <v>0</v>
      </c>
      <c r="I91" s="114">
        <f t="shared" si="9"/>
        <v>0</v>
      </c>
      <c r="J91" s="71" t="s">
        <v>107</v>
      </c>
    </row>
    <row r="92" spans="1:10" s="16" customFormat="1" ht="34.5" customHeight="1">
      <c r="A92" s="52"/>
      <c r="B92" s="12" t="s">
        <v>126</v>
      </c>
      <c r="C92" s="126"/>
      <c r="D92" s="126"/>
      <c r="E92" s="14">
        <f t="shared" si="8"/>
        <v>0</v>
      </c>
      <c r="F92" s="15"/>
      <c r="G92" s="15"/>
      <c r="H92" s="14">
        <f t="shared" si="7"/>
        <v>0</v>
      </c>
      <c r="I92" s="114" t="e">
        <f t="shared" si="9"/>
        <v>#DIV/0!</v>
      </c>
      <c r="J92" s="71" t="s">
        <v>195</v>
      </c>
    </row>
    <row r="93" spans="1:10" s="16" customFormat="1" ht="35.25" customHeight="1">
      <c r="A93" s="52"/>
      <c r="B93" s="12" t="s">
        <v>160</v>
      </c>
      <c r="C93" s="126"/>
      <c r="D93" s="126"/>
      <c r="E93" s="14">
        <f t="shared" si="8"/>
        <v>0</v>
      </c>
      <c r="F93" s="15"/>
      <c r="G93" s="15"/>
      <c r="H93" s="14">
        <f t="shared" si="7"/>
        <v>0</v>
      </c>
      <c r="I93" s="114" t="e">
        <f t="shared" si="9"/>
        <v>#DIV/0!</v>
      </c>
      <c r="J93" s="16" t="s">
        <v>161</v>
      </c>
    </row>
    <row r="94" spans="1:10" s="143" customFormat="1" ht="33" customHeight="1">
      <c r="A94" s="53"/>
      <c r="B94" s="28" t="s">
        <v>271</v>
      </c>
      <c r="C94" s="126"/>
      <c r="D94" s="126"/>
      <c r="E94" s="14">
        <f>SUM(C94:D94)</f>
        <v>0</v>
      </c>
      <c r="F94" s="15"/>
      <c r="G94" s="15"/>
      <c r="H94" s="14">
        <f>SUM(F94:G94)</f>
        <v>0</v>
      </c>
      <c r="I94" s="114"/>
      <c r="J94" s="120" t="s">
        <v>179</v>
      </c>
    </row>
    <row r="95" spans="1:10" s="16" customFormat="1" ht="24.75" customHeight="1">
      <c r="A95" s="52"/>
      <c r="B95" s="12" t="s">
        <v>393</v>
      </c>
      <c r="C95" s="15">
        <f>976326-350000</f>
        <v>626326</v>
      </c>
      <c r="D95" s="126"/>
      <c r="E95" s="14">
        <f t="shared" si="8"/>
        <v>626326</v>
      </c>
      <c r="F95" s="15"/>
      <c r="G95" s="15"/>
      <c r="H95" s="14">
        <f t="shared" si="7"/>
        <v>0</v>
      </c>
      <c r="I95" s="114">
        <f t="shared" si="9"/>
        <v>0</v>
      </c>
      <c r="J95" s="133" t="s">
        <v>151</v>
      </c>
    </row>
    <row r="96" spans="1:10" s="16" customFormat="1" ht="56.25" hidden="1">
      <c r="A96" s="52"/>
      <c r="B96" s="12" t="s">
        <v>384</v>
      </c>
      <c r="C96" s="126"/>
      <c r="D96" s="126"/>
      <c r="E96" s="14">
        <f t="shared" si="8"/>
        <v>0</v>
      </c>
      <c r="F96" s="15"/>
      <c r="G96" s="15"/>
      <c r="H96" s="14">
        <f t="shared" si="7"/>
        <v>0</v>
      </c>
      <c r="I96" s="114" t="e">
        <f t="shared" si="9"/>
        <v>#DIV/0!</v>
      </c>
      <c r="J96" s="71" t="s">
        <v>35</v>
      </c>
    </row>
    <row r="97" spans="1:10" s="16" customFormat="1" ht="36" customHeight="1" hidden="1">
      <c r="A97" s="52"/>
      <c r="B97" s="12" t="s">
        <v>380</v>
      </c>
      <c r="C97" s="126"/>
      <c r="D97" s="126"/>
      <c r="E97" s="14">
        <f t="shared" si="8"/>
        <v>0</v>
      </c>
      <c r="F97" s="15"/>
      <c r="G97" s="15"/>
      <c r="H97" s="14">
        <f t="shared" si="7"/>
        <v>0</v>
      </c>
      <c r="I97" s="114" t="e">
        <f t="shared" si="9"/>
        <v>#DIV/0!</v>
      </c>
      <c r="J97" s="87" t="s">
        <v>92</v>
      </c>
    </row>
    <row r="98" spans="1:11" s="11" customFormat="1" ht="28.5" customHeight="1">
      <c r="A98" s="24">
        <v>6</v>
      </c>
      <c r="B98" s="26" t="s">
        <v>266</v>
      </c>
      <c r="C98" s="160">
        <f>SUM(C99:C122)</f>
        <v>350000</v>
      </c>
      <c r="D98" s="160">
        <f>SUM(D99:D122)</f>
        <v>351500</v>
      </c>
      <c r="E98" s="27">
        <f t="shared" si="8"/>
        <v>701500</v>
      </c>
      <c r="F98" s="9">
        <f>SUM(F99:F122)</f>
        <v>0</v>
      </c>
      <c r="G98" s="9">
        <f>SUM(G99:G122)</f>
        <v>0</v>
      </c>
      <c r="H98" s="27">
        <f t="shared" si="7"/>
        <v>0</v>
      </c>
      <c r="I98" s="114">
        <f t="shared" si="9"/>
        <v>0</v>
      </c>
      <c r="J98" s="80" t="s">
        <v>36</v>
      </c>
      <c r="K98" s="119"/>
    </row>
    <row r="99" spans="1:11" s="6" customFormat="1" ht="33.75" customHeight="1">
      <c r="A99" s="53"/>
      <c r="B99" s="33" t="s">
        <v>316</v>
      </c>
      <c r="C99" s="126"/>
      <c r="D99" s="15">
        <v>351500</v>
      </c>
      <c r="E99" s="14">
        <f t="shared" si="8"/>
        <v>351500</v>
      </c>
      <c r="F99" s="15"/>
      <c r="G99" s="15"/>
      <c r="H99" s="14">
        <f t="shared" si="7"/>
        <v>0</v>
      </c>
      <c r="I99" s="114">
        <f t="shared" si="9"/>
        <v>0</v>
      </c>
      <c r="J99" s="106" t="s">
        <v>36</v>
      </c>
      <c r="K99" s="6" t="s">
        <v>89</v>
      </c>
    </row>
    <row r="100" spans="1:10" s="6" customFormat="1" ht="27" customHeight="1">
      <c r="A100" s="53"/>
      <c r="B100" s="12" t="s">
        <v>342</v>
      </c>
      <c r="C100" s="15">
        <v>350000</v>
      </c>
      <c r="D100" s="15"/>
      <c r="E100" s="14">
        <f t="shared" si="8"/>
        <v>350000</v>
      </c>
      <c r="F100" s="15"/>
      <c r="G100" s="15"/>
      <c r="H100" s="14">
        <f t="shared" si="7"/>
        <v>0</v>
      </c>
      <c r="I100" s="114">
        <f t="shared" si="9"/>
        <v>0</v>
      </c>
      <c r="J100" s="106"/>
    </row>
    <row r="101" spans="1:10" s="6" customFormat="1" ht="35.25" customHeight="1" hidden="1">
      <c r="A101" s="53"/>
      <c r="B101" s="12" t="s">
        <v>267</v>
      </c>
      <c r="C101" s="126"/>
      <c r="D101" s="126"/>
      <c r="E101" s="14">
        <f t="shared" si="8"/>
        <v>0</v>
      </c>
      <c r="F101" s="15"/>
      <c r="G101" s="15"/>
      <c r="H101" s="14">
        <f t="shared" si="7"/>
        <v>0</v>
      </c>
      <c r="I101" s="114" t="e">
        <f t="shared" si="9"/>
        <v>#DIV/0!</v>
      </c>
      <c r="J101" s="80" t="s">
        <v>37</v>
      </c>
    </row>
    <row r="102" spans="1:10" s="6" customFormat="1" ht="45.75" customHeight="1" hidden="1">
      <c r="A102" s="53"/>
      <c r="B102" s="12" t="s">
        <v>385</v>
      </c>
      <c r="C102" s="126"/>
      <c r="D102" s="126"/>
      <c r="E102" s="14">
        <f t="shared" si="8"/>
        <v>0</v>
      </c>
      <c r="F102" s="15"/>
      <c r="G102" s="15"/>
      <c r="H102" s="14">
        <f t="shared" si="7"/>
        <v>0</v>
      </c>
      <c r="I102" s="114" t="e">
        <f t="shared" si="9"/>
        <v>#DIV/0!</v>
      </c>
      <c r="J102" s="106" t="s">
        <v>94</v>
      </c>
    </row>
    <row r="103" spans="1:13" s="6" customFormat="1" ht="23.25" customHeight="1" hidden="1">
      <c r="A103" s="53"/>
      <c r="B103" s="33" t="s">
        <v>125</v>
      </c>
      <c r="C103" s="162"/>
      <c r="D103" s="162"/>
      <c r="E103" s="14">
        <f t="shared" si="8"/>
        <v>0</v>
      </c>
      <c r="F103" s="30"/>
      <c r="G103" s="30"/>
      <c r="H103" s="14">
        <f t="shared" si="7"/>
        <v>0</v>
      </c>
      <c r="I103" s="114" t="e">
        <f t="shared" si="9"/>
        <v>#DIV/0!</v>
      </c>
      <c r="J103" s="130" t="s">
        <v>95</v>
      </c>
      <c r="K103" s="106"/>
      <c r="L103" s="106"/>
      <c r="M103" s="106"/>
    </row>
    <row r="104" spans="1:13" s="6" customFormat="1" ht="24" customHeight="1" hidden="1">
      <c r="A104" s="53"/>
      <c r="B104" s="33" t="s">
        <v>124</v>
      </c>
      <c r="C104" s="162"/>
      <c r="D104" s="162"/>
      <c r="E104" s="14">
        <f t="shared" si="8"/>
        <v>0</v>
      </c>
      <c r="F104" s="30"/>
      <c r="G104" s="30"/>
      <c r="H104" s="14">
        <f t="shared" si="7"/>
        <v>0</v>
      </c>
      <c r="I104" s="114" t="e">
        <f t="shared" si="9"/>
        <v>#DIV/0!</v>
      </c>
      <c r="J104" s="130" t="s">
        <v>136</v>
      </c>
      <c r="K104" s="106"/>
      <c r="L104" s="106"/>
      <c r="M104" s="106"/>
    </row>
    <row r="105" spans="1:10" s="6" customFormat="1" ht="44.25" customHeight="1" hidden="1">
      <c r="A105" s="53"/>
      <c r="B105" s="33" t="s">
        <v>319</v>
      </c>
      <c r="C105" s="162"/>
      <c r="D105" s="162"/>
      <c r="E105" s="14">
        <f t="shared" si="8"/>
        <v>0</v>
      </c>
      <c r="F105" s="30"/>
      <c r="G105" s="30"/>
      <c r="H105" s="14">
        <f t="shared" si="7"/>
        <v>0</v>
      </c>
      <c r="I105" s="114" t="e">
        <f t="shared" si="9"/>
        <v>#DIV/0!</v>
      </c>
      <c r="J105" s="80" t="s">
        <v>39</v>
      </c>
    </row>
    <row r="106" spans="1:10" s="6" customFormat="1" ht="34.5" customHeight="1" hidden="1">
      <c r="A106" s="53"/>
      <c r="B106" s="12" t="s">
        <v>320</v>
      </c>
      <c r="C106" s="162"/>
      <c r="D106" s="162"/>
      <c r="E106" s="14">
        <f t="shared" si="8"/>
        <v>0</v>
      </c>
      <c r="F106" s="30"/>
      <c r="G106" s="30"/>
      <c r="H106" s="14">
        <f t="shared" si="7"/>
        <v>0</v>
      </c>
      <c r="I106" s="114" t="e">
        <f t="shared" si="9"/>
        <v>#DIV/0!</v>
      </c>
      <c r="J106" s="88" t="s">
        <v>38</v>
      </c>
    </row>
    <row r="107" spans="1:10" s="6" customFormat="1" ht="22.5" hidden="1">
      <c r="A107" s="53"/>
      <c r="B107" s="12" t="s">
        <v>341</v>
      </c>
      <c r="C107" s="162"/>
      <c r="D107" s="162"/>
      <c r="E107" s="14">
        <f t="shared" si="8"/>
        <v>0</v>
      </c>
      <c r="F107" s="30"/>
      <c r="G107" s="30"/>
      <c r="H107" s="14">
        <f t="shared" si="7"/>
        <v>0</v>
      </c>
      <c r="I107" s="114" t="e">
        <f t="shared" si="9"/>
        <v>#DIV/0!</v>
      </c>
      <c r="J107" s="80" t="s">
        <v>40</v>
      </c>
    </row>
    <row r="108" spans="1:10" s="6" customFormat="1" ht="22.5" hidden="1">
      <c r="A108" s="53"/>
      <c r="B108" s="12" t="s">
        <v>342</v>
      </c>
      <c r="C108" s="162"/>
      <c r="D108" s="162"/>
      <c r="E108" s="14">
        <f t="shared" si="8"/>
        <v>0</v>
      </c>
      <c r="F108" s="30"/>
      <c r="G108" s="30"/>
      <c r="H108" s="14">
        <f t="shared" si="7"/>
        <v>0</v>
      </c>
      <c r="I108" s="114" t="e">
        <f t="shared" si="9"/>
        <v>#DIV/0!</v>
      </c>
      <c r="J108" s="80" t="s">
        <v>41</v>
      </c>
    </row>
    <row r="109" spans="1:10" s="6" customFormat="1" ht="45" hidden="1">
      <c r="A109" s="53"/>
      <c r="B109" s="12" t="s">
        <v>326</v>
      </c>
      <c r="C109" s="162"/>
      <c r="D109" s="162"/>
      <c r="E109" s="14">
        <f t="shared" si="8"/>
        <v>0</v>
      </c>
      <c r="F109" s="30"/>
      <c r="G109" s="30"/>
      <c r="H109" s="14">
        <f t="shared" si="7"/>
        <v>0</v>
      </c>
      <c r="I109" s="114" t="e">
        <f t="shared" si="9"/>
        <v>#DIV/0!</v>
      </c>
      <c r="J109" s="80" t="s">
        <v>42</v>
      </c>
    </row>
    <row r="110" spans="1:10" s="6" customFormat="1" ht="22.5" customHeight="1" hidden="1">
      <c r="A110" s="53"/>
      <c r="B110" s="12" t="s">
        <v>138</v>
      </c>
      <c r="C110" s="162"/>
      <c r="D110" s="162"/>
      <c r="E110" s="14">
        <f t="shared" si="8"/>
        <v>0</v>
      </c>
      <c r="F110" s="30"/>
      <c r="G110" s="30"/>
      <c r="H110" s="14">
        <f t="shared" si="7"/>
        <v>0</v>
      </c>
      <c r="I110" s="114" t="e">
        <f t="shared" si="9"/>
        <v>#DIV/0!</v>
      </c>
      <c r="J110" s="80" t="s">
        <v>139</v>
      </c>
    </row>
    <row r="111" spans="1:13" s="6" customFormat="1" ht="21" customHeight="1" hidden="1">
      <c r="A111" s="53"/>
      <c r="B111" s="33" t="s">
        <v>336</v>
      </c>
      <c r="C111" s="162"/>
      <c r="D111" s="162"/>
      <c r="E111" s="14">
        <f t="shared" si="8"/>
        <v>0</v>
      </c>
      <c r="F111" s="30"/>
      <c r="G111" s="30"/>
      <c r="H111" s="14">
        <f t="shared" si="7"/>
        <v>0</v>
      </c>
      <c r="I111" s="114" t="e">
        <f t="shared" si="9"/>
        <v>#DIV/0!</v>
      </c>
      <c r="J111" s="106" t="s">
        <v>121</v>
      </c>
      <c r="K111" s="106"/>
      <c r="L111" s="106"/>
      <c r="M111" s="106"/>
    </row>
    <row r="112" spans="1:10" s="6" customFormat="1" ht="48.75" customHeight="1" hidden="1">
      <c r="A112" s="53"/>
      <c r="B112" s="33" t="s">
        <v>357</v>
      </c>
      <c r="C112" s="162"/>
      <c r="D112" s="162"/>
      <c r="E112" s="14">
        <f t="shared" si="8"/>
        <v>0</v>
      </c>
      <c r="F112" s="30"/>
      <c r="G112" s="30"/>
      <c r="H112" s="14">
        <f t="shared" si="7"/>
        <v>0</v>
      </c>
      <c r="I112" s="114" t="e">
        <f t="shared" si="9"/>
        <v>#DIV/0!</v>
      </c>
      <c r="J112" s="71" t="s">
        <v>43</v>
      </c>
    </row>
    <row r="113" spans="1:13" s="6" customFormat="1" ht="11.25" hidden="1">
      <c r="A113" s="53"/>
      <c r="B113" s="33" t="s">
        <v>358</v>
      </c>
      <c r="C113" s="162"/>
      <c r="D113" s="162"/>
      <c r="E113" s="14">
        <f t="shared" si="8"/>
        <v>0</v>
      </c>
      <c r="F113" s="30"/>
      <c r="G113" s="30"/>
      <c r="H113" s="14">
        <f t="shared" si="7"/>
        <v>0</v>
      </c>
      <c r="I113" s="114" t="e">
        <f t="shared" si="9"/>
        <v>#DIV/0!</v>
      </c>
      <c r="J113" s="106"/>
      <c r="K113" s="106"/>
      <c r="L113" s="106"/>
      <c r="M113" s="106"/>
    </row>
    <row r="114" spans="1:10" s="6" customFormat="1" ht="22.5" hidden="1">
      <c r="A114" s="53"/>
      <c r="B114" s="12" t="s">
        <v>339</v>
      </c>
      <c r="C114" s="162"/>
      <c r="D114" s="162"/>
      <c r="E114" s="14">
        <f aca="true" t="shared" si="10" ref="E114:E144">SUM(C114:D114)</f>
        <v>0</v>
      </c>
      <c r="F114" s="15"/>
      <c r="G114" s="30"/>
      <c r="H114" s="14">
        <f t="shared" si="7"/>
        <v>0</v>
      </c>
      <c r="I114" s="114" t="e">
        <f t="shared" si="9"/>
        <v>#DIV/0!</v>
      </c>
      <c r="J114" s="71" t="s">
        <v>44</v>
      </c>
    </row>
    <row r="115" spans="1:10" s="6" customFormat="1" ht="33.75" customHeight="1" hidden="1">
      <c r="A115" s="53"/>
      <c r="B115" s="33" t="s">
        <v>365</v>
      </c>
      <c r="C115" s="126"/>
      <c r="D115" s="126"/>
      <c r="E115" s="14">
        <f t="shared" si="10"/>
        <v>0</v>
      </c>
      <c r="F115" s="15"/>
      <c r="G115" s="15"/>
      <c r="H115" s="14">
        <f t="shared" si="7"/>
        <v>0</v>
      </c>
      <c r="I115" s="114" t="e">
        <f t="shared" si="9"/>
        <v>#DIV/0!</v>
      </c>
      <c r="J115" s="89" t="s">
        <v>155</v>
      </c>
    </row>
    <row r="116" spans="1:10" s="6" customFormat="1" ht="49.5" customHeight="1" hidden="1">
      <c r="A116" s="53"/>
      <c r="B116" s="33" t="s">
        <v>371</v>
      </c>
      <c r="C116" s="162"/>
      <c r="D116" s="162"/>
      <c r="E116" s="14">
        <f t="shared" si="10"/>
        <v>0</v>
      </c>
      <c r="F116" s="30"/>
      <c r="G116" s="30"/>
      <c r="H116" s="14">
        <f t="shared" si="7"/>
        <v>0</v>
      </c>
      <c r="I116" s="114" t="e">
        <f t="shared" si="9"/>
        <v>#DIV/0!</v>
      </c>
      <c r="J116" s="77" t="s">
        <v>45</v>
      </c>
    </row>
    <row r="117" spans="1:10" s="6" customFormat="1" ht="36" customHeight="1" hidden="1">
      <c r="A117" s="53"/>
      <c r="B117" s="33" t="s">
        <v>386</v>
      </c>
      <c r="C117" s="162"/>
      <c r="D117" s="162"/>
      <c r="E117" s="14">
        <f t="shared" si="10"/>
        <v>0</v>
      </c>
      <c r="F117" s="15"/>
      <c r="G117" s="30"/>
      <c r="H117" s="14">
        <f t="shared" si="7"/>
        <v>0</v>
      </c>
      <c r="I117" s="114" t="e">
        <f t="shared" si="9"/>
        <v>#DIV/0!</v>
      </c>
      <c r="J117" s="71" t="s">
        <v>46</v>
      </c>
    </row>
    <row r="118" spans="1:10" s="16" customFormat="1" ht="45" hidden="1">
      <c r="A118" s="52"/>
      <c r="B118" s="33" t="s">
        <v>366</v>
      </c>
      <c r="C118" s="126"/>
      <c r="D118" s="126"/>
      <c r="E118" s="14">
        <f t="shared" si="10"/>
        <v>0</v>
      </c>
      <c r="F118" s="15"/>
      <c r="G118" s="15"/>
      <c r="H118" s="14">
        <f t="shared" si="7"/>
        <v>0</v>
      </c>
      <c r="I118" s="114" t="e">
        <f t="shared" si="9"/>
        <v>#DIV/0!</v>
      </c>
      <c r="J118" s="89" t="s">
        <v>45</v>
      </c>
    </row>
    <row r="119" spans="1:10" s="16" customFormat="1" ht="39.75" customHeight="1" hidden="1">
      <c r="A119" s="52"/>
      <c r="B119" s="33" t="s">
        <v>133</v>
      </c>
      <c r="C119" s="126"/>
      <c r="D119" s="126"/>
      <c r="E119" s="14">
        <f t="shared" si="10"/>
        <v>0</v>
      </c>
      <c r="F119" s="15"/>
      <c r="G119" s="15"/>
      <c r="H119" s="14">
        <f t="shared" si="7"/>
        <v>0</v>
      </c>
      <c r="I119" s="114" t="e">
        <f aca="true" t="shared" si="11" ref="I119:I151">H119/E119</f>
        <v>#DIV/0!</v>
      </c>
      <c r="J119" s="89" t="s">
        <v>134</v>
      </c>
    </row>
    <row r="120" spans="1:10" s="16" customFormat="1" ht="28.5" customHeight="1" hidden="1">
      <c r="A120" s="52"/>
      <c r="B120" s="33" t="s">
        <v>167</v>
      </c>
      <c r="C120" s="126"/>
      <c r="D120" s="126"/>
      <c r="E120" s="14">
        <f t="shared" si="10"/>
        <v>0</v>
      </c>
      <c r="F120" s="15"/>
      <c r="G120" s="15"/>
      <c r="H120" s="14">
        <f t="shared" si="7"/>
        <v>0</v>
      </c>
      <c r="I120" s="114" t="e">
        <f t="shared" si="11"/>
        <v>#DIV/0!</v>
      </c>
      <c r="J120" s="89" t="s">
        <v>166</v>
      </c>
    </row>
    <row r="121" spans="1:10" s="16" customFormat="1" ht="34.5" customHeight="1" hidden="1">
      <c r="A121" s="52"/>
      <c r="B121" s="33" t="s">
        <v>174</v>
      </c>
      <c r="C121" s="126"/>
      <c r="D121" s="126"/>
      <c r="E121" s="14">
        <f t="shared" si="10"/>
        <v>0</v>
      </c>
      <c r="F121" s="15"/>
      <c r="G121" s="15"/>
      <c r="H121" s="14">
        <f t="shared" si="7"/>
        <v>0</v>
      </c>
      <c r="I121" s="114" t="e">
        <f t="shared" si="11"/>
        <v>#DIV/0!</v>
      </c>
      <c r="J121" s="140" t="s">
        <v>178</v>
      </c>
    </row>
    <row r="122" spans="1:10" s="16" customFormat="1" ht="14.25" customHeight="1" hidden="1">
      <c r="A122" s="52"/>
      <c r="B122" s="12" t="s">
        <v>354</v>
      </c>
      <c r="C122" s="126"/>
      <c r="D122" s="126"/>
      <c r="E122" s="14">
        <f t="shared" si="10"/>
        <v>0</v>
      </c>
      <c r="F122" s="15"/>
      <c r="G122" s="15"/>
      <c r="H122" s="14">
        <f t="shared" si="7"/>
        <v>0</v>
      </c>
      <c r="I122" s="114" t="e">
        <f t="shared" si="11"/>
        <v>#DIV/0!</v>
      </c>
      <c r="J122" s="16" t="s">
        <v>114</v>
      </c>
    </row>
    <row r="123" spans="1:11" s="11" customFormat="1" ht="16.5" customHeight="1">
      <c r="A123" s="24">
        <v>7</v>
      </c>
      <c r="B123" s="26" t="s">
        <v>269</v>
      </c>
      <c r="C123" s="27">
        <f>SUM(C124:C151)</f>
        <v>4326720</v>
      </c>
      <c r="D123" s="27">
        <f>SUM(D124:D151)</f>
        <v>148397</v>
      </c>
      <c r="E123" s="27">
        <f t="shared" si="10"/>
        <v>4475117</v>
      </c>
      <c r="F123" s="27">
        <f>SUM(F124:F151)</f>
        <v>0</v>
      </c>
      <c r="G123" s="27">
        <f>SUM(G124:G151)</f>
        <v>0</v>
      </c>
      <c r="H123" s="27">
        <f t="shared" si="7"/>
        <v>0</v>
      </c>
      <c r="I123" s="114">
        <f t="shared" si="11"/>
        <v>0</v>
      </c>
      <c r="J123" s="115"/>
      <c r="K123" s="113" t="s">
        <v>143</v>
      </c>
    </row>
    <row r="124" spans="1:11" s="2" customFormat="1" ht="11.25" customHeight="1" hidden="1">
      <c r="A124" s="53"/>
      <c r="B124" s="28" t="s">
        <v>270</v>
      </c>
      <c r="C124" s="126"/>
      <c r="D124" s="126"/>
      <c r="E124" s="14">
        <f t="shared" si="10"/>
        <v>0</v>
      </c>
      <c r="F124" s="15"/>
      <c r="G124" s="15"/>
      <c r="H124" s="14">
        <f t="shared" si="7"/>
        <v>0</v>
      </c>
      <c r="I124" s="114" t="e">
        <f t="shared" si="11"/>
        <v>#DIV/0!</v>
      </c>
      <c r="J124" s="84" t="s">
        <v>47</v>
      </c>
      <c r="K124" s="115"/>
    </row>
    <row r="125" spans="1:11" s="2" customFormat="1" ht="13.5" customHeight="1" hidden="1">
      <c r="A125" s="53"/>
      <c r="B125" s="28" t="s">
        <v>122</v>
      </c>
      <c r="C125" s="126"/>
      <c r="D125" s="126"/>
      <c r="E125" s="14">
        <f t="shared" si="10"/>
        <v>0</v>
      </c>
      <c r="F125" s="15"/>
      <c r="G125" s="15"/>
      <c r="H125" s="14">
        <f t="shared" si="7"/>
        <v>0</v>
      </c>
      <c r="I125" s="114" t="e">
        <f t="shared" si="11"/>
        <v>#DIV/0!</v>
      </c>
      <c r="J125" s="81" t="s">
        <v>47</v>
      </c>
      <c r="K125" s="2" t="s">
        <v>144</v>
      </c>
    </row>
    <row r="126" spans="1:10" s="2" customFormat="1" ht="14.25" customHeight="1" hidden="1">
      <c r="A126" s="53"/>
      <c r="B126" s="28" t="s">
        <v>355</v>
      </c>
      <c r="C126" s="126"/>
      <c r="D126" s="126"/>
      <c r="E126" s="14">
        <f t="shared" si="10"/>
        <v>0</v>
      </c>
      <c r="F126" s="15"/>
      <c r="G126" s="15"/>
      <c r="H126" s="14">
        <f t="shared" si="7"/>
        <v>0</v>
      </c>
      <c r="I126" s="114" t="e">
        <f t="shared" si="11"/>
        <v>#DIV/0!</v>
      </c>
      <c r="J126" s="81" t="s">
        <v>48</v>
      </c>
    </row>
    <row r="127" spans="1:10" s="2" customFormat="1" ht="23.25" customHeight="1" hidden="1">
      <c r="A127" s="53"/>
      <c r="B127" s="28" t="s">
        <v>370</v>
      </c>
      <c r="C127" s="126"/>
      <c r="D127" s="126"/>
      <c r="E127" s="14">
        <f t="shared" si="10"/>
        <v>0</v>
      </c>
      <c r="F127" s="15"/>
      <c r="G127" s="15"/>
      <c r="H127" s="14">
        <f t="shared" si="7"/>
        <v>0</v>
      </c>
      <c r="I127" s="114" t="e">
        <f t="shared" si="11"/>
        <v>#DIV/0!</v>
      </c>
      <c r="J127" s="81" t="s">
        <v>49</v>
      </c>
    </row>
    <row r="128" spans="1:10" s="2" customFormat="1" ht="33.75" hidden="1">
      <c r="A128" s="53"/>
      <c r="B128" s="28" t="s">
        <v>272</v>
      </c>
      <c r="C128" s="126"/>
      <c r="D128" s="126"/>
      <c r="E128" s="14">
        <f t="shared" si="10"/>
        <v>0</v>
      </c>
      <c r="F128" s="15"/>
      <c r="G128" s="15"/>
      <c r="H128" s="14">
        <f t="shared" si="7"/>
        <v>0</v>
      </c>
      <c r="I128" s="114" t="e">
        <f t="shared" si="11"/>
        <v>#DIV/0!</v>
      </c>
      <c r="J128" s="81" t="s">
        <v>51</v>
      </c>
    </row>
    <row r="129" spans="1:10" s="2" customFormat="1" ht="35.25" customHeight="1" hidden="1">
      <c r="A129" s="53"/>
      <c r="B129" s="12" t="s">
        <v>337</v>
      </c>
      <c r="C129" s="126"/>
      <c r="D129" s="126"/>
      <c r="E129" s="14">
        <f t="shared" si="10"/>
        <v>0</v>
      </c>
      <c r="F129" s="15"/>
      <c r="G129" s="15"/>
      <c r="H129" s="14">
        <f t="shared" si="7"/>
        <v>0</v>
      </c>
      <c r="I129" s="114" t="e">
        <f t="shared" si="11"/>
        <v>#DIV/0!</v>
      </c>
      <c r="J129" s="81" t="s">
        <v>50</v>
      </c>
    </row>
    <row r="130" spans="1:10" s="2" customFormat="1" ht="12.75" customHeight="1" hidden="1">
      <c r="A130" s="53"/>
      <c r="B130" s="12" t="s">
        <v>356</v>
      </c>
      <c r="C130" s="126"/>
      <c r="D130" s="126"/>
      <c r="E130" s="14">
        <f t="shared" si="10"/>
        <v>0</v>
      </c>
      <c r="F130" s="15"/>
      <c r="G130" s="15"/>
      <c r="H130" s="14">
        <f t="shared" si="7"/>
        <v>0</v>
      </c>
      <c r="I130" s="114" t="e">
        <f t="shared" si="11"/>
        <v>#DIV/0!</v>
      </c>
      <c r="J130" s="120" t="s">
        <v>52</v>
      </c>
    </row>
    <row r="131" spans="1:10" s="2" customFormat="1" ht="15.75" customHeight="1" hidden="1">
      <c r="A131" s="53"/>
      <c r="B131" s="33" t="s">
        <v>332</v>
      </c>
      <c r="C131" s="126"/>
      <c r="D131" s="126"/>
      <c r="E131" s="14">
        <f t="shared" si="10"/>
        <v>0</v>
      </c>
      <c r="F131" s="15"/>
      <c r="G131" s="15"/>
      <c r="H131" s="14">
        <f t="shared" si="7"/>
        <v>0</v>
      </c>
      <c r="I131" s="114" t="e">
        <f t="shared" si="11"/>
        <v>#DIV/0!</v>
      </c>
      <c r="J131" s="81" t="s">
        <v>210</v>
      </c>
    </row>
    <row r="132" spans="1:10" s="2" customFormat="1" ht="30.75" customHeight="1" hidden="1">
      <c r="A132" s="53"/>
      <c r="B132" s="12" t="s">
        <v>360</v>
      </c>
      <c r="C132" s="126"/>
      <c r="D132" s="126"/>
      <c r="E132" s="14">
        <f t="shared" si="10"/>
        <v>0</v>
      </c>
      <c r="F132" s="15"/>
      <c r="G132" s="15"/>
      <c r="H132" s="14">
        <f t="shared" si="7"/>
        <v>0</v>
      </c>
      <c r="I132" s="114" t="e">
        <f t="shared" si="11"/>
        <v>#DIV/0!</v>
      </c>
      <c r="J132" s="90" t="s">
        <v>96</v>
      </c>
    </row>
    <row r="133" spans="1:10" s="16" customFormat="1" ht="33.75" hidden="1">
      <c r="A133" s="52"/>
      <c r="B133" s="12" t="s">
        <v>340</v>
      </c>
      <c r="C133" s="163"/>
      <c r="D133" s="163"/>
      <c r="E133" s="14">
        <f t="shared" si="10"/>
        <v>0</v>
      </c>
      <c r="F133" s="13"/>
      <c r="G133" s="13"/>
      <c r="H133" s="14">
        <f t="shared" si="7"/>
        <v>0</v>
      </c>
      <c r="I133" s="114" t="e">
        <f t="shared" si="11"/>
        <v>#DIV/0!</v>
      </c>
      <c r="J133" s="86">
        <v>85395.2708</v>
      </c>
    </row>
    <row r="134" spans="1:10" s="16" customFormat="1" ht="15" customHeight="1">
      <c r="A134" s="52"/>
      <c r="B134" s="12" t="s">
        <v>87</v>
      </c>
      <c r="C134" s="13">
        <v>11414</v>
      </c>
      <c r="D134" s="13">
        <f>11423+11276</f>
        <v>22699</v>
      </c>
      <c r="E134" s="14">
        <f t="shared" si="10"/>
        <v>34113</v>
      </c>
      <c r="F134" s="15"/>
      <c r="G134" s="13"/>
      <c r="H134" s="14">
        <f aca="true" t="shared" si="12" ref="H134:H200">SUM(F134:G134)</f>
        <v>0</v>
      </c>
      <c r="I134" s="114">
        <f t="shared" si="11"/>
        <v>0</v>
      </c>
      <c r="J134" s="16" t="s">
        <v>189</v>
      </c>
    </row>
    <row r="135" spans="1:10" s="16" customFormat="1" ht="43.5" customHeight="1" hidden="1">
      <c r="A135" s="52"/>
      <c r="B135" s="12" t="s">
        <v>322</v>
      </c>
      <c r="C135" s="163"/>
      <c r="D135" s="163"/>
      <c r="E135" s="14">
        <f t="shared" si="10"/>
        <v>0</v>
      </c>
      <c r="F135" s="13"/>
      <c r="G135" s="13"/>
      <c r="H135" s="14">
        <f t="shared" si="12"/>
        <v>0</v>
      </c>
      <c r="I135" s="114" t="e">
        <f t="shared" si="11"/>
        <v>#DIV/0!</v>
      </c>
      <c r="J135" s="86" t="s">
        <v>97</v>
      </c>
    </row>
    <row r="136" spans="1:10" s="16" customFormat="1" ht="11.25" customHeight="1" hidden="1">
      <c r="A136" s="52"/>
      <c r="B136" s="12" t="s">
        <v>324</v>
      </c>
      <c r="C136" s="163"/>
      <c r="D136" s="163"/>
      <c r="E136" s="14">
        <f t="shared" si="10"/>
        <v>0</v>
      </c>
      <c r="F136" s="15"/>
      <c r="G136" s="13"/>
      <c r="H136" s="14">
        <f t="shared" si="12"/>
        <v>0</v>
      </c>
      <c r="I136" s="114" t="e">
        <f t="shared" si="11"/>
        <v>#DIV/0!</v>
      </c>
      <c r="J136" s="71" t="s">
        <v>53</v>
      </c>
    </row>
    <row r="137" spans="1:10" s="16" customFormat="1" ht="12" customHeight="1" hidden="1">
      <c r="A137" s="52"/>
      <c r="B137" s="12" t="s">
        <v>334</v>
      </c>
      <c r="C137" s="163"/>
      <c r="D137" s="163"/>
      <c r="E137" s="14">
        <f t="shared" si="10"/>
        <v>0</v>
      </c>
      <c r="F137" s="13"/>
      <c r="G137" s="13"/>
      <c r="H137" s="14">
        <f t="shared" si="12"/>
        <v>0</v>
      </c>
      <c r="I137" s="114" t="e">
        <f t="shared" si="11"/>
        <v>#DIV/0!</v>
      </c>
      <c r="J137" s="131" t="s">
        <v>54</v>
      </c>
    </row>
    <row r="138" spans="1:10" s="16" customFormat="1" ht="33.75" hidden="1">
      <c r="A138" s="52"/>
      <c r="B138" s="33" t="s">
        <v>319</v>
      </c>
      <c r="C138" s="163"/>
      <c r="D138" s="163"/>
      <c r="E138" s="14">
        <f t="shared" si="10"/>
        <v>0</v>
      </c>
      <c r="F138" s="13"/>
      <c r="G138" s="13"/>
      <c r="H138" s="14">
        <f t="shared" si="12"/>
        <v>0</v>
      </c>
      <c r="I138" s="114" t="e">
        <f t="shared" si="11"/>
        <v>#DIV/0!</v>
      </c>
      <c r="J138" s="81"/>
    </row>
    <row r="139" spans="1:10" s="16" customFormat="1" ht="22.5" hidden="1">
      <c r="A139" s="52"/>
      <c r="B139" s="33" t="s">
        <v>321</v>
      </c>
      <c r="C139" s="163"/>
      <c r="D139" s="163"/>
      <c r="E139" s="14">
        <f t="shared" si="10"/>
        <v>0</v>
      </c>
      <c r="F139" s="13"/>
      <c r="G139" s="13"/>
      <c r="H139" s="14">
        <f t="shared" si="12"/>
        <v>0</v>
      </c>
      <c r="I139" s="114" t="e">
        <f t="shared" si="11"/>
        <v>#DIV/0!</v>
      </c>
      <c r="J139" s="81" t="s">
        <v>55</v>
      </c>
    </row>
    <row r="140" spans="1:10" s="2" customFormat="1" ht="22.5" hidden="1">
      <c r="A140" s="53"/>
      <c r="B140" s="28" t="s">
        <v>273</v>
      </c>
      <c r="C140" s="126"/>
      <c r="D140" s="165"/>
      <c r="E140" s="14">
        <f t="shared" si="10"/>
        <v>0</v>
      </c>
      <c r="F140" s="15"/>
      <c r="G140" s="30"/>
      <c r="H140" s="14">
        <f t="shared" si="12"/>
        <v>0</v>
      </c>
      <c r="I140" s="114" t="e">
        <f t="shared" si="11"/>
        <v>#DIV/0!</v>
      </c>
      <c r="J140" s="81"/>
    </row>
    <row r="141" spans="1:10" s="2" customFormat="1" ht="36" customHeight="1" hidden="1">
      <c r="A141" s="53"/>
      <c r="B141" s="28" t="s">
        <v>328</v>
      </c>
      <c r="C141" s="126"/>
      <c r="D141" s="165"/>
      <c r="E141" s="14">
        <f t="shared" si="10"/>
        <v>0</v>
      </c>
      <c r="F141" s="15"/>
      <c r="G141" s="30"/>
      <c r="H141" s="14">
        <f t="shared" si="12"/>
        <v>0</v>
      </c>
      <c r="I141" s="114" t="e">
        <f t="shared" si="11"/>
        <v>#DIV/0!</v>
      </c>
      <c r="J141" s="120" t="s">
        <v>135</v>
      </c>
    </row>
    <row r="142" spans="1:10" s="2" customFormat="1" ht="24.75" customHeight="1">
      <c r="A142" s="53"/>
      <c r="B142" s="28" t="s">
        <v>352</v>
      </c>
      <c r="C142" s="15">
        <v>39456</v>
      </c>
      <c r="D142" s="165"/>
      <c r="E142" s="14">
        <f t="shared" si="10"/>
        <v>39456</v>
      </c>
      <c r="F142" s="15"/>
      <c r="G142" s="30"/>
      <c r="H142" s="14">
        <f t="shared" si="12"/>
        <v>0</v>
      </c>
      <c r="I142" s="114">
        <f t="shared" si="11"/>
        <v>0</v>
      </c>
      <c r="J142" s="81" t="s">
        <v>56</v>
      </c>
    </row>
    <row r="143" spans="1:10" s="2" customFormat="1" ht="11.25" customHeight="1" hidden="1">
      <c r="A143" s="53"/>
      <c r="B143" s="33" t="s">
        <v>358</v>
      </c>
      <c r="C143" s="126"/>
      <c r="D143" s="165"/>
      <c r="E143" s="14">
        <f t="shared" si="10"/>
        <v>0</v>
      </c>
      <c r="F143" s="15"/>
      <c r="G143" s="30"/>
      <c r="H143" s="14">
        <f t="shared" si="12"/>
        <v>0</v>
      </c>
      <c r="I143" s="114" t="e">
        <f t="shared" si="11"/>
        <v>#DIV/0!</v>
      </c>
      <c r="J143" s="137" t="s">
        <v>190</v>
      </c>
    </row>
    <row r="144" spans="1:10" s="2" customFormat="1" ht="45.75" customHeight="1">
      <c r="A144" s="53"/>
      <c r="B144" s="33" t="s">
        <v>362</v>
      </c>
      <c r="C144" s="15">
        <v>3793884</v>
      </c>
      <c r="D144" s="165"/>
      <c r="E144" s="14">
        <f t="shared" si="10"/>
        <v>3793884</v>
      </c>
      <c r="F144" s="15"/>
      <c r="G144" s="30"/>
      <c r="H144" s="14">
        <f t="shared" si="12"/>
        <v>0</v>
      </c>
      <c r="I144" s="114">
        <f t="shared" si="11"/>
        <v>0</v>
      </c>
      <c r="J144" s="81" t="s">
        <v>173</v>
      </c>
    </row>
    <row r="145" spans="1:10" s="2" customFormat="1" ht="27" customHeight="1">
      <c r="A145" s="53"/>
      <c r="B145" s="33" t="s">
        <v>162</v>
      </c>
      <c r="C145" s="126"/>
      <c r="D145" s="15">
        <v>55386</v>
      </c>
      <c r="E145" s="14">
        <f aca="true" t="shared" si="13" ref="E145:E179">SUM(C145:D145)</f>
        <v>55386</v>
      </c>
      <c r="F145" s="15"/>
      <c r="G145" s="30"/>
      <c r="H145" s="14">
        <f t="shared" si="12"/>
        <v>0</v>
      </c>
      <c r="I145" s="114">
        <f t="shared" si="11"/>
        <v>0</v>
      </c>
      <c r="J145" s="127" t="s">
        <v>158</v>
      </c>
    </row>
    <row r="146" spans="1:10" s="2" customFormat="1" ht="36.75" customHeight="1">
      <c r="A146" s="53"/>
      <c r="B146" s="33" t="s">
        <v>157</v>
      </c>
      <c r="C146" s="126"/>
      <c r="D146" s="15">
        <v>70312</v>
      </c>
      <c r="E146" s="14">
        <f t="shared" si="13"/>
        <v>70312</v>
      </c>
      <c r="F146" s="15"/>
      <c r="G146" s="30"/>
      <c r="H146" s="14">
        <f t="shared" si="12"/>
        <v>0</v>
      </c>
      <c r="I146" s="114">
        <f t="shared" si="11"/>
        <v>0</v>
      </c>
      <c r="J146" s="127" t="s">
        <v>158</v>
      </c>
    </row>
    <row r="147" spans="1:10" s="2" customFormat="1" ht="24" customHeight="1" hidden="1">
      <c r="A147" s="53"/>
      <c r="B147" s="33" t="s">
        <v>175</v>
      </c>
      <c r="C147" s="126"/>
      <c r="D147" s="126"/>
      <c r="E147" s="14">
        <f t="shared" si="13"/>
        <v>0</v>
      </c>
      <c r="F147" s="15"/>
      <c r="G147" s="30"/>
      <c r="H147" s="14">
        <f t="shared" si="12"/>
        <v>0</v>
      </c>
      <c r="I147" s="114" t="e">
        <f t="shared" si="11"/>
        <v>#DIV/0!</v>
      </c>
      <c r="J147" s="127" t="s">
        <v>176</v>
      </c>
    </row>
    <row r="148" spans="1:10" s="2" customFormat="1" ht="36" customHeight="1">
      <c r="A148" s="53"/>
      <c r="B148" s="33" t="s">
        <v>98</v>
      </c>
      <c r="C148" s="15">
        <v>481966</v>
      </c>
      <c r="D148" s="126"/>
      <c r="E148" s="14">
        <f t="shared" si="13"/>
        <v>481966</v>
      </c>
      <c r="F148" s="15"/>
      <c r="G148" s="30"/>
      <c r="H148" s="14">
        <f t="shared" si="12"/>
        <v>0</v>
      </c>
      <c r="I148" s="114"/>
      <c r="J148" s="127" t="s">
        <v>180</v>
      </c>
    </row>
    <row r="149" spans="1:10" s="145" customFormat="1" ht="22.5" hidden="1">
      <c r="A149" s="53"/>
      <c r="B149" s="28" t="s">
        <v>370</v>
      </c>
      <c r="C149" s="126"/>
      <c r="D149" s="126"/>
      <c r="E149" s="14">
        <f>SUM(C149:D149)</f>
        <v>0</v>
      </c>
      <c r="F149" s="15"/>
      <c r="G149" s="15"/>
      <c r="H149" s="14">
        <f>SUM(F149:G149)</f>
        <v>0</v>
      </c>
      <c r="I149" s="114"/>
      <c r="J149" s="144" t="s">
        <v>113</v>
      </c>
    </row>
    <row r="150" spans="1:10" s="2" customFormat="1" ht="27" customHeight="1" hidden="1">
      <c r="A150" s="53"/>
      <c r="B150" s="28" t="s">
        <v>88</v>
      </c>
      <c r="C150" s="126"/>
      <c r="D150" s="165"/>
      <c r="E150" s="14">
        <f t="shared" si="13"/>
        <v>0</v>
      </c>
      <c r="F150" s="15"/>
      <c r="G150" s="30"/>
      <c r="H150" s="14">
        <f t="shared" si="12"/>
        <v>0</v>
      </c>
      <c r="I150" s="114" t="e">
        <f t="shared" si="11"/>
        <v>#DIV/0!</v>
      </c>
      <c r="J150" s="77" t="s">
        <v>57</v>
      </c>
    </row>
    <row r="151" spans="1:10" s="2" customFormat="1" ht="45" hidden="1">
      <c r="A151" s="53"/>
      <c r="B151" s="28" t="s">
        <v>327</v>
      </c>
      <c r="C151" s="126"/>
      <c r="D151" s="126"/>
      <c r="E151" s="14">
        <f t="shared" si="13"/>
        <v>0</v>
      </c>
      <c r="F151" s="15"/>
      <c r="G151" s="15"/>
      <c r="H151" s="14">
        <f t="shared" si="12"/>
        <v>0</v>
      </c>
      <c r="I151" s="114" t="e">
        <f t="shared" si="11"/>
        <v>#DIV/0!</v>
      </c>
      <c r="J151" s="81" t="s">
        <v>58</v>
      </c>
    </row>
    <row r="152" spans="1:12" s="11" customFormat="1" ht="22.5" customHeight="1">
      <c r="A152" s="24">
        <v>8</v>
      </c>
      <c r="B152" s="26" t="s">
        <v>274</v>
      </c>
      <c r="C152" s="27">
        <f>SUM(C153:C154)</f>
        <v>265956727</v>
      </c>
      <c r="D152" s="27">
        <f>SUM(D153:D154)</f>
        <v>72667578</v>
      </c>
      <c r="E152" s="27">
        <f t="shared" si="13"/>
        <v>338624305</v>
      </c>
      <c r="F152" s="27">
        <f>SUM(F153:F154)</f>
        <v>0</v>
      </c>
      <c r="G152" s="27">
        <f>SUM(G153:G154)</f>
        <v>0</v>
      </c>
      <c r="H152" s="27">
        <f t="shared" si="12"/>
        <v>0</v>
      </c>
      <c r="I152" s="114">
        <f aca="true" t="shared" si="14" ref="I152:I184">H152/E152</f>
        <v>0</v>
      </c>
      <c r="J152" s="115" t="e">
        <f>G150/G6</f>
        <v>#DIV/0!</v>
      </c>
      <c r="K152" s="114" t="e">
        <f>H152/H6</f>
        <v>#DIV/0!</v>
      </c>
      <c r="L152" s="11" t="s">
        <v>145</v>
      </c>
    </row>
    <row r="153" spans="1:12" s="2" customFormat="1" ht="16.5" customHeight="1">
      <c r="A153" s="53"/>
      <c r="B153" s="28" t="s">
        <v>275</v>
      </c>
      <c r="C153" s="15">
        <v>242056727</v>
      </c>
      <c r="D153" s="15">
        <v>67567578</v>
      </c>
      <c r="E153" s="14">
        <f t="shared" si="13"/>
        <v>309624305</v>
      </c>
      <c r="F153" s="15"/>
      <c r="G153" s="15"/>
      <c r="H153" s="14">
        <f t="shared" si="12"/>
        <v>0</v>
      </c>
      <c r="I153" s="114">
        <f t="shared" si="14"/>
        <v>0</v>
      </c>
      <c r="J153" s="82" t="s">
        <v>137</v>
      </c>
      <c r="K153" s="114" t="e">
        <f>H152/H5</f>
        <v>#DIV/0!</v>
      </c>
      <c r="L153" s="2" t="s">
        <v>146</v>
      </c>
    </row>
    <row r="154" spans="1:14" s="2" customFormat="1" ht="15" customHeight="1">
      <c r="A154" s="53"/>
      <c r="B154" s="28" t="s">
        <v>156</v>
      </c>
      <c r="C154" s="15">
        <v>23900000</v>
      </c>
      <c r="D154" s="15">
        <v>5100000</v>
      </c>
      <c r="E154" s="14">
        <f t="shared" si="13"/>
        <v>29000000</v>
      </c>
      <c r="F154" s="15"/>
      <c r="G154" s="15"/>
      <c r="H154" s="14">
        <f t="shared" si="12"/>
        <v>0</v>
      </c>
      <c r="I154" s="114">
        <f t="shared" si="14"/>
        <v>0</v>
      </c>
      <c r="J154" s="81" t="s">
        <v>59</v>
      </c>
      <c r="L154" s="34"/>
      <c r="M154" s="34"/>
      <c r="N154" s="115"/>
    </row>
    <row r="155" spans="1:12" s="8" customFormat="1" ht="12" customHeight="1">
      <c r="A155" s="218" t="s">
        <v>276</v>
      </c>
      <c r="B155" s="218"/>
      <c r="C155" s="38">
        <f>SUM(C156:C158)</f>
        <v>80587643</v>
      </c>
      <c r="D155" s="38">
        <f>SUM(D156:D158)</f>
        <v>103787977</v>
      </c>
      <c r="E155" s="38">
        <f t="shared" si="13"/>
        <v>184375620</v>
      </c>
      <c r="F155" s="38">
        <f>SUM(F156:F158)</f>
        <v>0</v>
      </c>
      <c r="G155" s="38">
        <f>SUM(G156:G158)</f>
        <v>0</v>
      </c>
      <c r="H155" s="38">
        <f t="shared" si="12"/>
        <v>0</v>
      </c>
      <c r="I155" s="114">
        <f t="shared" si="14"/>
        <v>0</v>
      </c>
      <c r="J155" s="76"/>
      <c r="K155" s="114" t="e">
        <f>H155/H5</f>
        <v>#DIV/0!</v>
      </c>
      <c r="L155" s="8" t="s">
        <v>147</v>
      </c>
    </row>
    <row r="156" spans="1:10" s="1" customFormat="1" ht="14.25" customHeight="1">
      <c r="A156" s="53">
        <v>1</v>
      </c>
      <c r="B156" s="28" t="s">
        <v>277</v>
      </c>
      <c r="C156" s="15">
        <v>80587643</v>
      </c>
      <c r="D156" s="15">
        <v>95772194</v>
      </c>
      <c r="E156" s="14">
        <f t="shared" si="13"/>
        <v>176359837</v>
      </c>
      <c r="F156" s="15"/>
      <c r="G156" s="15"/>
      <c r="H156" s="14">
        <f t="shared" si="12"/>
        <v>0</v>
      </c>
      <c r="I156" s="114">
        <f t="shared" si="14"/>
        <v>0</v>
      </c>
      <c r="J156" s="76" t="s">
        <v>60</v>
      </c>
    </row>
    <row r="157" spans="1:10" s="1" customFormat="1" ht="22.5" customHeight="1" hidden="1">
      <c r="A157" s="53">
        <v>2</v>
      </c>
      <c r="B157" s="28" t="s">
        <v>359</v>
      </c>
      <c r="C157" s="126"/>
      <c r="D157" s="126"/>
      <c r="E157" s="14">
        <f t="shared" si="13"/>
        <v>0</v>
      </c>
      <c r="F157" s="15"/>
      <c r="G157" s="15"/>
      <c r="H157" s="14">
        <f t="shared" si="12"/>
        <v>0</v>
      </c>
      <c r="I157" s="114" t="e">
        <f t="shared" si="14"/>
        <v>#DIV/0!</v>
      </c>
      <c r="J157" s="1" t="s">
        <v>130</v>
      </c>
    </row>
    <row r="158" spans="1:10" s="1" customFormat="1" ht="13.5" customHeight="1">
      <c r="A158" s="53">
        <v>3</v>
      </c>
      <c r="B158" s="32" t="s">
        <v>278</v>
      </c>
      <c r="C158" s="126"/>
      <c r="D158" s="15">
        <v>8015783</v>
      </c>
      <c r="E158" s="14">
        <f t="shared" si="13"/>
        <v>8015783</v>
      </c>
      <c r="F158" s="15"/>
      <c r="G158" s="15"/>
      <c r="H158" s="14">
        <f t="shared" si="12"/>
        <v>0</v>
      </c>
      <c r="I158" s="114">
        <f t="shared" si="14"/>
        <v>0</v>
      </c>
      <c r="J158" s="83" t="s">
        <v>62</v>
      </c>
    </row>
    <row r="159" spans="1:11" s="39" customFormat="1" ht="29.25" customHeight="1">
      <c r="A159" s="215" t="s">
        <v>279</v>
      </c>
      <c r="B159" s="215"/>
      <c r="C159" s="37">
        <f>C160+C192+C199</f>
        <v>49771150</v>
      </c>
      <c r="D159" s="37">
        <f>D160+D192+D199</f>
        <v>16603870</v>
      </c>
      <c r="E159" s="38">
        <f t="shared" si="13"/>
        <v>66375020</v>
      </c>
      <c r="F159" s="37">
        <f>F160+F192+F199</f>
        <v>0</v>
      </c>
      <c r="G159" s="37">
        <f>G160+G192+G199</f>
        <v>0</v>
      </c>
      <c r="H159" s="38">
        <f t="shared" si="12"/>
        <v>0</v>
      </c>
      <c r="I159" s="114">
        <f t="shared" si="14"/>
        <v>0</v>
      </c>
      <c r="J159" s="76" t="s">
        <v>63</v>
      </c>
      <c r="K159" s="114" t="e">
        <f>H159/H5</f>
        <v>#DIV/0!</v>
      </c>
    </row>
    <row r="160" spans="1:10" s="41" customFormat="1" ht="12">
      <c r="A160" s="55">
        <v>1</v>
      </c>
      <c r="B160" s="40" t="s">
        <v>280</v>
      </c>
      <c r="C160" s="9">
        <f>SUM(C161:C166,C177:C191)</f>
        <v>46925015</v>
      </c>
      <c r="D160" s="9">
        <f>SUM(D161:D166,D177:D191)</f>
        <v>15552910</v>
      </c>
      <c r="E160" s="27">
        <f t="shared" si="13"/>
        <v>62477925</v>
      </c>
      <c r="F160" s="9">
        <f>SUM(F161:F166,F177:F191)</f>
        <v>0</v>
      </c>
      <c r="G160" s="9">
        <f>SUM(G161:G166,G177:G191)</f>
        <v>0</v>
      </c>
      <c r="H160" s="27">
        <f t="shared" si="12"/>
        <v>0</v>
      </c>
      <c r="I160" s="114">
        <f t="shared" si="14"/>
        <v>0</v>
      </c>
      <c r="J160" s="69" t="s">
        <v>61</v>
      </c>
    </row>
    <row r="161" spans="1:11" s="1" customFormat="1" ht="23.25" customHeight="1">
      <c r="A161" s="53"/>
      <c r="B161" s="170" t="s">
        <v>400</v>
      </c>
      <c r="C161" s="126"/>
      <c r="D161" s="15">
        <v>773000</v>
      </c>
      <c r="E161" s="14">
        <f t="shared" si="13"/>
        <v>773000</v>
      </c>
      <c r="F161" s="15"/>
      <c r="G161" s="15"/>
      <c r="H161" s="14">
        <f t="shared" si="12"/>
        <v>0</v>
      </c>
      <c r="I161" s="114">
        <f t="shared" si="14"/>
        <v>0</v>
      </c>
      <c r="J161" s="81" t="s">
        <v>196</v>
      </c>
      <c r="K161" s="1">
        <f>40828639.22-F160</f>
        <v>40828639.22</v>
      </c>
    </row>
    <row r="162" spans="1:10" s="1" customFormat="1" ht="22.5" hidden="1">
      <c r="A162" s="53"/>
      <c r="B162" s="42" t="s">
        <v>333</v>
      </c>
      <c r="C162" s="126"/>
      <c r="D162" s="126"/>
      <c r="E162" s="14">
        <f t="shared" si="13"/>
        <v>0</v>
      </c>
      <c r="F162" s="15"/>
      <c r="G162" s="15"/>
      <c r="H162" s="14">
        <f t="shared" si="12"/>
        <v>0</v>
      </c>
      <c r="I162" s="114" t="e">
        <f t="shared" si="14"/>
        <v>#DIV/0!</v>
      </c>
      <c r="J162" s="81"/>
    </row>
    <row r="163" spans="1:10" s="1" customFormat="1" ht="22.5" hidden="1">
      <c r="A163" s="53"/>
      <c r="B163" s="42" t="s">
        <v>343</v>
      </c>
      <c r="C163" s="126"/>
      <c r="D163" s="126"/>
      <c r="E163" s="14">
        <f t="shared" si="13"/>
        <v>0</v>
      </c>
      <c r="F163" s="15"/>
      <c r="G163" s="15"/>
      <c r="H163" s="14">
        <f t="shared" si="12"/>
        <v>0</v>
      </c>
      <c r="I163" s="114" t="e">
        <f t="shared" si="14"/>
        <v>#DIV/0!</v>
      </c>
      <c r="J163" s="80"/>
    </row>
    <row r="164" spans="1:11" s="2" customFormat="1" ht="21.75" customHeight="1">
      <c r="A164" s="53"/>
      <c r="B164" s="28" t="s">
        <v>382</v>
      </c>
      <c r="C164" s="126"/>
      <c r="D164" s="15">
        <v>11397000</v>
      </c>
      <c r="E164" s="14">
        <f t="shared" si="13"/>
        <v>11397000</v>
      </c>
      <c r="F164" s="15"/>
      <c r="G164" s="15"/>
      <c r="H164" s="14">
        <f t="shared" si="12"/>
        <v>0</v>
      </c>
      <c r="I164" s="114">
        <f t="shared" si="14"/>
        <v>0</v>
      </c>
      <c r="J164" s="80" t="s">
        <v>64</v>
      </c>
      <c r="K164" s="114" t="e">
        <f>H164/H159</f>
        <v>#DIV/0!</v>
      </c>
    </row>
    <row r="165" spans="1:10" s="2" customFormat="1" ht="21.75" customHeight="1">
      <c r="A165" s="53"/>
      <c r="B165" s="28" t="s">
        <v>383</v>
      </c>
      <c r="C165" s="126"/>
      <c r="D165" s="15">
        <v>300000</v>
      </c>
      <c r="E165" s="14">
        <f t="shared" si="13"/>
        <v>300000</v>
      </c>
      <c r="F165" s="15"/>
      <c r="G165" s="15"/>
      <c r="H165" s="14">
        <f t="shared" si="12"/>
        <v>0</v>
      </c>
      <c r="I165" s="114">
        <f t="shared" si="14"/>
        <v>0</v>
      </c>
      <c r="J165" s="80" t="s">
        <v>65</v>
      </c>
    </row>
    <row r="166" spans="1:11" s="2" customFormat="1" ht="12" customHeight="1">
      <c r="A166" s="53"/>
      <c r="B166" s="28" t="s">
        <v>281</v>
      </c>
      <c r="C166" s="15">
        <f>SUM(C167:C176)</f>
        <v>45495130</v>
      </c>
      <c r="D166" s="15">
        <f>SUM(D167:D176)</f>
        <v>697500</v>
      </c>
      <c r="E166" s="14">
        <f t="shared" si="13"/>
        <v>46192630</v>
      </c>
      <c r="F166" s="15">
        <f>SUM(F167:F176)</f>
        <v>0</v>
      </c>
      <c r="G166" s="15">
        <f>SUM(G167:G176)</f>
        <v>0</v>
      </c>
      <c r="H166" s="14">
        <f t="shared" si="12"/>
        <v>0</v>
      </c>
      <c r="I166" s="114">
        <f t="shared" si="14"/>
        <v>0</v>
      </c>
      <c r="J166" s="80" t="s">
        <v>85</v>
      </c>
      <c r="K166" s="114" t="e">
        <f>H166/H159</f>
        <v>#DIV/0!</v>
      </c>
    </row>
    <row r="167" spans="1:10" s="6" customFormat="1" ht="11.25">
      <c r="A167" s="50"/>
      <c r="B167" s="44" t="s">
        <v>282</v>
      </c>
      <c r="C167" s="21">
        <v>1449000</v>
      </c>
      <c r="D167" s="21">
        <v>354000</v>
      </c>
      <c r="E167" s="20">
        <f t="shared" si="13"/>
        <v>1803000</v>
      </c>
      <c r="F167" s="21"/>
      <c r="G167" s="21"/>
      <c r="H167" s="20">
        <f t="shared" si="12"/>
        <v>0</v>
      </c>
      <c r="I167" s="114">
        <f t="shared" si="14"/>
        <v>0</v>
      </c>
      <c r="J167" s="80" t="s">
        <v>66</v>
      </c>
    </row>
    <row r="168" spans="1:10" s="6" customFormat="1" ht="22.5">
      <c r="A168" s="50"/>
      <c r="B168" s="44" t="s">
        <v>401</v>
      </c>
      <c r="C168" s="21"/>
      <c r="D168" s="21">
        <v>43500</v>
      </c>
      <c r="E168" s="20">
        <f t="shared" si="13"/>
        <v>43500</v>
      </c>
      <c r="F168" s="21"/>
      <c r="G168" s="21"/>
      <c r="H168" s="20"/>
      <c r="I168" s="114">
        <f t="shared" si="14"/>
        <v>0</v>
      </c>
      <c r="J168" s="80" t="s">
        <v>402</v>
      </c>
    </row>
    <row r="169" spans="1:10" s="6" customFormat="1" ht="11.25">
      <c r="A169" s="50"/>
      <c r="B169" s="44" t="s">
        <v>283</v>
      </c>
      <c r="C169" s="21">
        <v>475000</v>
      </c>
      <c r="D169" s="161"/>
      <c r="E169" s="20">
        <f t="shared" si="13"/>
        <v>475000</v>
      </c>
      <c r="F169" s="21"/>
      <c r="G169" s="21"/>
      <c r="H169" s="20">
        <f t="shared" si="12"/>
        <v>0</v>
      </c>
      <c r="I169" s="114">
        <f t="shared" si="14"/>
        <v>0</v>
      </c>
      <c r="J169" s="80" t="s">
        <v>200</v>
      </c>
    </row>
    <row r="170" spans="1:10" s="6" customFormat="1" ht="11.25">
      <c r="A170" s="50"/>
      <c r="B170" s="44" t="s">
        <v>284</v>
      </c>
      <c r="C170" s="21">
        <v>4743000</v>
      </c>
      <c r="D170" s="161"/>
      <c r="E170" s="20">
        <f t="shared" si="13"/>
        <v>4743000</v>
      </c>
      <c r="F170" s="21"/>
      <c r="G170" s="21"/>
      <c r="H170" s="20">
        <f t="shared" si="12"/>
        <v>0</v>
      </c>
      <c r="I170" s="114">
        <f t="shared" si="14"/>
        <v>0</v>
      </c>
      <c r="J170" s="80" t="s">
        <v>201</v>
      </c>
    </row>
    <row r="171" spans="1:10" s="6" customFormat="1" ht="16.5" customHeight="1">
      <c r="A171" s="50"/>
      <c r="B171" s="44" t="s">
        <v>202</v>
      </c>
      <c r="C171" s="161"/>
      <c r="D171" s="161"/>
      <c r="E171" s="20">
        <f t="shared" si="13"/>
        <v>0</v>
      </c>
      <c r="F171" s="21"/>
      <c r="G171" s="21"/>
      <c r="H171" s="20">
        <f t="shared" si="12"/>
        <v>0</v>
      </c>
      <c r="I171" s="114" t="e">
        <f t="shared" si="14"/>
        <v>#DIV/0!</v>
      </c>
      <c r="J171" s="136" t="s">
        <v>203</v>
      </c>
    </row>
    <row r="172" spans="1:10" s="6" customFormat="1" ht="11.25">
      <c r="A172" s="50"/>
      <c r="B172" s="44" t="s">
        <v>285</v>
      </c>
      <c r="C172" s="21">
        <v>38288130</v>
      </c>
      <c r="D172" s="161"/>
      <c r="E172" s="20">
        <f t="shared" si="13"/>
        <v>38288130</v>
      </c>
      <c r="F172" s="21"/>
      <c r="G172" s="21"/>
      <c r="H172" s="20">
        <f t="shared" si="12"/>
        <v>0</v>
      </c>
      <c r="I172" s="114">
        <f t="shared" si="14"/>
        <v>0</v>
      </c>
      <c r="J172" s="81" t="s">
        <v>163</v>
      </c>
    </row>
    <row r="173" spans="1:10" s="6" customFormat="1" ht="21.75" customHeight="1" hidden="1">
      <c r="A173" s="50"/>
      <c r="B173" s="44" t="s">
        <v>353</v>
      </c>
      <c r="C173" s="161"/>
      <c r="D173" s="161"/>
      <c r="E173" s="20">
        <f t="shared" si="13"/>
        <v>0</v>
      </c>
      <c r="F173" s="21"/>
      <c r="G173" s="21"/>
      <c r="H173" s="20">
        <f t="shared" si="12"/>
        <v>0</v>
      </c>
      <c r="I173" s="114" t="e">
        <f t="shared" si="14"/>
        <v>#DIV/0!</v>
      </c>
      <c r="J173" s="81" t="s">
        <v>67</v>
      </c>
    </row>
    <row r="174" spans="1:10" s="6" customFormat="1" ht="11.25">
      <c r="A174" s="50"/>
      <c r="B174" s="44" t="s">
        <v>286</v>
      </c>
      <c r="C174" s="21">
        <v>540000</v>
      </c>
      <c r="D174" s="161"/>
      <c r="E174" s="20">
        <f t="shared" si="13"/>
        <v>540000</v>
      </c>
      <c r="F174" s="21"/>
      <c r="G174" s="21"/>
      <c r="H174" s="20">
        <f t="shared" si="12"/>
        <v>0</v>
      </c>
      <c r="I174" s="114">
        <f t="shared" si="14"/>
        <v>0</v>
      </c>
      <c r="J174" s="81" t="s">
        <v>68</v>
      </c>
    </row>
    <row r="175" spans="1:10" s="6" customFormat="1" ht="22.5" hidden="1">
      <c r="A175" s="50"/>
      <c r="B175" s="44" t="s">
        <v>344</v>
      </c>
      <c r="C175" s="161"/>
      <c r="D175" s="161"/>
      <c r="E175" s="20">
        <f t="shared" si="13"/>
        <v>0</v>
      </c>
      <c r="F175" s="21"/>
      <c r="G175" s="21"/>
      <c r="H175" s="20">
        <f t="shared" si="12"/>
        <v>0</v>
      </c>
      <c r="I175" s="114" t="e">
        <f t="shared" si="14"/>
        <v>#DIV/0!</v>
      </c>
      <c r="J175" s="81"/>
    </row>
    <row r="176" spans="1:10" s="6" customFormat="1" ht="12.75" customHeight="1">
      <c r="A176" s="50"/>
      <c r="B176" s="44" t="s">
        <v>287</v>
      </c>
      <c r="C176" s="161"/>
      <c r="D176" s="21">
        <v>300000</v>
      </c>
      <c r="E176" s="20">
        <f t="shared" si="13"/>
        <v>300000</v>
      </c>
      <c r="F176" s="21"/>
      <c r="G176" s="21"/>
      <c r="H176" s="20">
        <f t="shared" si="12"/>
        <v>0</v>
      </c>
      <c r="I176" s="114">
        <f t="shared" si="14"/>
        <v>0</v>
      </c>
      <c r="J176" s="81" t="s">
        <v>69</v>
      </c>
    </row>
    <row r="177" spans="1:10" s="2" customFormat="1" ht="12" customHeight="1">
      <c r="A177" s="53"/>
      <c r="B177" s="28" t="s">
        <v>288</v>
      </c>
      <c r="C177" s="126"/>
      <c r="D177" s="15">
        <v>1386810</v>
      </c>
      <c r="E177" s="14">
        <f t="shared" si="13"/>
        <v>1386810</v>
      </c>
      <c r="F177" s="15"/>
      <c r="G177" s="15"/>
      <c r="H177" s="14">
        <f t="shared" si="12"/>
        <v>0</v>
      </c>
      <c r="I177" s="114">
        <f t="shared" si="14"/>
        <v>0</v>
      </c>
      <c r="J177" s="81" t="s">
        <v>70</v>
      </c>
    </row>
    <row r="178" spans="1:10" s="2" customFormat="1" ht="21" customHeight="1">
      <c r="A178" s="53"/>
      <c r="B178" s="28" t="s">
        <v>330</v>
      </c>
      <c r="C178" s="15">
        <v>28700</v>
      </c>
      <c r="D178" s="126"/>
      <c r="E178" s="14">
        <f t="shared" si="13"/>
        <v>28700</v>
      </c>
      <c r="F178" s="15"/>
      <c r="G178" s="15"/>
      <c r="H178" s="14">
        <f t="shared" si="12"/>
        <v>0</v>
      </c>
      <c r="I178" s="114">
        <f t="shared" si="14"/>
        <v>0</v>
      </c>
      <c r="J178" s="81" t="s">
        <v>71</v>
      </c>
    </row>
    <row r="179" spans="1:10" s="2" customFormat="1" ht="35.25" customHeight="1" hidden="1">
      <c r="A179" s="53"/>
      <c r="B179" s="28" t="s">
        <v>345</v>
      </c>
      <c r="C179" s="126"/>
      <c r="D179" s="126"/>
      <c r="E179" s="14">
        <f t="shared" si="13"/>
        <v>0</v>
      </c>
      <c r="F179" s="15"/>
      <c r="G179" s="15"/>
      <c r="H179" s="14">
        <f t="shared" si="12"/>
        <v>0</v>
      </c>
      <c r="I179" s="114" t="e">
        <f t="shared" si="14"/>
        <v>#DIV/0!</v>
      </c>
      <c r="J179" s="84" t="s">
        <v>207</v>
      </c>
    </row>
    <row r="180" spans="1:10" s="2" customFormat="1" ht="22.5" customHeight="1">
      <c r="A180" s="53"/>
      <c r="B180" s="28" t="s">
        <v>335</v>
      </c>
      <c r="C180" s="15">
        <v>1361000</v>
      </c>
      <c r="D180" s="15">
        <v>598000</v>
      </c>
      <c r="E180" s="14">
        <f aca="true" t="shared" si="15" ref="E180:E211">SUM(C180:D180)</f>
        <v>1959000</v>
      </c>
      <c r="F180" s="15"/>
      <c r="G180" s="15"/>
      <c r="H180" s="14">
        <f t="shared" si="12"/>
        <v>0</v>
      </c>
      <c r="I180" s="114">
        <f t="shared" si="14"/>
        <v>0</v>
      </c>
      <c r="J180" s="84" t="s">
        <v>72</v>
      </c>
    </row>
    <row r="181" spans="1:10" s="2" customFormat="1" ht="21.75" customHeight="1" hidden="1">
      <c r="A181" s="53"/>
      <c r="B181" s="33" t="s">
        <v>206</v>
      </c>
      <c r="C181" s="126"/>
      <c r="D181" s="126"/>
      <c r="E181" s="14">
        <f t="shared" si="15"/>
        <v>0</v>
      </c>
      <c r="F181" s="15"/>
      <c r="G181" s="15"/>
      <c r="H181" s="14">
        <f t="shared" si="12"/>
        <v>0</v>
      </c>
      <c r="I181" s="114" t="e">
        <f t="shared" si="14"/>
        <v>#DIV/0!</v>
      </c>
      <c r="J181" s="81" t="s">
        <v>208</v>
      </c>
    </row>
    <row r="182" spans="1:10" s="2" customFormat="1" ht="11.25" hidden="1">
      <c r="A182" s="53"/>
      <c r="B182" s="28" t="s">
        <v>289</v>
      </c>
      <c r="C182" s="126"/>
      <c r="D182" s="126"/>
      <c r="E182" s="14">
        <f t="shared" si="15"/>
        <v>0</v>
      </c>
      <c r="F182" s="15"/>
      <c r="G182" s="15"/>
      <c r="H182" s="14">
        <f t="shared" si="12"/>
        <v>0</v>
      </c>
      <c r="I182" s="114" t="e">
        <f t="shared" si="14"/>
        <v>#DIV/0!</v>
      </c>
      <c r="J182" s="81"/>
    </row>
    <row r="183" spans="1:10" s="2" customFormat="1" ht="11.25" hidden="1">
      <c r="A183" s="53"/>
      <c r="B183" s="28" t="s">
        <v>346</v>
      </c>
      <c r="C183" s="126"/>
      <c r="D183" s="126"/>
      <c r="E183" s="14">
        <f t="shared" si="15"/>
        <v>0</v>
      </c>
      <c r="F183" s="15"/>
      <c r="G183" s="15"/>
      <c r="H183" s="14">
        <f t="shared" si="12"/>
        <v>0</v>
      </c>
      <c r="I183" s="114" t="e">
        <f t="shared" si="14"/>
        <v>#DIV/0!</v>
      </c>
      <c r="J183" s="81"/>
    </row>
    <row r="184" spans="1:10" s="2" customFormat="1" ht="11.25" hidden="1">
      <c r="A184" s="53"/>
      <c r="B184" s="28" t="s">
        <v>290</v>
      </c>
      <c r="C184" s="126"/>
      <c r="D184" s="126"/>
      <c r="E184" s="14">
        <f t="shared" si="15"/>
        <v>0</v>
      </c>
      <c r="F184" s="15"/>
      <c r="G184" s="15"/>
      <c r="H184" s="14">
        <f t="shared" si="12"/>
        <v>0</v>
      </c>
      <c r="I184" s="114" t="e">
        <f t="shared" si="14"/>
        <v>#DIV/0!</v>
      </c>
      <c r="J184" s="81" t="s">
        <v>73</v>
      </c>
    </row>
    <row r="185" spans="1:10" s="2" customFormat="1" ht="19.5" customHeight="1" hidden="1">
      <c r="A185" s="53"/>
      <c r="B185" s="28" t="s">
        <v>291</v>
      </c>
      <c r="C185" s="126"/>
      <c r="D185" s="126"/>
      <c r="E185" s="14">
        <f t="shared" si="15"/>
        <v>0</v>
      </c>
      <c r="F185" s="15"/>
      <c r="G185" s="15"/>
      <c r="H185" s="14">
        <f t="shared" si="12"/>
        <v>0</v>
      </c>
      <c r="I185" s="114" t="e">
        <f aca="true" t="shared" si="16" ref="I185:I216">H185/E185</f>
        <v>#DIV/0!</v>
      </c>
      <c r="J185" s="79"/>
    </row>
    <row r="186" spans="1:10" s="34" customFormat="1" ht="12" customHeight="1">
      <c r="A186" s="53"/>
      <c r="B186" s="28" t="s">
        <v>292</v>
      </c>
      <c r="C186" s="15">
        <v>40185</v>
      </c>
      <c r="D186" s="15"/>
      <c r="E186" s="14">
        <f t="shared" si="15"/>
        <v>40185</v>
      </c>
      <c r="F186" s="15"/>
      <c r="G186" s="15"/>
      <c r="H186" s="14">
        <f t="shared" si="12"/>
        <v>0</v>
      </c>
      <c r="I186" s="114">
        <f t="shared" si="16"/>
        <v>0</v>
      </c>
      <c r="J186" s="79" t="s">
        <v>74</v>
      </c>
    </row>
    <row r="187" spans="1:10" s="34" customFormat="1" ht="11.25" hidden="1">
      <c r="A187" s="53"/>
      <c r="B187" s="28" t="s">
        <v>293</v>
      </c>
      <c r="C187" s="15"/>
      <c r="D187" s="15"/>
      <c r="E187" s="14">
        <f t="shared" si="15"/>
        <v>0</v>
      </c>
      <c r="F187" s="15"/>
      <c r="G187" s="15"/>
      <c r="H187" s="14">
        <f t="shared" si="12"/>
        <v>0</v>
      </c>
      <c r="I187" s="114" t="e">
        <f t="shared" si="16"/>
        <v>#DIV/0!</v>
      </c>
      <c r="J187" s="85"/>
    </row>
    <row r="188" spans="1:10" s="2" customFormat="1" ht="11.25" customHeight="1">
      <c r="A188" s="56"/>
      <c r="B188" s="43" t="s">
        <v>294</v>
      </c>
      <c r="C188" s="15"/>
      <c r="D188" s="15">
        <v>100000</v>
      </c>
      <c r="E188" s="14">
        <f t="shared" si="15"/>
        <v>100000</v>
      </c>
      <c r="F188" s="15"/>
      <c r="G188" s="15"/>
      <c r="H188" s="14">
        <f t="shared" si="12"/>
        <v>0</v>
      </c>
      <c r="I188" s="114">
        <f t="shared" si="16"/>
        <v>0</v>
      </c>
      <c r="J188" s="85" t="s">
        <v>75</v>
      </c>
    </row>
    <row r="189" spans="1:10" s="2" customFormat="1" ht="12" customHeight="1">
      <c r="A189" s="56"/>
      <c r="B189" s="43" t="s">
        <v>295</v>
      </c>
      <c r="C189" s="15"/>
      <c r="D189" s="15">
        <v>69000</v>
      </c>
      <c r="E189" s="14">
        <f t="shared" si="15"/>
        <v>69000</v>
      </c>
      <c r="F189" s="15"/>
      <c r="G189" s="15"/>
      <c r="H189" s="14">
        <f t="shared" si="12"/>
        <v>0</v>
      </c>
      <c r="I189" s="114">
        <f t="shared" si="16"/>
        <v>0</v>
      </c>
      <c r="J189" s="85" t="s">
        <v>76</v>
      </c>
    </row>
    <row r="190" spans="1:10" s="2" customFormat="1" ht="14.25" customHeight="1">
      <c r="A190" s="56"/>
      <c r="B190" s="43" t="s">
        <v>296</v>
      </c>
      <c r="C190" s="15"/>
      <c r="D190" s="15">
        <v>132000</v>
      </c>
      <c r="E190" s="14">
        <f t="shared" si="15"/>
        <v>132000</v>
      </c>
      <c r="F190" s="15"/>
      <c r="G190" s="15"/>
      <c r="H190" s="14">
        <f t="shared" si="12"/>
        <v>0</v>
      </c>
      <c r="I190" s="114">
        <f t="shared" si="16"/>
        <v>0</v>
      </c>
      <c r="J190" s="81" t="s">
        <v>153</v>
      </c>
    </row>
    <row r="191" spans="1:10" s="31" customFormat="1" ht="12" customHeight="1">
      <c r="A191" s="54"/>
      <c r="B191" s="33" t="s">
        <v>297</v>
      </c>
      <c r="C191" s="15"/>
      <c r="D191" s="15">
        <v>99600</v>
      </c>
      <c r="E191" s="14">
        <f t="shared" si="15"/>
        <v>99600</v>
      </c>
      <c r="F191" s="15"/>
      <c r="G191" s="15"/>
      <c r="H191" s="14">
        <f t="shared" si="12"/>
        <v>0</v>
      </c>
      <c r="I191" s="114">
        <f t="shared" si="16"/>
        <v>0</v>
      </c>
      <c r="J191" s="76" t="s">
        <v>77</v>
      </c>
    </row>
    <row r="192" spans="1:10" s="31" customFormat="1" ht="36" customHeight="1">
      <c r="A192" s="24">
        <v>2</v>
      </c>
      <c r="B192" s="26" t="s">
        <v>298</v>
      </c>
      <c r="C192" s="45">
        <f>SUM(C193:C198)</f>
        <v>35500</v>
      </c>
      <c r="D192" s="45">
        <f>SUM(D193:D198)</f>
        <v>0</v>
      </c>
      <c r="E192" s="27">
        <f t="shared" si="15"/>
        <v>35500</v>
      </c>
      <c r="F192" s="45">
        <f>SUM(F193:F198)</f>
        <v>0</v>
      </c>
      <c r="G192" s="45">
        <f>SUM(G193:G198)</f>
        <v>0</v>
      </c>
      <c r="H192" s="27">
        <f t="shared" si="12"/>
        <v>0</v>
      </c>
      <c r="I192" s="114">
        <f t="shared" si="16"/>
        <v>0</v>
      </c>
      <c r="J192" s="76"/>
    </row>
    <row r="193" spans="1:10" s="36" customFormat="1" ht="12" hidden="1">
      <c r="A193" s="54"/>
      <c r="B193" s="35" t="s">
        <v>299</v>
      </c>
      <c r="C193" s="126"/>
      <c r="D193" s="126"/>
      <c r="E193" s="27">
        <f t="shared" si="15"/>
        <v>0</v>
      </c>
      <c r="F193" s="15"/>
      <c r="G193" s="15"/>
      <c r="H193" s="27">
        <f t="shared" si="12"/>
        <v>0</v>
      </c>
      <c r="I193" s="114" t="e">
        <f t="shared" si="16"/>
        <v>#DIV/0!</v>
      </c>
      <c r="J193" s="76"/>
    </row>
    <row r="194" spans="1:10" s="36" customFormat="1" ht="11.25" hidden="1">
      <c r="A194" s="54"/>
      <c r="B194" s="35" t="s">
        <v>300</v>
      </c>
      <c r="C194" s="126"/>
      <c r="D194" s="126"/>
      <c r="E194" s="14">
        <f t="shared" si="15"/>
        <v>0</v>
      </c>
      <c r="F194" s="15"/>
      <c r="G194" s="15"/>
      <c r="H194" s="14">
        <f t="shared" si="12"/>
        <v>0</v>
      </c>
      <c r="I194" s="114" t="e">
        <f t="shared" si="16"/>
        <v>#DIV/0!</v>
      </c>
      <c r="J194" s="71"/>
    </row>
    <row r="195" spans="1:10" s="36" customFormat="1" ht="11.25" hidden="1">
      <c r="A195" s="54"/>
      <c r="B195" s="35" t="s">
        <v>301</v>
      </c>
      <c r="C195" s="126"/>
      <c r="D195" s="126"/>
      <c r="E195" s="14">
        <f t="shared" si="15"/>
        <v>0</v>
      </c>
      <c r="F195" s="15"/>
      <c r="G195" s="15"/>
      <c r="H195" s="14">
        <f t="shared" si="12"/>
        <v>0</v>
      </c>
      <c r="I195" s="114" t="e">
        <f t="shared" si="16"/>
        <v>#DIV/0!</v>
      </c>
      <c r="J195" s="71"/>
    </row>
    <row r="196" spans="1:10" s="2" customFormat="1" ht="11.25">
      <c r="A196" s="53"/>
      <c r="B196" s="33" t="s">
        <v>302</v>
      </c>
      <c r="C196" s="15">
        <v>35500</v>
      </c>
      <c r="D196" s="126"/>
      <c r="E196" s="14">
        <f t="shared" si="15"/>
        <v>35500</v>
      </c>
      <c r="F196" s="15"/>
      <c r="G196" s="15"/>
      <c r="H196" s="14">
        <f t="shared" si="12"/>
        <v>0</v>
      </c>
      <c r="I196" s="114">
        <f t="shared" si="16"/>
        <v>0</v>
      </c>
      <c r="J196" s="81" t="s">
        <v>78</v>
      </c>
    </row>
    <row r="197" spans="1:10" s="2" customFormat="1" ht="42.75" customHeight="1" hidden="1">
      <c r="A197" s="53"/>
      <c r="B197" s="33" t="s">
        <v>387</v>
      </c>
      <c r="C197" s="126"/>
      <c r="D197" s="126"/>
      <c r="E197" s="14">
        <f t="shared" si="15"/>
        <v>0</v>
      </c>
      <c r="F197" s="15"/>
      <c r="G197" s="15"/>
      <c r="H197" s="14">
        <f t="shared" si="12"/>
        <v>0</v>
      </c>
      <c r="I197" s="114" t="e">
        <f t="shared" si="16"/>
        <v>#DIV/0!</v>
      </c>
      <c r="J197" s="81"/>
    </row>
    <row r="198" spans="1:15" s="6" customFormat="1" ht="21.75" customHeight="1">
      <c r="A198" s="53"/>
      <c r="B198" s="33" t="s">
        <v>123</v>
      </c>
      <c r="C198" s="126"/>
      <c r="D198" s="126"/>
      <c r="E198" s="14">
        <f t="shared" si="15"/>
        <v>0</v>
      </c>
      <c r="F198" s="15"/>
      <c r="G198" s="15"/>
      <c r="H198" s="14">
        <f t="shared" si="12"/>
        <v>0</v>
      </c>
      <c r="I198" s="114" t="e">
        <f t="shared" si="16"/>
        <v>#DIV/0!</v>
      </c>
      <c r="J198" s="220" t="s">
        <v>129</v>
      </c>
      <c r="K198" s="221"/>
      <c r="L198" s="221"/>
      <c r="M198" s="221"/>
      <c r="N198" s="221"/>
      <c r="O198" s="221"/>
    </row>
    <row r="199" spans="1:10" s="1" customFormat="1" ht="27.75" customHeight="1">
      <c r="A199" s="24">
        <v>3</v>
      </c>
      <c r="B199" s="26" t="s">
        <v>303</v>
      </c>
      <c r="C199" s="27">
        <f>SUM(C200:C221)</f>
        <v>2810635</v>
      </c>
      <c r="D199" s="27">
        <f>SUM(D200:D221)</f>
        <v>1050960</v>
      </c>
      <c r="E199" s="27">
        <f t="shared" si="15"/>
        <v>3861595</v>
      </c>
      <c r="F199" s="27">
        <f>SUM(F200:F221)</f>
        <v>0</v>
      </c>
      <c r="G199" s="27">
        <f>SUM(G200:G221)</f>
        <v>0</v>
      </c>
      <c r="H199" s="27">
        <f t="shared" si="12"/>
        <v>0</v>
      </c>
      <c r="I199" s="114">
        <f t="shared" si="16"/>
        <v>0</v>
      </c>
      <c r="J199" s="76"/>
    </row>
    <row r="200" spans="1:10" s="1" customFormat="1" ht="11.25" hidden="1">
      <c r="A200" s="53"/>
      <c r="B200" s="43" t="s">
        <v>304</v>
      </c>
      <c r="C200" s="126"/>
      <c r="D200" s="126"/>
      <c r="E200" s="14">
        <f t="shared" si="15"/>
        <v>0</v>
      </c>
      <c r="F200" s="15"/>
      <c r="G200" s="15"/>
      <c r="H200" s="14">
        <f t="shared" si="12"/>
        <v>0</v>
      </c>
      <c r="I200" s="114" t="e">
        <f t="shared" si="16"/>
        <v>#DIV/0!</v>
      </c>
      <c r="J200" s="87" t="s">
        <v>99</v>
      </c>
    </row>
    <row r="201" spans="1:10" s="1" customFormat="1" ht="12" customHeight="1">
      <c r="A201" s="53"/>
      <c r="B201" s="43" t="s">
        <v>305</v>
      </c>
      <c r="C201" s="15">
        <v>112635</v>
      </c>
      <c r="D201" s="166"/>
      <c r="E201" s="14">
        <f t="shared" si="15"/>
        <v>112635</v>
      </c>
      <c r="F201" s="15"/>
      <c r="G201" s="14"/>
      <c r="H201" s="14">
        <f aca="true" t="shared" si="17" ref="H201:H225">SUM(F201:G201)</f>
        <v>0</v>
      </c>
      <c r="I201" s="114">
        <f t="shared" si="16"/>
        <v>0</v>
      </c>
      <c r="J201" s="91" t="s">
        <v>199</v>
      </c>
    </row>
    <row r="202" spans="1:10" s="1" customFormat="1" ht="15" customHeight="1" hidden="1">
      <c r="A202" s="53"/>
      <c r="B202" s="12" t="s">
        <v>148</v>
      </c>
      <c r="C202" s="126"/>
      <c r="D202" s="126"/>
      <c r="E202" s="14">
        <f t="shared" si="15"/>
        <v>0</v>
      </c>
      <c r="F202" s="15"/>
      <c r="G202" s="15"/>
      <c r="H202" s="14">
        <f t="shared" si="17"/>
        <v>0</v>
      </c>
      <c r="I202" s="114" t="e">
        <f t="shared" si="16"/>
        <v>#DIV/0!</v>
      </c>
      <c r="J202" s="16" t="s">
        <v>205</v>
      </c>
    </row>
    <row r="203" spans="1:10" s="1" customFormat="1" ht="33.75" customHeight="1" hidden="1">
      <c r="A203" s="53"/>
      <c r="B203" s="12" t="s">
        <v>182</v>
      </c>
      <c r="C203" s="126"/>
      <c r="D203" s="126"/>
      <c r="E203" s="14">
        <f t="shared" si="15"/>
        <v>0</v>
      </c>
      <c r="F203" s="15"/>
      <c r="G203" s="15"/>
      <c r="H203" s="14">
        <f t="shared" si="17"/>
        <v>0</v>
      </c>
      <c r="I203" s="114" t="e">
        <f t="shared" si="16"/>
        <v>#DIV/0!</v>
      </c>
      <c r="J203" s="135" t="s">
        <v>183</v>
      </c>
    </row>
    <row r="204" spans="1:10" s="1" customFormat="1" ht="45" customHeight="1" hidden="1">
      <c r="A204" s="53"/>
      <c r="B204" s="12" t="s">
        <v>369</v>
      </c>
      <c r="C204" s="126"/>
      <c r="D204" s="126"/>
      <c r="E204" s="14">
        <f t="shared" si="15"/>
        <v>0</v>
      </c>
      <c r="F204" s="15"/>
      <c r="G204" s="15"/>
      <c r="H204" s="14">
        <f t="shared" si="17"/>
        <v>0</v>
      </c>
      <c r="I204" s="114" t="e">
        <f t="shared" si="16"/>
        <v>#DIV/0!</v>
      </c>
      <c r="J204" s="135" t="s">
        <v>80</v>
      </c>
    </row>
    <row r="205" spans="1:10" s="1" customFormat="1" ht="16.5" customHeight="1" hidden="1">
      <c r="A205" s="53"/>
      <c r="B205" s="12" t="s">
        <v>168</v>
      </c>
      <c r="C205" s="126"/>
      <c r="D205" s="126"/>
      <c r="E205" s="14">
        <f t="shared" si="15"/>
        <v>0</v>
      </c>
      <c r="F205" s="15"/>
      <c r="G205" s="15"/>
      <c r="H205" s="14">
        <f t="shared" si="17"/>
        <v>0</v>
      </c>
      <c r="I205" s="114" t="e">
        <f t="shared" si="16"/>
        <v>#DIV/0!</v>
      </c>
      <c r="J205" s="135" t="s">
        <v>169</v>
      </c>
    </row>
    <row r="206" spans="1:10" s="1" customFormat="1" ht="11.25" customHeight="1" hidden="1">
      <c r="A206" s="53"/>
      <c r="B206" s="12" t="s">
        <v>177</v>
      </c>
      <c r="C206" s="126"/>
      <c r="D206" s="126"/>
      <c r="E206" s="14">
        <f t="shared" si="15"/>
        <v>0</v>
      </c>
      <c r="F206" s="15"/>
      <c r="G206" s="15"/>
      <c r="H206" s="14">
        <f t="shared" si="17"/>
        <v>0</v>
      </c>
      <c r="I206" s="114" t="e">
        <f t="shared" si="16"/>
        <v>#DIV/0!</v>
      </c>
      <c r="J206" s="1" t="s">
        <v>204</v>
      </c>
    </row>
    <row r="207" spans="1:10" s="1" customFormat="1" ht="26.25" customHeight="1" hidden="1">
      <c r="A207" s="53"/>
      <c r="B207" s="12" t="s">
        <v>184</v>
      </c>
      <c r="C207" s="126"/>
      <c r="D207" s="126"/>
      <c r="E207" s="14">
        <f t="shared" si="15"/>
        <v>0</v>
      </c>
      <c r="F207" s="15"/>
      <c r="G207" s="15"/>
      <c r="H207" s="14">
        <f t="shared" si="17"/>
        <v>0</v>
      </c>
      <c r="I207" s="114" t="e">
        <f t="shared" si="16"/>
        <v>#DIV/0!</v>
      </c>
      <c r="J207" s="1" t="s">
        <v>185</v>
      </c>
    </row>
    <row r="208" spans="1:10" s="1" customFormat="1" ht="25.5" customHeight="1" hidden="1">
      <c r="A208" s="53"/>
      <c r="B208" s="12" t="s">
        <v>197</v>
      </c>
      <c r="C208" s="126"/>
      <c r="D208" s="126"/>
      <c r="E208" s="14">
        <f t="shared" si="15"/>
        <v>0</v>
      </c>
      <c r="F208" s="15"/>
      <c r="G208" s="15"/>
      <c r="H208" s="14">
        <f t="shared" si="17"/>
        <v>0</v>
      </c>
      <c r="I208" s="114" t="e">
        <f t="shared" si="16"/>
        <v>#DIV/0!</v>
      </c>
      <c r="J208" s="1" t="s">
        <v>198</v>
      </c>
    </row>
    <row r="209" spans="1:10" s="1" customFormat="1" ht="21" customHeight="1" hidden="1">
      <c r="A209" s="53"/>
      <c r="B209" s="33" t="s">
        <v>186</v>
      </c>
      <c r="C209" s="126"/>
      <c r="D209" s="126"/>
      <c r="E209" s="14">
        <f t="shared" si="15"/>
        <v>0</v>
      </c>
      <c r="F209" s="15"/>
      <c r="G209" s="15"/>
      <c r="H209" s="14">
        <f t="shared" si="17"/>
        <v>0</v>
      </c>
      <c r="I209" s="114" t="e">
        <f t="shared" si="16"/>
        <v>#DIV/0!</v>
      </c>
      <c r="J209" s="16" t="s">
        <v>187</v>
      </c>
    </row>
    <row r="210" spans="1:10" s="16" customFormat="1" ht="11.25" hidden="1">
      <c r="A210" s="48"/>
      <c r="B210" s="12" t="s">
        <v>306</v>
      </c>
      <c r="C210" s="126"/>
      <c r="D210" s="126"/>
      <c r="E210" s="14">
        <f t="shared" si="15"/>
        <v>0</v>
      </c>
      <c r="F210" s="15"/>
      <c r="G210" s="15"/>
      <c r="H210" s="14">
        <f t="shared" si="17"/>
        <v>0</v>
      </c>
      <c r="I210" s="114" t="e">
        <f t="shared" si="16"/>
        <v>#DIV/0!</v>
      </c>
      <c r="J210" s="93" t="s">
        <v>81</v>
      </c>
    </row>
    <row r="211" spans="1:10" s="16" customFormat="1" ht="11.25" hidden="1">
      <c r="A211" s="48"/>
      <c r="B211" s="12" t="s">
        <v>305</v>
      </c>
      <c r="C211" s="126"/>
      <c r="D211" s="126"/>
      <c r="E211" s="14">
        <f t="shared" si="15"/>
        <v>0</v>
      </c>
      <c r="F211" s="15"/>
      <c r="G211" s="15"/>
      <c r="H211" s="14">
        <f t="shared" si="17"/>
        <v>0</v>
      </c>
      <c r="I211" s="114" t="e">
        <f t="shared" si="16"/>
        <v>#DIV/0!</v>
      </c>
      <c r="J211" s="93" t="s">
        <v>81</v>
      </c>
    </row>
    <row r="212" spans="1:10" s="1" customFormat="1" ht="11.25" hidden="1">
      <c r="A212" s="53"/>
      <c r="B212" s="12" t="s">
        <v>307</v>
      </c>
      <c r="C212" s="166"/>
      <c r="D212" s="166"/>
      <c r="E212" s="14">
        <f aca="true" t="shared" si="18" ref="E212:E232">SUM(C212:D212)</f>
        <v>0</v>
      </c>
      <c r="F212" s="14"/>
      <c r="G212" s="14"/>
      <c r="H212" s="14">
        <f t="shared" si="17"/>
        <v>0</v>
      </c>
      <c r="I212" s="114" t="e">
        <f t="shared" si="16"/>
        <v>#DIV/0!</v>
      </c>
      <c r="J212" s="93"/>
    </row>
    <row r="213" spans="1:10" s="1" customFormat="1" ht="22.5" hidden="1">
      <c r="A213" s="53"/>
      <c r="B213" s="43" t="s">
        <v>347</v>
      </c>
      <c r="C213" s="166"/>
      <c r="D213" s="166"/>
      <c r="E213" s="14">
        <f t="shared" si="18"/>
        <v>0</v>
      </c>
      <c r="F213" s="14"/>
      <c r="G213" s="14"/>
      <c r="H213" s="14">
        <f t="shared" si="17"/>
        <v>0</v>
      </c>
      <c r="I213" s="114" t="e">
        <f t="shared" si="16"/>
        <v>#DIV/0!</v>
      </c>
      <c r="J213" s="93"/>
    </row>
    <row r="214" spans="1:10" s="1" customFormat="1" ht="22.5" hidden="1">
      <c r="A214" s="53"/>
      <c r="B214" s="43" t="s">
        <v>348</v>
      </c>
      <c r="C214" s="166"/>
      <c r="D214" s="166"/>
      <c r="E214" s="14">
        <f t="shared" si="18"/>
        <v>0</v>
      </c>
      <c r="F214" s="14"/>
      <c r="G214" s="14"/>
      <c r="H214" s="14">
        <f t="shared" si="17"/>
        <v>0</v>
      </c>
      <c r="I214" s="114" t="e">
        <f t="shared" si="16"/>
        <v>#DIV/0!</v>
      </c>
      <c r="J214" s="93"/>
    </row>
    <row r="215" spans="1:10" s="1" customFormat="1" ht="33.75" hidden="1">
      <c r="A215" s="53"/>
      <c r="B215" s="12" t="s">
        <v>390</v>
      </c>
      <c r="C215" s="166"/>
      <c r="D215" s="166"/>
      <c r="E215" s="14">
        <f t="shared" si="18"/>
        <v>0</v>
      </c>
      <c r="F215" s="14"/>
      <c r="G215" s="15"/>
      <c r="H215" s="14">
        <f t="shared" si="17"/>
        <v>0</v>
      </c>
      <c r="I215" s="114" t="e">
        <f t="shared" si="16"/>
        <v>#DIV/0!</v>
      </c>
      <c r="J215" s="93" t="s">
        <v>100</v>
      </c>
    </row>
    <row r="216" spans="1:10" s="1" customFormat="1" ht="34.5" customHeight="1" hidden="1">
      <c r="A216" s="53"/>
      <c r="B216" s="12" t="s">
        <v>388</v>
      </c>
      <c r="C216" s="166"/>
      <c r="D216" s="166"/>
      <c r="E216" s="14">
        <f t="shared" si="18"/>
        <v>0</v>
      </c>
      <c r="F216" s="14"/>
      <c r="G216" s="15"/>
      <c r="H216" s="14">
        <f t="shared" si="17"/>
        <v>0</v>
      </c>
      <c r="I216" s="114" t="e">
        <f t="shared" si="16"/>
        <v>#DIV/0!</v>
      </c>
      <c r="J216" s="93" t="s">
        <v>101</v>
      </c>
    </row>
    <row r="217" spans="1:10" s="1" customFormat="1" ht="11.25" hidden="1">
      <c r="A217" s="53"/>
      <c r="B217" s="12" t="s">
        <v>389</v>
      </c>
      <c r="C217" s="166"/>
      <c r="D217" s="166"/>
      <c r="E217" s="14">
        <f t="shared" si="18"/>
        <v>0</v>
      </c>
      <c r="F217" s="15"/>
      <c r="G217" s="15"/>
      <c r="H217" s="14">
        <f t="shared" si="17"/>
        <v>0</v>
      </c>
      <c r="I217" s="114" t="e">
        <f aca="true" t="shared" si="19" ref="I217:I232">H217/E217</f>
        <v>#DIV/0!</v>
      </c>
      <c r="J217" s="93" t="s">
        <v>102</v>
      </c>
    </row>
    <row r="218" spans="1:10" s="1" customFormat="1" ht="45" hidden="1">
      <c r="A218" s="53"/>
      <c r="B218" s="43" t="s">
        <v>379</v>
      </c>
      <c r="C218" s="166"/>
      <c r="D218" s="166"/>
      <c r="E218" s="14">
        <f t="shared" si="18"/>
        <v>0</v>
      </c>
      <c r="F218" s="14"/>
      <c r="G218" s="15"/>
      <c r="H218" s="14">
        <f t="shared" si="17"/>
        <v>0</v>
      </c>
      <c r="I218" s="114" t="e">
        <f t="shared" si="19"/>
        <v>#DIV/0!</v>
      </c>
      <c r="J218" s="93" t="s">
        <v>103</v>
      </c>
    </row>
    <row r="219" spans="1:10" s="1" customFormat="1" ht="22.5" customHeight="1" hidden="1">
      <c r="A219" s="53"/>
      <c r="B219" s="43" t="s">
        <v>349</v>
      </c>
      <c r="C219" s="126"/>
      <c r="D219" s="166"/>
      <c r="E219" s="14">
        <f t="shared" si="18"/>
        <v>0</v>
      </c>
      <c r="F219" s="15"/>
      <c r="G219" s="14"/>
      <c r="H219" s="14">
        <f t="shared" si="17"/>
        <v>0</v>
      </c>
      <c r="I219" s="114" t="e">
        <f t="shared" si="19"/>
        <v>#DIV/0!</v>
      </c>
      <c r="J219" s="88" t="s">
        <v>120</v>
      </c>
    </row>
    <row r="220" spans="1:10" s="1" customFormat="1" ht="15" customHeight="1" hidden="1">
      <c r="A220" s="53"/>
      <c r="B220" s="43" t="s">
        <v>307</v>
      </c>
      <c r="C220" s="166"/>
      <c r="D220" s="166"/>
      <c r="E220" s="14">
        <f t="shared" si="18"/>
        <v>0</v>
      </c>
      <c r="F220" s="15"/>
      <c r="G220" s="14"/>
      <c r="H220" s="14">
        <f t="shared" si="17"/>
        <v>0</v>
      </c>
      <c r="I220" s="114" t="e">
        <f t="shared" si="19"/>
        <v>#DIV/0!</v>
      </c>
      <c r="J220" s="91" t="s">
        <v>79</v>
      </c>
    </row>
    <row r="221" spans="1:10" s="2" customFormat="1" ht="11.25" customHeight="1">
      <c r="A221" s="53"/>
      <c r="B221" s="43" t="s">
        <v>308</v>
      </c>
      <c r="C221" s="15">
        <f>SUM(C223:C232)</f>
        <v>2698000</v>
      </c>
      <c r="D221" s="15">
        <f>SUM(D223:D232)</f>
        <v>1050960</v>
      </c>
      <c r="E221" s="14">
        <f t="shared" si="18"/>
        <v>3748960</v>
      </c>
      <c r="F221" s="15">
        <f>SUM(F223:F232)</f>
        <v>0</v>
      </c>
      <c r="G221" s="15">
        <f>SUM(G223:G232)</f>
        <v>0</v>
      </c>
      <c r="H221" s="14">
        <f t="shared" si="17"/>
        <v>0</v>
      </c>
      <c r="I221" s="114">
        <f t="shared" si="19"/>
        <v>0</v>
      </c>
      <c r="J221" s="106" t="s">
        <v>191</v>
      </c>
    </row>
    <row r="222" spans="1:10" s="16" customFormat="1" ht="11.25" hidden="1">
      <c r="A222" s="48"/>
      <c r="B222" s="46" t="s">
        <v>309</v>
      </c>
      <c r="C222" s="126"/>
      <c r="D222" s="126"/>
      <c r="E222" s="14">
        <f t="shared" si="18"/>
        <v>0</v>
      </c>
      <c r="F222" s="15"/>
      <c r="G222" s="15"/>
      <c r="H222" s="14">
        <f t="shared" si="17"/>
        <v>0</v>
      </c>
      <c r="I222" s="114" t="e">
        <f t="shared" si="19"/>
        <v>#DIV/0!</v>
      </c>
      <c r="J222" s="87"/>
    </row>
    <row r="223" spans="1:10" s="22" customFormat="1" ht="12.75" customHeight="1">
      <c r="A223" s="49"/>
      <c r="B223" s="60" t="s">
        <v>361</v>
      </c>
      <c r="C223" s="21">
        <v>955000</v>
      </c>
      <c r="D223" s="161"/>
      <c r="E223" s="20">
        <f t="shared" si="18"/>
        <v>955000</v>
      </c>
      <c r="F223" s="21"/>
      <c r="G223" s="21"/>
      <c r="H223" s="20">
        <f t="shared" si="17"/>
        <v>0</v>
      </c>
      <c r="I223" s="114">
        <f t="shared" si="19"/>
        <v>0</v>
      </c>
      <c r="J223" s="92" t="s">
        <v>82</v>
      </c>
    </row>
    <row r="224" spans="1:10" s="22" customFormat="1" ht="19.5" customHeight="1" hidden="1">
      <c r="A224" s="49"/>
      <c r="B224" s="60" t="s">
        <v>368</v>
      </c>
      <c r="C224" s="161"/>
      <c r="D224" s="161"/>
      <c r="E224" s="20">
        <f t="shared" si="18"/>
        <v>0</v>
      </c>
      <c r="F224" s="21"/>
      <c r="G224" s="21"/>
      <c r="H224" s="20">
        <f t="shared" si="17"/>
        <v>0</v>
      </c>
      <c r="I224" s="114" t="e">
        <f t="shared" si="19"/>
        <v>#DIV/0!</v>
      </c>
      <c r="J224" s="92" t="s">
        <v>104</v>
      </c>
    </row>
    <row r="225" spans="1:10" s="31" customFormat="1" ht="11.25">
      <c r="A225" s="54"/>
      <c r="B225" s="60" t="s">
        <v>310</v>
      </c>
      <c r="C225" s="161"/>
      <c r="D225" s="21">
        <v>906000</v>
      </c>
      <c r="E225" s="20">
        <f t="shared" si="18"/>
        <v>906000</v>
      </c>
      <c r="F225" s="21"/>
      <c r="G225" s="21"/>
      <c r="H225" s="20">
        <f t="shared" si="17"/>
        <v>0</v>
      </c>
      <c r="I225" s="114">
        <f t="shared" si="19"/>
        <v>0</v>
      </c>
      <c r="J225" s="93" t="s">
        <v>131</v>
      </c>
    </row>
    <row r="226" spans="1:10" s="31" customFormat="1" ht="15" customHeight="1">
      <c r="A226" s="54"/>
      <c r="B226" s="60" t="s">
        <v>311</v>
      </c>
      <c r="C226" s="161"/>
      <c r="D226" s="21">
        <v>144960</v>
      </c>
      <c r="E226" s="20">
        <f t="shared" si="18"/>
        <v>144960</v>
      </c>
      <c r="F226" s="62"/>
      <c r="G226" s="21"/>
      <c r="H226" s="20">
        <f>SUM(G226:G226)</f>
        <v>0</v>
      </c>
      <c r="I226" s="114">
        <f t="shared" si="19"/>
        <v>0</v>
      </c>
      <c r="J226" s="93" t="s">
        <v>105</v>
      </c>
    </row>
    <row r="227" spans="1:10" s="31" customFormat="1" ht="15" customHeight="1" hidden="1">
      <c r="A227" s="54"/>
      <c r="B227" s="60" t="s">
        <v>264</v>
      </c>
      <c r="C227" s="161"/>
      <c r="D227" s="161"/>
      <c r="E227" s="20">
        <f t="shared" si="18"/>
        <v>0</v>
      </c>
      <c r="F227" s="21"/>
      <c r="G227" s="21"/>
      <c r="H227" s="20">
        <f aca="true" t="shared" si="20" ref="H227:H232">SUM(F227:G227)</f>
        <v>0</v>
      </c>
      <c r="I227" s="114" t="e">
        <f t="shared" si="19"/>
        <v>#DIV/0!</v>
      </c>
      <c r="J227" s="93" t="s">
        <v>192</v>
      </c>
    </row>
    <row r="228" spans="1:10" s="31" customFormat="1" ht="11.25" hidden="1">
      <c r="A228" s="54"/>
      <c r="B228" s="60" t="s">
        <v>263</v>
      </c>
      <c r="C228" s="161"/>
      <c r="D228" s="161"/>
      <c r="E228" s="20">
        <f t="shared" si="18"/>
        <v>0</v>
      </c>
      <c r="F228" s="21"/>
      <c r="G228" s="21"/>
      <c r="H228" s="20">
        <f t="shared" si="20"/>
        <v>0</v>
      </c>
      <c r="I228" s="114" t="e">
        <f t="shared" si="19"/>
        <v>#DIV/0!</v>
      </c>
      <c r="J228" s="93"/>
    </row>
    <row r="229" spans="1:10" s="31" customFormat="1" ht="11.25" hidden="1">
      <c r="A229" s="54"/>
      <c r="B229" s="60" t="s">
        <v>315</v>
      </c>
      <c r="C229" s="161"/>
      <c r="D229" s="161"/>
      <c r="E229" s="20">
        <f t="shared" si="18"/>
        <v>0</v>
      </c>
      <c r="F229" s="21"/>
      <c r="G229" s="21"/>
      <c r="H229" s="20">
        <f t="shared" si="20"/>
        <v>0</v>
      </c>
      <c r="I229" s="114" t="e">
        <f t="shared" si="19"/>
        <v>#DIV/0!</v>
      </c>
      <c r="J229" s="93"/>
    </row>
    <row r="230" spans="1:10" s="6" customFormat="1" ht="11.25">
      <c r="A230" s="50"/>
      <c r="B230" s="61" t="s">
        <v>312</v>
      </c>
      <c r="C230" s="21">
        <v>260000</v>
      </c>
      <c r="D230" s="161"/>
      <c r="E230" s="20">
        <f t="shared" si="18"/>
        <v>260000</v>
      </c>
      <c r="F230" s="21"/>
      <c r="G230" s="21"/>
      <c r="H230" s="20">
        <f t="shared" si="20"/>
        <v>0</v>
      </c>
      <c r="I230" s="114">
        <f t="shared" si="19"/>
        <v>0</v>
      </c>
      <c r="J230" s="88" t="s">
        <v>83</v>
      </c>
    </row>
    <row r="231" spans="1:10" s="6" customFormat="1" ht="11.25" hidden="1">
      <c r="A231" s="50"/>
      <c r="B231" s="44" t="s">
        <v>315</v>
      </c>
      <c r="C231" s="161"/>
      <c r="D231" s="161"/>
      <c r="E231" s="20">
        <f t="shared" si="18"/>
        <v>0</v>
      </c>
      <c r="F231" s="21"/>
      <c r="G231" s="21"/>
      <c r="H231" s="20">
        <f t="shared" si="20"/>
        <v>0</v>
      </c>
      <c r="I231" s="114" t="e">
        <f t="shared" si="19"/>
        <v>#DIV/0!</v>
      </c>
      <c r="J231" s="88"/>
    </row>
    <row r="232" spans="1:10" s="6" customFormat="1" ht="11.25">
      <c r="A232" s="50"/>
      <c r="B232" s="61" t="s">
        <v>313</v>
      </c>
      <c r="C232" s="21">
        <v>1483000</v>
      </c>
      <c r="D232" s="161"/>
      <c r="E232" s="20">
        <f t="shared" si="18"/>
        <v>1483000</v>
      </c>
      <c r="F232" s="21"/>
      <c r="G232" s="21"/>
      <c r="H232" s="20">
        <f t="shared" si="20"/>
        <v>0</v>
      </c>
      <c r="I232" s="114">
        <f t="shared" si="19"/>
        <v>0</v>
      </c>
      <c r="J232" s="88" t="s">
        <v>84</v>
      </c>
    </row>
    <row r="233" spans="10:11" ht="11.25">
      <c r="J233" s="90"/>
      <c r="K233" s="81"/>
    </row>
    <row r="234" ht="11.25">
      <c r="J234" s="90"/>
    </row>
    <row r="235" ht="11.25">
      <c r="J235" s="90"/>
    </row>
    <row r="236" spans="4:10" ht="11.25">
      <c r="D236" s="168"/>
      <c r="E236" s="94" t="s">
        <v>89</v>
      </c>
      <c r="J236" s="90"/>
    </row>
    <row r="237" ht="11.25">
      <c r="J237" s="81"/>
    </row>
    <row r="238" ht="11.25">
      <c r="J238" s="81"/>
    </row>
    <row r="239" ht="11.25">
      <c r="J239" s="81"/>
    </row>
    <row r="240" ht="11.25">
      <c r="H240" s="139"/>
    </row>
  </sheetData>
  <mergeCells count="13">
    <mergeCell ref="A1:I1"/>
    <mergeCell ref="A2:A3"/>
    <mergeCell ref="B2:B3"/>
    <mergeCell ref="C2:E2"/>
    <mergeCell ref="I2:I3"/>
    <mergeCell ref="F2:H2"/>
    <mergeCell ref="A159:B159"/>
    <mergeCell ref="A5:B5"/>
    <mergeCell ref="A6:B6"/>
    <mergeCell ref="J198:O198"/>
    <mergeCell ref="J36:L36"/>
    <mergeCell ref="J56:L56"/>
    <mergeCell ref="A155:B155"/>
  </mergeCells>
  <printOptions/>
  <pageMargins left="0.45" right="0.31" top="0.55" bottom="0.47" header="0.5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2"/>
  <sheetViews>
    <sheetView zoomScale="140" zoomScaleNormal="140" workbookViewId="0" topLeftCell="A1">
      <pane ySplit="4" topLeftCell="BM179" activePane="bottomLeft" state="frozen"/>
      <selection pane="topLeft" activeCell="A1" sqref="A1"/>
      <selection pane="bottomLeft" activeCell="F237" sqref="F237"/>
    </sheetView>
  </sheetViews>
  <sheetFormatPr defaultColWidth="9.140625" defaultRowHeight="12"/>
  <cols>
    <col min="1" max="1" width="3.28125" style="105" customWidth="1"/>
    <col min="2" max="2" width="41.140625" style="105" customWidth="1"/>
    <col min="3" max="3" width="19.140625" style="167" customWidth="1"/>
    <col min="4" max="4" width="18.8515625" style="167" customWidth="1"/>
    <col min="5" max="5" width="19.8515625" style="94" customWidth="1"/>
    <col min="6" max="6" width="21.8515625" style="107" customWidth="1"/>
    <col min="7" max="7" width="22.140625" style="107" customWidth="1"/>
    <col min="8" max="8" width="17.421875" style="105" customWidth="1"/>
    <col min="9" max="9" width="10.00390625" style="105" customWidth="1"/>
    <col min="10" max="10" width="15.140625" style="105" customWidth="1"/>
    <col min="11" max="11" width="15.00390625" style="105" customWidth="1"/>
    <col min="12" max="12" width="16.140625" style="105" customWidth="1"/>
    <col min="13" max="13" width="15.00390625" style="105" customWidth="1"/>
    <col min="14" max="14" width="14.421875" style="105" customWidth="1"/>
    <col min="15" max="36" width="9.28125" style="105" customWidth="1"/>
    <col min="37" max="16384" width="9.140625" style="105" customWidth="1"/>
  </cols>
  <sheetData>
    <row r="1" spans="1:12" s="3" customFormat="1" ht="24" customHeight="1">
      <c r="A1" s="232" t="s">
        <v>410</v>
      </c>
      <c r="B1" s="232"/>
      <c r="C1" s="232"/>
      <c r="D1" s="232"/>
      <c r="E1" s="232"/>
      <c r="F1" s="232"/>
      <c r="G1" s="232"/>
      <c r="H1" s="232"/>
      <c r="I1" s="232"/>
      <c r="J1" s="109">
        <f>C5-C162</f>
        <v>679127824</v>
      </c>
      <c r="K1" s="109">
        <f>D5-D162</f>
        <v>197660103</v>
      </c>
      <c r="L1" s="3" t="s">
        <v>430</v>
      </c>
    </row>
    <row r="2" spans="1:12" s="4" customFormat="1" ht="19.5" customHeight="1">
      <c r="A2" s="227" t="s">
        <v>211</v>
      </c>
      <c r="B2" s="228" t="s">
        <v>351</v>
      </c>
      <c r="C2" s="229" t="s">
        <v>24</v>
      </c>
      <c r="D2" s="229"/>
      <c r="E2" s="229"/>
      <c r="F2" s="229" t="s">
        <v>424</v>
      </c>
      <c r="G2" s="229"/>
      <c r="H2" s="229"/>
      <c r="I2" s="230" t="s">
        <v>392</v>
      </c>
      <c r="J2" s="109" t="s">
        <v>414</v>
      </c>
      <c r="K2" s="109" t="s">
        <v>415</v>
      </c>
      <c r="L2" s="115"/>
    </row>
    <row r="3" spans="1:14" s="66" customFormat="1" ht="15.75" customHeight="1">
      <c r="A3" s="227"/>
      <c r="B3" s="228"/>
      <c r="C3" s="5" t="s">
        <v>212</v>
      </c>
      <c r="D3" s="5" t="s">
        <v>213</v>
      </c>
      <c r="E3" s="5" t="s">
        <v>214</v>
      </c>
      <c r="F3" s="5" t="s">
        <v>212</v>
      </c>
      <c r="G3" s="5" t="s">
        <v>213</v>
      </c>
      <c r="H3" s="5" t="s">
        <v>214</v>
      </c>
      <c r="I3" s="231"/>
      <c r="J3" s="117" t="s">
        <v>394</v>
      </c>
      <c r="L3" s="146"/>
      <c r="M3" s="146"/>
      <c r="N3" s="121"/>
    </row>
    <row r="4" spans="1:18" s="6" customFormat="1" ht="9" customHeight="1">
      <c r="A4" s="47">
        <v>1</v>
      </c>
      <c r="B4" s="47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70" t="s">
        <v>433</v>
      </c>
      <c r="K4" s="110" t="s">
        <v>434</v>
      </c>
      <c r="N4" s="110"/>
      <c r="O4" s="110"/>
      <c r="P4" s="110"/>
      <c r="Q4" s="110"/>
      <c r="R4" s="110"/>
    </row>
    <row r="5" spans="1:18" s="64" customFormat="1" ht="15.75">
      <c r="A5" s="216" t="s">
        <v>215</v>
      </c>
      <c r="B5" s="217"/>
      <c r="C5" s="158">
        <f>SUM(C6,C157,C161)</f>
        <v>727441669</v>
      </c>
      <c r="D5" s="158">
        <f>SUM(D6,D157,D161)</f>
        <v>213213013</v>
      </c>
      <c r="E5" s="65">
        <f aca="true" t="shared" si="0" ref="E5:E48">SUM(C5:D5)</f>
        <v>940654682</v>
      </c>
      <c r="F5" s="63">
        <f>SUM(F6,F157,F161)</f>
        <v>174258825.35</v>
      </c>
      <c r="G5" s="63">
        <f>SUM(G6,G157,G161)</f>
        <v>58089870.39</v>
      </c>
      <c r="H5" s="65">
        <f aca="true" t="shared" si="1" ref="H5:H36">SUM(F5:G5)</f>
        <v>232348695.74</v>
      </c>
      <c r="I5" s="114">
        <f aca="true" t="shared" si="2" ref="I5:I25">H5/E5</f>
        <v>0.24700743023570046</v>
      </c>
      <c r="J5" s="209">
        <v>163117730.35</v>
      </c>
      <c r="K5" s="209">
        <v>53483590.39</v>
      </c>
      <c r="L5" s="209">
        <v>232348696</v>
      </c>
      <c r="M5" s="134" t="s">
        <v>435</v>
      </c>
      <c r="N5" s="108"/>
      <c r="O5" s="111"/>
      <c r="P5" s="111"/>
      <c r="Q5" s="111"/>
      <c r="R5" s="111"/>
    </row>
    <row r="6" spans="1:18" s="8" customFormat="1" ht="12.75">
      <c r="A6" s="218" t="s">
        <v>314</v>
      </c>
      <c r="B6" s="219"/>
      <c r="C6" s="159">
        <f>SUM(C7,C22,C28,C38,C98,C124,C73,C154)</f>
        <v>586686808</v>
      </c>
      <c r="D6" s="159">
        <f>SUM(D7,D22,D28,D38,D98,D124,D73,D154)</f>
        <v>104660681</v>
      </c>
      <c r="E6" s="7">
        <f t="shared" si="0"/>
        <v>691347489</v>
      </c>
      <c r="F6" s="7">
        <f>SUM(F7,F22,F28,F38,F98,F124,F73,F154)</f>
        <v>127689532.35</v>
      </c>
      <c r="G6" s="7">
        <f>SUM(G7,G22,G28,G38,G98,G124,G73,G154)</f>
        <v>18815219.39</v>
      </c>
      <c r="H6" s="7">
        <f t="shared" si="1"/>
        <v>146504751.74</v>
      </c>
      <c r="I6" s="114">
        <f t="shared" si="2"/>
        <v>0.21191188811853776</v>
      </c>
      <c r="J6" s="209">
        <f>F5-F162</f>
        <v>163117730.35</v>
      </c>
      <c r="K6" s="209">
        <f>G5-G162</f>
        <v>53483590.39</v>
      </c>
      <c r="L6" s="209">
        <f>J6+K6</f>
        <v>216601320.74</v>
      </c>
      <c r="M6" s="134" t="s">
        <v>436</v>
      </c>
      <c r="N6" s="108"/>
      <c r="O6" s="112"/>
      <c r="P6" s="112"/>
      <c r="Q6" s="112"/>
      <c r="R6" s="112"/>
    </row>
    <row r="7" spans="1:18" s="11" customFormat="1" ht="17.25" customHeight="1">
      <c r="A7" s="24">
        <v>1</v>
      </c>
      <c r="B7" s="26" t="s">
        <v>374</v>
      </c>
      <c r="C7" s="9">
        <f>SUM(C8:C21)</f>
        <v>126371700</v>
      </c>
      <c r="D7" s="9">
        <f>SUM(D8:D21)</f>
        <v>5314200</v>
      </c>
      <c r="E7" s="9">
        <f t="shared" si="0"/>
        <v>131685900</v>
      </c>
      <c r="F7" s="9">
        <f>SUM(F8:F21)</f>
        <v>35580755.68</v>
      </c>
      <c r="G7" s="9">
        <f>SUM(G8:G21)</f>
        <v>1106187.5</v>
      </c>
      <c r="H7" s="9">
        <f t="shared" si="1"/>
        <v>36686943.18</v>
      </c>
      <c r="I7" s="114">
        <f t="shared" si="2"/>
        <v>0.2785943155645365</v>
      </c>
      <c r="J7" s="209">
        <f>J5-J6</f>
        <v>0</v>
      </c>
      <c r="K7" s="209">
        <f>K5-K6</f>
        <v>0</v>
      </c>
      <c r="L7" s="209">
        <f>L5-L6</f>
        <v>15747375.25999999</v>
      </c>
      <c r="M7" s="134" t="s">
        <v>438</v>
      </c>
      <c r="N7" s="108"/>
      <c r="O7" s="113"/>
      <c r="P7" s="113"/>
      <c r="Q7" s="113"/>
      <c r="R7" s="113"/>
    </row>
    <row r="8" spans="1:14" s="16" customFormat="1" ht="11.25">
      <c r="A8" s="48"/>
      <c r="B8" s="12" t="s">
        <v>216</v>
      </c>
      <c r="C8" s="15">
        <f>86000000+16359400+1750000+1750000</f>
        <v>105859400</v>
      </c>
      <c r="D8" s="15"/>
      <c r="E8" s="14">
        <f t="shared" si="0"/>
        <v>105859400</v>
      </c>
      <c r="F8" s="15">
        <f>22057963.93+5373504.98</f>
        <v>27431468.91</v>
      </c>
      <c r="G8" s="15"/>
      <c r="H8" s="14">
        <f t="shared" si="1"/>
        <v>27431468.91</v>
      </c>
      <c r="I8" s="114">
        <f t="shared" si="2"/>
        <v>0.25913115802659</v>
      </c>
      <c r="J8" s="71" t="s">
        <v>395</v>
      </c>
      <c r="K8" s="16" t="s">
        <v>106</v>
      </c>
      <c r="L8" s="108"/>
      <c r="M8" s="108"/>
      <c r="N8" s="147"/>
    </row>
    <row r="9" spans="1:14" s="16" customFormat="1" ht="13.5" customHeight="1">
      <c r="A9" s="48"/>
      <c r="B9" s="12" t="s">
        <v>217</v>
      </c>
      <c r="C9" s="15">
        <f>4480600+2344500+1200000+300000</f>
        <v>8325100</v>
      </c>
      <c r="D9" s="15"/>
      <c r="E9" s="14">
        <f t="shared" si="0"/>
        <v>8325100</v>
      </c>
      <c r="F9" s="15">
        <f>3003326.54+769266.83</f>
        <v>3772593.37</v>
      </c>
      <c r="G9" s="15"/>
      <c r="H9" s="14">
        <f t="shared" si="1"/>
        <v>3772593.37</v>
      </c>
      <c r="I9" s="114">
        <f t="shared" si="2"/>
        <v>0.4531589254183133</v>
      </c>
      <c r="J9" s="71" t="s">
        <v>396</v>
      </c>
      <c r="L9" s="152"/>
      <c r="M9" s="148"/>
      <c r="N9" s="147"/>
    </row>
    <row r="10" spans="1:14" s="22" customFormat="1" ht="11.25">
      <c r="A10" s="49"/>
      <c r="B10" s="95" t="s">
        <v>220</v>
      </c>
      <c r="C10" s="15">
        <f>2000+39000</f>
        <v>41000</v>
      </c>
      <c r="D10" s="21"/>
      <c r="E10" s="20">
        <f t="shared" si="0"/>
        <v>41000</v>
      </c>
      <c r="F10" s="15">
        <f>1525.5+1912.4</f>
        <v>3437.9</v>
      </c>
      <c r="G10" s="21"/>
      <c r="H10" s="20">
        <f t="shared" si="1"/>
        <v>3437.9</v>
      </c>
      <c r="I10" s="114">
        <f t="shared" si="2"/>
        <v>0.08385121951219512</v>
      </c>
      <c r="J10" s="72" t="s">
        <v>397</v>
      </c>
      <c r="K10" s="16"/>
      <c r="L10" s="108"/>
      <c r="M10" s="108"/>
      <c r="N10" s="149"/>
    </row>
    <row r="11" spans="1:14" s="97" customFormat="1" ht="11.25">
      <c r="A11" s="67"/>
      <c r="B11" s="96" t="s">
        <v>221</v>
      </c>
      <c r="C11" s="15">
        <f>70000+4200</f>
        <v>74200</v>
      </c>
      <c r="D11" s="15"/>
      <c r="E11" s="14">
        <f t="shared" si="0"/>
        <v>74200</v>
      </c>
      <c r="F11" s="15">
        <f>23303+502.2</f>
        <v>23805.2</v>
      </c>
      <c r="G11" s="15"/>
      <c r="H11" s="14">
        <f t="shared" si="1"/>
        <v>23805.2</v>
      </c>
      <c r="I11" s="114">
        <f t="shared" si="2"/>
        <v>0.3208247978436658</v>
      </c>
      <c r="J11" s="73" t="s">
        <v>398</v>
      </c>
      <c r="K11" s="128"/>
      <c r="L11" s="108"/>
      <c r="M11" s="108"/>
      <c r="N11" s="150"/>
    </row>
    <row r="12" spans="1:14" s="98" customFormat="1" ht="12" customHeight="1">
      <c r="A12" s="67"/>
      <c r="B12" s="95" t="s">
        <v>222</v>
      </c>
      <c r="C12" s="15">
        <v>2000</v>
      </c>
      <c r="D12" s="15"/>
      <c r="E12" s="14">
        <f t="shared" si="0"/>
        <v>2000</v>
      </c>
      <c r="F12" s="15">
        <v>28.38</v>
      </c>
      <c r="G12" s="15"/>
      <c r="H12" s="14">
        <f t="shared" si="1"/>
        <v>28.38</v>
      </c>
      <c r="I12" s="114">
        <f t="shared" si="2"/>
        <v>0.01419</v>
      </c>
      <c r="J12" s="74" t="s">
        <v>399</v>
      </c>
      <c r="K12" s="99"/>
      <c r="L12" s="153"/>
      <c r="M12" s="153"/>
      <c r="N12" s="151"/>
    </row>
    <row r="13" spans="1:13" s="97" customFormat="1" ht="22.5" customHeight="1">
      <c r="A13" s="100"/>
      <c r="B13" s="101" t="s">
        <v>350</v>
      </c>
      <c r="C13" s="15">
        <v>440000</v>
      </c>
      <c r="D13" s="15"/>
      <c r="E13" s="14">
        <f t="shared" si="0"/>
        <v>440000</v>
      </c>
      <c r="F13" s="15"/>
      <c r="G13" s="15"/>
      <c r="H13" s="14">
        <f t="shared" si="1"/>
        <v>0</v>
      </c>
      <c r="I13" s="114">
        <f t="shared" si="2"/>
        <v>0</v>
      </c>
      <c r="J13" s="74" t="s">
        <v>0</v>
      </c>
      <c r="L13" s="122"/>
      <c r="M13" s="97" t="s">
        <v>89</v>
      </c>
    </row>
    <row r="14" spans="1:13" s="16" customFormat="1" ht="11.25">
      <c r="A14" s="48"/>
      <c r="B14" s="12" t="s">
        <v>218</v>
      </c>
      <c r="C14" s="15">
        <v>4100000</v>
      </c>
      <c r="D14" s="15"/>
      <c r="E14" s="14">
        <f t="shared" si="0"/>
        <v>4100000</v>
      </c>
      <c r="F14" s="15">
        <v>849555.92</v>
      </c>
      <c r="G14" s="15"/>
      <c r="H14" s="14">
        <f t="shared" si="1"/>
        <v>849555.92</v>
      </c>
      <c r="I14" s="114">
        <f t="shared" si="2"/>
        <v>0.20720876097560978</v>
      </c>
      <c r="J14" s="138">
        <v>75618.041</v>
      </c>
      <c r="M14" s="16" t="s">
        <v>89</v>
      </c>
    </row>
    <row r="15" spans="1:13" s="16" customFormat="1" ht="17.25" customHeight="1">
      <c r="A15" s="48"/>
      <c r="B15" s="12" t="s">
        <v>247</v>
      </c>
      <c r="C15" s="15">
        <v>5200000</v>
      </c>
      <c r="D15" s="15"/>
      <c r="E15" s="14">
        <f t="shared" si="0"/>
        <v>5200000</v>
      </c>
      <c r="F15" s="15">
        <v>2731207.3</v>
      </c>
      <c r="G15" s="15"/>
      <c r="H15" s="14">
        <f t="shared" si="1"/>
        <v>2731207.3</v>
      </c>
      <c r="I15" s="114">
        <f t="shared" si="2"/>
        <v>0.525232173076923</v>
      </c>
      <c r="J15" s="71" t="s">
        <v>1</v>
      </c>
      <c r="L15" s="108"/>
      <c r="M15" s="108"/>
    </row>
    <row r="16" spans="1:10" s="16" customFormat="1" ht="22.5" customHeight="1">
      <c r="A16" s="53"/>
      <c r="B16" s="28" t="s">
        <v>248</v>
      </c>
      <c r="C16" s="15"/>
      <c r="D16" s="15">
        <f>5100000*104.2%</f>
        <v>5314200</v>
      </c>
      <c r="E16" s="14">
        <f t="shared" si="0"/>
        <v>5314200</v>
      </c>
      <c r="F16" s="15"/>
      <c r="G16" s="15">
        <v>1106187.5</v>
      </c>
      <c r="H16" s="14">
        <f t="shared" si="1"/>
        <v>1106187.5</v>
      </c>
      <c r="I16" s="114">
        <f t="shared" si="2"/>
        <v>0.20815691919762147</v>
      </c>
      <c r="J16" s="71" t="s">
        <v>2</v>
      </c>
    </row>
    <row r="17" spans="1:12" s="97" customFormat="1" ht="14.25" customHeight="1">
      <c r="A17" s="67"/>
      <c r="B17" s="95" t="s">
        <v>378</v>
      </c>
      <c r="C17" s="15">
        <f>800000+230000</f>
        <v>1030000</v>
      </c>
      <c r="D17" s="15"/>
      <c r="E17" s="14">
        <f t="shared" si="0"/>
        <v>1030000</v>
      </c>
      <c r="F17" s="15">
        <f>117899.8+11832.02</f>
        <v>129731.82</v>
      </c>
      <c r="G17" s="15"/>
      <c r="H17" s="14">
        <f t="shared" si="1"/>
        <v>129731.82</v>
      </c>
      <c r="I17" s="114">
        <f t="shared" si="2"/>
        <v>0.1259532233009709</v>
      </c>
      <c r="J17" s="73" t="s">
        <v>3</v>
      </c>
      <c r="L17" s="141"/>
    </row>
    <row r="18" spans="1:10" s="97" customFormat="1" ht="11.25" hidden="1">
      <c r="A18" s="67"/>
      <c r="B18" s="95" t="s">
        <v>223</v>
      </c>
      <c r="C18" s="15">
        <v>0</v>
      </c>
      <c r="D18" s="15"/>
      <c r="E18" s="14">
        <f t="shared" si="0"/>
        <v>0</v>
      </c>
      <c r="F18" s="15"/>
      <c r="G18" s="15"/>
      <c r="H18" s="14">
        <f t="shared" si="1"/>
        <v>0</v>
      </c>
      <c r="I18" s="114" t="e">
        <f t="shared" si="2"/>
        <v>#DIV/0!</v>
      </c>
      <c r="J18" s="73" t="s">
        <v>4</v>
      </c>
    </row>
    <row r="19" spans="1:10" s="97" customFormat="1" ht="11.25" hidden="1">
      <c r="A19" s="67"/>
      <c r="B19" s="95" t="s">
        <v>367</v>
      </c>
      <c r="C19" s="15">
        <f>100000-100000</f>
        <v>0</v>
      </c>
      <c r="D19" s="15"/>
      <c r="E19" s="14">
        <f t="shared" si="0"/>
        <v>0</v>
      </c>
      <c r="F19" s="15"/>
      <c r="G19" s="15"/>
      <c r="H19" s="14">
        <f t="shared" si="1"/>
        <v>0</v>
      </c>
      <c r="I19" s="114" t="e">
        <f t="shared" si="2"/>
        <v>#DIV/0!</v>
      </c>
      <c r="J19" s="73" t="s">
        <v>5</v>
      </c>
    </row>
    <row r="20" spans="1:10" s="98" customFormat="1" ht="11.25" customHeight="1">
      <c r="A20" s="100"/>
      <c r="B20" s="96" t="s">
        <v>234</v>
      </c>
      <c r="C20" s="15">
        <v>100000</v>
      </c>
      <c r="D20" s="15"/>
      <c r="E20" s="14">
        <f t="shared" si="0"/>
        <v>100000</v>
      </c>
      <c r="F20" s="15"/>
      <c r="G20" s="15"/>
      <c r="H20" s="14">
        <f t="shared" si="1"/>
        <v>0</v>
      </c>
      <c r="I20" s="114">
        <f t="shared" si="2"/>
        <v>0</v>
      </c>
      <c r="J20" s="116" t="s">
        <v>117</v>
      </c>
    </row>
    <row r="21" spans="1:10" s="104" customFormat="1" ht="11.25">
      <c r="A21" s="102"/>
      <c r="B21" s="103" t="s">
        <v>224</v>
      </c>
      <c r="C21" s="15">
        <f>900000+300000</f>
        <v>1200000</v>
      </c>
      <c r="D21" s="15"/>
      <c r="E21" s="14">
        <f t="shared" si="0"/>
        <v>1200000</v>
      </c>
      <c r="F21" s="15">
        <f>539534.8+99392.08</f>
        <v>638926.88</v>
      </c>
      <c r="G21" s="15"/>
      <c r="H21" s="14">
        <f t="shared" si="1"/>
        <v>638926.88</v>
      </c>
      <c r="I21" s="114">
        <f t="shared" si="2"/>
        <v>0.5324390666666666</v>
      </c>
      <c r="J21" s="75" t="s">
        <v>6</v>
      </c>
    </row>
    <row r="22" spans="1:10" s="10" customFormat="1" ht="12.75" customHeight="1">
      <c r="A22" s="24">
        <v>2</v>
      </c>
      <c r="B22" s="25" t="s">
        <v>225</v>
      </c>
      <c r="C22" s="9">
        <f>SUM(C23:C27)</f>
        <v>41900000</v>
      </c>
      <c r="D22" s="9">
        <f>SUM(D23:D27)</f>
        <v>0</v>
      </c>
      <c r="E22" s="9">
        <f t="shared" si="0"/>
        <v>41900000</v>
      </c>
      <c r="F22" s="9">
        <f>SUM(F23:F27)</f>
        <v>5719625.05</v>
      </c>
      <c r="G22" s="9">
        <f>SUM(G23:G27)</f>
        <v>0</v>
      </c>
      <c r="H22" s="9">
        <f t="shared" si="1"/>
        <v>5719625.05</v>
      </c>
      <c r="I22" s="114">
        <f t="shared" si="2"/>
        <v>0.1365065644391408</v>
      </c>
      <c r="J22" s="76"/>
    </row>
    <row r="23" spans="1:10" s="16" customFormat="1" ht="11.25">
      <c r="A23" s="48"/>
      <c r="B23" s="18" t="s">
        <v>226</v>
      </c>
      <c r="C23" s="15">
        <v>900000</v>
      </c>
      <c r="D23" s="126"/>
      <c r="E23" s="14">
        <f t="shared" si="0"/>
        <v>900000</v>
      </c>
      <c r="F23" s="15">
        <v>134045.79</v>
      </c>
      <c r="G23" s="15"/>
      <c r="H23" s="14">
        <f t="shared" si="1"/>
        <v>134045.79</v>
      </c>
      <c r="I23" s="114">
        <f t="shared" si="2"/>
        <v>0.14893976666666667</v>
      </c>
      <c r="J23" s="71" t="s">
        <v>7</v>
      </c>
    </row>
    <row r="24" spans="1:10" s="16" customFormat="1" ht="12" customHeight="1">
      <c r="A24" s="48"/>
      <c r="B24" s="18" t="s">
        <v>227</v>
      </c>
      <c r="C24" s="15">
        <f>3600000+400000</f>
        <v>4000000</v>
      </c>
      <c r="D24" s="126"/>
      <c r="E24" s="14">
        <f t="shared" si="0"/>
        <v>4000000</v>
      </c>
      <c r="F24" s="15">
        <v>1061504.85</v>
      </c>
      <c r="G24" s="15"/>
      <c r="H24" s="14">
        <f t="shared" si="1"/>
        <v>1061504.85</v>
      </c>
      <c r="I24" s="114">
        <f t="shared" si="2"/>
        <v>0.26537621250000004</v>
      </c>
      <c r="J24" s="71" t="s">
        <v>8</v>
      </c>
    </row>
    <row r="25" spans="1:10" s="16" customFormat="1" ht="12" customHeight="1">
      <c r="A25" s="48"/>
      <c r="B25" s="18" t="s">
        <v>228</v>
      </c>
      <c r="C25" s="15">
        <f>3526100+33473900</f>
        <v>37000000</v>
      </c>
      <c r="E25" s="14">
        <f>SUM(C25:C25)</f>
        <v>37000000</v>
      </c>
      <c r="F25" s="15">
        <f>203586.49+4308912.56</f>
        <v>4512499.05</v>
      </c>
      <c r="G25" s="15"/>
      <c r="H25" s="14">
        <f t="shared" si="1"/>
        <v>4512499.05</v>
      </c>
      <c r="I25" s="114">
        <f t="shared" si="2"/>
        <v>0.12195943378378378</v>
      </c>
      <c r="J25" s="71" t="s">
        <v>9</v>
      </c>
    </row>
    <row r="26" spans="1:11" s="16" customFormat="1" ht="21.75" customHeight="1">
      <c r="A26" s="48"/>
      <c r="B26" s="18" t="s">
        <v>229</v>
      </c>
      <c r="C26" s="126"/>
      <c r="D26" s="126"/>
      <c r="E26" s="14">
        <f t="shared" si="0"/>
        <v>0</v>
      </c>
      <c r="F26" s="15">
        <f>6907.79+4513.73+153.84</f>
        <v>11575.36</v>
      </c>
      <c r="G26" s="15"/>
      <c r="H26" s="14">
        <f t="shared" si="1"/>
        <v>11575.36</v>
      </c>
      <c r="I26" s="114"/>
      <c r="J26" s="75" t="s">
        <v>432</v>
      </c>
      <c r="K26" s="132"/>
    </row>
    <row r="27" spans="1:11" s="16" customFormat="1" ht="21.75" customHeight="1" hidden="1">
      <c r="A27" s="48"/>
      <c r="B27" s="18" t="s">
        <v>193</v>
      </c>
      <c r="C27" s="126"/>
      <c r="D27" s="126"/>
      <c r="E27" s="14">
        <f t="shared" si="0"/>
        <v>0</v>
      </c>
      <c r="F27" s="15"/>
      <c r="G27" s="15"/>
      <c r="H27" s="14">
        <f t="shared" si="1"/>
        <v>0</v>
      </c>
      <c r="I27" s="114"/>
      <c r="J27" s="75" t="s">
        <v>194</v>
      </c>
      <c r="K27" s="132"/>
    </row>
    <row r="28" spans="1:11" s="11" customFormat="1" ht="13.5" customHeight="1">
      <c r="A28" s="24">
        <v>3</v>
      </c>
      <c r="B28" s="26" t="s">
        <v>375</v>
      </c>
      <c r="C28" s="9">
        <f>SUM(C29:C34)</f>
        <v>64336166</v>
      </c>
      <c r="D28" s="9">
        <f>SUM(D29:D34)</f>
        <v>87440</v>
      </c>
      <c r="E28" s="27">
        <f t="shared" si="0"/>
        <v>64423606</v>
      </c>
      <c r="F28" s="9">
        <f>SUM(F29:F34)</f>
        <v>15319931.469999999</v>
      </c>
      <c r="G28" s="9">
        <f>SUM(G29:G34)</f>
        <v>12055.6</v>
      </c>
      <c r="H28" s="27">
        <f t="shared" si="1"/>
        <v>15331987.069999998</v>
      </c>
      <c r="I28" s="114">
        <f aca="true" t="shared" si="3" ref="I28:I45">H28/E28</f>
        <v>0.2379870985489387</v>
      </c>
      <c r="J28" s="115"/>
      <c r="K28" s="113"/>
    </row>
    <row r="29" spans="1:11" s="16" customFormat="1" ht="15" customHeight="1">
      <c r="A29" s="48"/>
      <c r="B29" s="18" t="s">
        <v>230</v>
      </c>
      <c r="C29" s="15">
        <v>30000000</v>
      </c>
      <c r="D29" s="126"/>
      <c r="E29" s="14">
        <f t="shared" si="0"/>
        <v>30000000</v>
      </c>
      <c r="F29" s="15">
        <v>3794325.54</v>
      </c>
      <c r="G29" s="15"/>
      <c r="H29" s="14">
        <f t="shared" si="1"/>
        <v>3794325.54</v>
      </c>
      <c r="I29" s="114">
        <f t="shared" si="3"/>
        <v>0.126477518</v>
      </c>
      <c r="J29" s="154" t="s">
        <v>10</v>
      </c>
      <c r="K29" s="115"/>
    </row>
    <row r="30" spans="1:11" s="16" customFormat="1" ht="21.75" customHeight="1">
      <c r="A30" s="48"/>
      <c r="B30" s="18" t="s">
        <v>377</v>
      </c>
      <c r="C30" s="15">
        <v>2600000</v>
      </c>
      <c r="D30" s="126"/>
      <c r="E30" s="14">
        <f t="shared" si="0"/>
        <v>2600000</v>
      </c>
      <c r="F30" s="15">
        <v>2303361.61</v>
      </c>
      <c r="G30" s="15"/>
      <c r="H30" s="14">
        <f t="shared" si="1"/>
        <v>2303361.61</v>
      </c>
      <c r="I30" s="114">
        <f t="shared" si="3"/>
        <v>0.8859083115384615</v>
      </c>
      <c r="J30" s="154" t="s">
        <v>11</v>
      </c>
      <c r="K30" s="115"/>
    </row>
    <row r="31" spans="1:11" s="16" customFormat="1" ht="11.25">
      <c r="A31" s="48"/>
      <c r="B31" s="18" t="s">
        <v>231</v>
      </c>
      <c r="C31" s="15">
        <f>7700000+1000000</f>
        <v>8700000</v>
      </c>
      <c r="D31" s="126"/>
      <c r="E31" s="14">
        <f t="shared" si="0"/>
        <v>8700000</v>
      </c>
      <c r="F31" s="15">
        <v>2587833.52</v>
      </c>
      <c r="G31" s="15"/>
      <c r="H31" s="14">
        <f t="shared" si="1"/>
        <v>2587833.52</v>
      </c>
      <c r="I31" s="114">
        <f t="shared" si="3"/>
        <v>0.2974521287356322</v>
      </c>
      <c r="J31" s="155">
        <v>70005.075</v>
      </c>
      <c r="K31" s="115"/>
    </row>
    <row r="32" spans="1:11" s="16" customFormat="1" ht="11.25">
      <c r="A32" s="48"/>
      <c r="B32" s="18" t="s">
        <v>232</v>
      </c>
      <c r="C32" s="15">
        <f>4500000-400000</f>
        <v>4100000</v>
      </c>
      <c r="D32" s="126"/>
      <c r="E32" s="14">
        <f t="shared" si="0"/>
        <v>4100000</v>
      </c>
      <c r="F32" s="15">
        <v>768194.19</v>
      </c>
      <c r="G32" s="15"/>
      <c r="H32" s="14">
        <f t="shared" si="1"/>
        <v>768194.19</v>
      </c>
      <c r="I32" s="114">
        <f t="shared" si="3"/>
        <v>0.18736443658536583</v>
      </c>
      <c r="J32" s="156" t="s">
        <v>12</v>
      </c>
      <c r="K32" s="115"/>
    </row>
    <row r="33" spans="1:11" s="16" customFormat="1" ht="11.25">
      <c r="A33" s="48"/>
      <c r="B33" s="18" t="s">
        <v>233</v>
      </c>
      <c r="C33" s="15">
        <v>5500000</v>
      </c>
      <c r="D33" s="126"/>
      <c r="E33" s="14">
        <f t="shared" si="0"/>
        <v>5500000</v>
      </c>
      <c r="F33" s="15">
        <v>2847601.68</v>
      </c>
      <c r="G33" s="15"/>
      <c r="H33" s="14">
        <f t="shared" si="1"/>
        <v>2847601.68</v>
      </c>
      <c r="I33" s="114">
        <f t="shared" si="3"/>
        <v>0.51774576</v>
      </c>
      <c r="J33" s="156" t="s">
        <v>13</v>
      </c>
      <c r="K33" s="115"/>
    </row>
    <row r="34" spans="1:11" s="16" customFormat="1" ht="11.25">
      <c r="A34" s="48"/>
      <c r="B34" s="18" t="s">
        <v>219</v>
      </c>
      <c r="C34" s="15">
        <f>SUM(C35:C37)</f>
        <v>13436166</v>
      </c>
      <c r="D34" s="15">
        <f>SUM(D35:D37)</f>
        <v>87440</v>
      </c>
      <c r="E34" s="14">
        <f t="shared" si="0"/>
        <v>13523606</v>
      </c>
      <c r="F34" s="15">
        <f>SUM(F35:F37)</f>
        <v>3018614.9299999997</v>
      </c>
      <c r="G34" s="15">
        <f>SUM(G35:G37)</f>
        <v>12055.6</v>
      </c>
      <c r="H34" s="14">
        <f t="shared" si="1"/>
        <v>3030670.53</v>
      </c>
      <c r="I34" s="114">
        <f t="shared" si="3"/>
        <v>0.22410224979935084</v>
      </c>
      <c r="J34" s="156"/>
      <c r="K34" s="115"/>
    </row>
    <row r="35" spans="1:10" s="22" customFormat="1" ht="12.75" customHeight="1">
      <c r="A35" s="51"/>
      <c r="B35" s="19" t="s">
        <v>235</v>
      </c>
      <c r="C35" s="21">
        <v>460000</v>
      </c>
      <c r="D35" s="21"/>
      <c r="E35" s="20">
        <f t="shared" si="0"/>
        <v>460000</v>
      </c>
      <c r="F35" s="21">
        <f>501.89+284453.78</f>
        <v>284955.67000000004</v>
      </c>
      <c r="G35" s="21"/>
      <c r="H35" s="20">
        <f t="shared" si="1"/>
        <v>284955.67000000004</v>
      </c>
      <c r="I35" s="114">
        <f t="shared" si="3"/>
        <v>0.619468847826087</v>
      </c>
      <c r="J35" s="72" t="s">
        <v>188</v>
      </c>
    </row>
    <row r="36" spans="1:12" s="59" customFormat="1" ht="33" customHeight="1">
      <c r="A36" s="57"/>
      <c r="B36" s="58" t="s">
        <v>236</v>
      </c>
      <c r="C36" s="21">
        <f>5135929+5812649+1179661+50000+35341+360000+300000</f>
        <v>12873580</v>
      </c>
      <c r="D36" s="21">
        <v>40000</v>
      </c>
      <c r="E36" s="20">
        <f t="shared" si="0"/>
        <v>12913580</v>
      </c>
      <c r="F36" s="21">
        <f>12313.98+2299135.86+257684.52+27572.97+7036.77+83123.59</f>
        <v>2686867.69</v>
      </c>
      <c r="G36" s="21">
        <f>1639.26+450</f>
        <v>2089.26</v>
      </c>
      <c r="H36" s="20">
        <f t="shared" si="1"/>
        <v>2688956.9499999997</v>
      </c>
      <c r="I36" s="114">
        <f t="shared" si="3"/>
        <v>0.20822707181122507</v>
      </c>
      <c r="J36" s="222" t="s">
        <v>90</v>
      </c>
      <c r="K36" s="223"/>
      <c r="L36" s="223"/>
    </row>
    <row r="37" spans="1:14" s="23" customFormat="1" ht="15.75" customHeight="1">
      <c r="A37" s="51"/>
      <c r="B37" s="19" t="s">
        <v>237</v>
      </c>
      <c r="C37" s="21">
        <f>102586</f>
        <v>102586</v>
      </c>
      <c r="D37" s="21">
        <v>47440</v>
      </c>
      <c r="E37" s="20">
        <f t="shared" si="0"/>
        <v>150026</v>
      </c>
      <c r="F37" s="21">
        <f>23473.18+23318.39</f>
        <v>46791.57</v>
      </c>
      <c r="G37" s="21">
        <f>3305.2+1811.98+4849.16</f>
        <v>9966.34</v>
      </c>
      <c r="H37" s="20">
        <f aca="true" t="shared" si="4" ref="H37:H68">SUM(F37:G37)</f>
        <v>56757.91</v>
      </c>
      <c r="I37" s="114">
        <f t="shared" si="3"/>
        <v>0.3783204911148734</v>
      </c>
      <c r="J37" s="86" t="s">
        <v>171</v>
      </c>
      <c r="N37" s="157"/>
    </row>
    <row r="38" spans="1:10" s="11" customFormat="1" ht="12">
      <c r="A38" s="24">
        <v>4</v>
      </c>
      <c r="B38" s="26" t="s">
        <v>238</v>
      </c>
      <c r="C38" s="9">
        <f>SUM(C39:C62)</f>
        <v>74973722</v>
      </c>
      <c r="D38" s="9">
        <f>SUM(D39:D62)</f>
        <v>8246558</v>
      </c>
      <c r="E38" s="27">
        <f t="shared" si="0"/>
        <v>83220280</v>
      </c>
      <c r="F38" s="9">
        <f>SUM(F39:F62)</f>
        <v>17648554.060000002</v>
      </c>
      <c r="G38" s="9">
        <f>SUM(G39:G62)</f>
        <v>2554561.57</v>
      </c>
      <c r="H38" s="27">
        <f t="shared" si="4"/>
        <v>20203115.630000003</v>
      </c>
      <c r="I38" s="114">
        <f t="shared" si="3"/>
        <v>0.24276673462285878</v>
      </c>
      <c r="J38" s="77"/>
    </row>
    <row r="39" spans="1:12" s="16" customFormat="1" ht="12" customHeight="1">
      <c r="A39" s="48"/>
      <c r="B39" s="18" t="s">
        <v>239</v>
      </c>
      <c r="C39" s="15">
        <f>66662613-50000</f>
        <v>66612613</v>
      </c>
      <c r="D39" s="126"/>
      <c r="E39" s="14">
        <f t="shared" si="0"/>
        <v>66612613</v>
      </c>
      <c r="F39" s="15">
        <f>14415795.48+7112.6+1099203.38</f>
        <v>15522111.46</v>
      </c>
      <c r="G39" s="15"/>
      <c r="H39" s="14">
        <f t="shared" si="4"/>
        <v>15522111.46</v>
      </c>
      <c r="I39" s="114">
        <f t="shared" si="3"/>
        <v>0.23302060617258777</v>
      </c>
      <c r="J39" s="71" t="s">
        <v>154</v>
      </c>
      <c r="L39" s="134"/>
    </row>
    <row r="40" spans="1:10" s="16" customFormat="1" ht="20.25" customHeight="1">
      <c r="A40" s="48"/>
      <c r="B40" s="18" t="s">
        <v>373</v>
      </c>
      <c r="C40" s="15">
        <f>2100000+200000</f>
        <v>2300000</v>
      </c>
      <c r="D40" s="126"/>
      <c r="E40" s="14">
        <f t="shared" si="0"/>
        <v>2300000</v>
      </c>
      <c r="F40" s="15"/>
      <c r="G40" s="15"/>
      <c r="H40" s="14">
        <f t="shared" si="4"/>
        <v>0</v>
      </c>
      <c r="I40" s="114">
        <f t="shared" si="3"/>
        <v>0</v>
      </c>
      <c r="J40" s="71" t="s">
        <v>91</v>
      </c>
    </row>
    <row r="41" spans="1:10" s="16" customFormat="1" ht="35.25" customHeight="1" hidden="1">
      <c r="A41" s="48"/>
      <c r="B41" s="18" t="s">
        <v>150</v>
      </c>
      <c r="C41" s="126">
        <f>2000-2000</f>
        <v>0</v>
      </c>
      <c r="D41" s="126"/>
      <c r="E41" s="14">
        <f t="shared" si="0"/>
        <v>0</v>
      </c>
      <c r="F41" s="15"/>
      <c r="G41" s="15"/>
      <c r="H41" s="14">
        <f t="shared" si="4"/>
        <v>0</v>
      </c>
      <c r="I41" s="114" t="e">
        <f t="shared" si="3"/>
        <v>#DIV/0!</v>
      </c>
      <c r="J41" s="71" t="s">
        <v>164</v>
      </c>
    </row>
    <row r="42" spans="1:10" s="16" customFormat="1" ht="17.25" customHeight="1">
      <c r="A42" s="48"/>
      <c r="B42" s="18" t="s">
        <v>25</v>
      </c>
      <c r="C42" s="126"/>
      <c r="D42" s="15">
        <v>3603768</v>
      </c>
      <c r="E42" s="14">
        <f t="shared" si="0"/>
        <v>3603768</v>
      </c>
      <c r="F42" s="15"/>
      <c r="G42" s="15"/>
      <c r="H42" s="14">
        <f t="shared" si="4"/>
        <v>0</v>
      </c>
      <c r="I42" s="114">
        <f t="shared" si="3"/>
        <v>0</v>
      </c>
      <c r="J42" s="156" t="s">
        <v>26</v>
      </c>
    </row>
    <row r="43" spans="1:10" s="16" customFormat="1" ht="11.25">
      <c r="A43" s="48"/>
      <c r="B43" s="18" t="s">
        <v>86</v>
      </c>
      <c r="C43" s="15">
        <v>300000</v>
      </c>
      <c r="D43" s="126"/>
      <c r="E43" s="14">
        <f t="shared" si="0"/>
        <v>300000</v>
      </c>
      <c r="F43" s="15">
        <f>12298.36+86637.64</f>
        <v>98936</v>
      </c>
      <c r="G43" s="15"/>
      <c r="H43" s="14">
        <f t="shared" si="4"/>
        <v>98936</v>
      </c>
      <c r="I43" s="114">
        <f t="shared" si="3"/>
        <v>0.3297866666666667</v>
      </c>
      <c r="J43" s="71" t="s">
        <v>141</v>
      </c>
    </row>
    <row r="44" spans="1:10" s="16" customFormat="1" ht="15.75" customHeight="1">
      <c r="A44" s="48"/>
      <c r="B44" s="18" t="s">
        <v>240</v>
      </c>
      <c r="C44" s="15">
        <v>277295</v>
      </c>
      <c r="D44" s="126"/>
      <c r="E44" s="14">
        <f t="shared" si="0"/>
        <v>277295</v>
      </c>
      <c r="F44" s="15">
        <v>79160.7</v>
      </c>
      <c r="G44" s="15"/>
      <c r="H44" s="14">
        <f t="shared" si="4"/>
        <v>79160.7</v>
      </c>
      <c r="I44" s="114">
        <f t="shared" si="3"/>
        <v>0.28547467498512413</v>
      </c>
      <c r="J44" s="71" t="s">
        <v>14</v>
      </c>
    </row>
    <row r="45" spans="1:12" s="16" customFormat="1" ht="20.25" customHeight="1">
      <c r="A45" s="48"/>
      <c r="B45" s="18" t="s">
        <v>241</v>
      </c>
      <c r="C45" s="15">
        <v>871220</v>
      </c>
      <c r="D45" s="126"/>
      <c r="E45" s="14">
        <f t="shared" si="0"/>
        <v>871220</v>
      </c>
      <c r="F45" s="15">
        <f>129249.1+68563.95</f>
        <v>197813.05</v>
      </c>
      <c r="G45" s="15"/>
      <c r="H45" s="14">
        <f t="shared" si="4"/>
        <v>197813.05</v>
      </c>
      <c r="I45" s="114">
        <f t="shared" si="3"/>
        <v>0.2270529257822364</v>
      </c>
      <c r="J45" s="71" t="s">
        <v>15</v>
      </c>
      <c r="L45" s="121"/>
    </row>
    <row r="46" spans="1:11" s="16" customFormat="1" ht="22.5" customHeight="1">
      <c r="A46" s="48"/>
      <c r="B46" s="18" t="s">
        <v>93</v>
      </c>
      <c r="C46" s="126"/>
      <c r="D46" s="126"/>
      <c r="E46" s="14">
        <f t="shared" si="0"/>
        <v>0</v>
      </c>
      <c r="F46" s="15"/>
      <c r="G46" s="15">
        <f>1925.41</f>
        <v>1925.41</v>
      </c>
      <c r="H46" s="14">
        <f t="shared" si="4"/>
        <v>1925.41</v>
      </c>
      <c r="I46" s="114"/>
      <c r="J46" s="71" t="s">
        <v>431</v>
      </c>
      <c r="K46" s="121"/>
    </row>
    <row r="47" spans="1:10" s="16" customFormat="1" ht="13.5" customHeight="1">
      <c r="A47" s="48"/>
      <c r="B47" s="18" t="s">
        <v>242</v>
      </c>
      <c r="C47" s="15">
        <v>714308</v>
      </c>
      <c r="D47" s="126"/>
      <c r="E47" s="14">
        <f t="shared" si="0"/>
        <v>714308</v>
      </c>
      <c r="F47" s="15">
        <v>205372.49</v>
      </c>
      <c r="G47" s="15"/>
      <c r="H47" s="14">
        <f t="shared" si="4"/>
        <v>205372.49</v>
      </c>
      <c r="I47" s="114">
        <f aca="true" t="shared" si="5" ref="I47:I57">H47/E47</f>
        <v>0.28751251560951296</v>
      </c>
      <c r="J47" s="71" t="s">
        <v>16</v>
      </c>
    </row>
    <row r="48" spans="1:11" s="16" customFormat="1" ht="14.25" customHeight="1" hidden="1">
      <c r="A48" s="48"/>
      <c r="B48" s="18" t="s">
        <v>363</v>
      </c>
      <c r="C48" s="126"/>
      <c r="D48" s="126"/>
      <c r="E48" s="14">
        <f t="shared" si="0"/>
        <v>0</v>
      </c>
      <c r="F48" s="15"/>
      <c r="G48" s="15"/>
      <c r="H48" s="14">
        <f t="shared" si="4"/>
        <v>0</v>
      </c>
      <c r="I48" s="114" t="e">
        <f t="shared" si="5"/>
        <v>#DIV/0!</v>
      </c>
      <c r="J48" s="71" t="s">
        <v>17</v>
      </c>
      <c r="K48" s="123"/>
    </row>
    <row r="49" spans="1:10" s="16" customFormat="1" ht="22.5" customHeight="1">
      <c r="A49" s="48"/>
      <c r="B49" s="18" t="s">
        <v>364</v>
      </c>
      <c r="C49" s="140"/>
      <c r="D49" s="126"/>
      <c r="E49" s="14">
        <f>SUM(D49:D49)</f>
        <v>0</v>
      </c>
      <c r="F49" s="15"/>
      <c r="G49" s="15">
        <v>121.6</v>
      </c>
      <c r="H49" s="14">
        <f t="shared" si="4"/>
        <v>121.6</v>
      </c>
      <c r="I49" s="114"/>
      <c r="J49" s="86">
        <v>85201.083</v>
      </c>
    </row>
    <row r="50" spans="1:10" s="16" customFormat="1" ht="16.5" customHeight="1">
      <c r="A50" s="48"/>
      <c r="B50" s="18" t="s">
        <v>243</v>
      </c>
      <c r="C50" s="126"/>
      <c r="D50" s="15">
        <v>462490</v>
      </c>
      <c r="E50" s="14">
        <f aca="true" t="shared" si="6" ref="E50:E81">SUM(C50:D50)</f>
        <v>462490</v>
      </c>
      <c r="F50" s="15"/>
      <c r="G50" s="15">
        <v>109776.18</v>
      </c>
      <c r="H50" s="14">
        <f t="shared" si="4"/>
        <v>109776.18</v>
      </c>
      <c r="I50" s="114">
        <f t="shared" si="5"/>
        <v>0.2373590347899414</v>
      </c>
      <c r="J50" s="71" t="s">
        <v>172</v>
      </c>
    </row>
    <row r="51" spans="1:11" s="16" customFormat="1" ht="45" customHeight="1">
      <c r="A51" s="48"/>
      <c r="B51" s="18" t="s">
        <v>244</v>
      </c>
      <c r="C51" s="15">
        <f>15000+40000+420000+145000</f>
        <v>620000</v>
      </c>
      <c r="D51" s="15">
        <f>54000+50000+100000</f>
        <v>204000</v>
      </c>
      <c r="E51" s="14">
        <f t="shared" si="6"/>
        <v>824000</v>
      </c>
      <c r="F51" s="15">
        <f>8912.7+15416.5+151964.53</f>
        <v>176293.73</v>
      </c>
      <c r="G51" s="15">
        <f>8223+27136.8</f>
        <v>35359.8</v>
      </c>
      <c r="H51" s="14">
        <f t="shared" si="4"/>
        <v>211653.53000000003</v>
      </c>
      <c r="I51" s="114">
        <f t="shared" si="5"/>
        <v>0.2568610800970874</v>
      </c>
      <c r="J51" s="235" t="s">
        <v>418</v>
      </c>
      <c r="K51" s="236"/>
    </row>
    <row r="52" spans="1:10" s="16" customFormat="1" ht="11.25" customHeight="1">
      <c r="A52" s="48"/>
      <c r="B52" s="68" t="s">
        <v>381</v>
      </c>
      <c r="C52" s="15">
        <v>63900</v>
      </c>
      <c r="D52" s="126"/>
      <c r="E52" s="14">
        <f t="shared" si="6"/>
        <v>63900</v>
      </c>
      <c r="F52" s="15">
        <v>118100.54</v>
      </c>
      <c r="G52" s="15"/>
      <c r="H52" s="14">
        <f t="shared" si="4"/>
        <v>118100.54</v>
      </c>
      <c r="I52" s="114">
        <f t="shared" si="5"/>
        <v>1.8482087636932707</v>
      </c>
      <c r="J52" s="71" t="s">
        <v>19</v>
      </c>
    </row>
    <row r="53" spans="1:10" s="16" customFormat="1" ht="13.5" customHeight="1">
      <c r="A53" s="52"/>
      <c r="B53" s="12" t="s">
        <v>245</v>
      </c>
      <c r="C53" s="126"/>
      <c r="D53" s="15">
        <v>1875000</v>
      </c>
      <c r="E53" s="14">
        <f t="shared" si="6"/>
        <v>1875000</v>
      </c>
      <c r="F53" s="15"/>
      <c r="G53" s="15">
        <f>1448665.52</f>
        <v>1448665.52</v>
      </c>
      <c r="H53" s="14">
        <f t="shared" si="4"/>
        <v>1448665.52</v>
      </c>
      <c r="I53" s="114">
        <f t="shared" si="5"/>
        <v>0.7726216106666667</v>
      </c>
      <c r="J53" s="71" t="s">
        <v>20</v>
      </c>
    </row>
    <row r="54" spans="1:10" s="16" customFormat="1" ht="21.75" customHeight="1">
      <c r="A54" s="52"/>
      <c r="B54" s="18" t="s">
        <v>246</v>
      </c>
      <c r="C54" s="15">
        <f>61366+925+2095</f>
        <v>64386</v>
      </c>
      <c r="D54" s="15">
        <f>1300</f>
        <v>1300</v>
      </c>
      <c r="E54" s="14">
        <f t="shared" si="6"/>
        <v>65686</v>
      </c>
      <c r="F54" s="15">
        <f>5495.65+1825.69+17.5+330.39+0.44</f>
        <v>7669.67</v>
      </c>
      <c r="G54" s="15">
        <f>5.88+144.81+314.93</f>
        <v>465.62</v>
      </c>
      <c r="H54" s="14">
        <f t="shared" si="4"/>
        <v>8135.29</v>
      </c>
      <c r="I54" s="114">
        <f t="shared" si="5"/>
        <v>0.12385120116919891</v>
      </c>
      <c r="J54" s="71"/>
    </row>
    <row r="55" spans="1:10" s="16" customFormat="1" ht="15.75" customHeight="1">
      <c r="A55" s="48"/>
      <c r="B55" s="18" t="s">
        <v>249</v>
      </c>
      <c r="C55" s="15">
        <v>15000</v>
      </c>
      <c r="D55" s="126"/>
      <c r="E55" s="14">
        <f t="shared" si="6"/>
        <v>15000</v>
      </c>
      <c r="F55" s="15">
        <v>787.3</v>
      </c>
      <c r="G55" s="15"/>
      <c r="H55" s="14">
        <f t="shared" si="4"/>
        <v>787.3</v>
      </c>
      <c r="I55" s="114">
        <f t="shared" si="5"/>
        <v>0.05248666666666666</v>
      </c>
      <c r="J55" s="71" t="s">
        <v>140</v>
      </c>
    </row>
    <row r="56" spans="1:12" s="17" customFormat="1" ht="24" customHeight="1">
      <c r="A56" s="52"/>
      <c r="B56" s="18" t="s">
        <v>250</v>
      </c>
      <c r="C56" s="126"/>
      <c r="D56" s="15">
        <v>2100000</v>
      </c>
      <c r="E56" s="14">
        <f t="shared" si="6"/>
        <v>2100000</v>
      </c>
      <c r="F56" s="15"/>
      <c r="G56" s="15">
        <f>11363.43+119509.46+788526.82+22024.91</f>
        <v>941424.62</v>
      </c>
      <c r="H56" s="14">
        <f t="shared" si="4"/>
        <v>941424.62</v>
      </c>
      <c r="I56" s="114">
        <f t="shared" si="5"/>
        <v>0.4482974380952381</v>
      </c>
      <c r="J56" s="233" t="s">
        <v>152</v>
      </c>
      <c r="K56" s="234"/>
      <c r="L56" s="234"/>
    </row>
    <row r="57" spans="1:10" s="17" customFormat="1" ht="33" customHeight="1" hidden="1">
      <c r="A57" s="52"/>
      <c r="B57" s="18" t="s">
        <v>331</v>
      </c>
      <c r="C57" s="126"/>
      <c r="D57" s="126"/>
      <c r="E57" s="14">
        <f t="shared" si="6"/>
        <v>0</v>
      </c>
      <c r="F57" s="15"/>
      <c r="G57" s="15"/>
      <c r="H57" s="14">
        <f t="shared" si="4"/>
        <v>0</v>
      </c>
      <c r="I57" s="114" t="e">
        <f t="shared" si="5"/>
        <v>#DIV/0!</v>
      </c>
      <c r="J57" s="78"/>
    </row>
    <row r="58" spans="1:10" s="16" customFormat="1" ht="33.75" hidden="1">
      <c r="A58" s="52"/>
      <c r="B58" s="33" t="s">
        <v>317</v>
      </c>
      <c r="C58" s="126"/>
      <c r="D58" s="126"/>
      <c r="E58" s="14">
        <f t="shared" si="6"/>
        <v>0</v>
      </c>
      <c r="F58" s="15"/>
      <c r="G58" s="15"/>
      <c r="H58" s="14">
        <f t="shared" si="4"/>
        <v>0</v>
      </c>
      <c r="I58" s="114"/>
      <c r="J58" s="71" t="s">
        <v>108</v>
      </c>
    </row>
    <row r="59" spans="1:10" s="1" customFormat="1" ht="10.5" customHeight="1">
      <c r="A59" s="53"/>
      <c r="B59" s="28" t="s">
        <v>251</v>
      </c>
      <c r="C59" s="15">
        <v>3000000</v>
      </c>
      <c r="D59" s="126"/>
      <c r="E59" s="14">
        <f t="shared" si="6"/>
        <v>3000000</v>
      </c>
      <c r="F59" s="15">
        <v>682559.16</v>
      </c>
      <c r="G59" s="15"/>
      <c r="H59" s="14">
        <f t="shared" si="4"/>
        <v>682559.16</v>
      </c>
      <c r="I59" s="114">
        <f aca="true" t="shared" si="7" ref="I59:I64">H59/E59</f>
        <v>0.22751972</v>
      </c>
      <c r="J59" s="76" t="s">
        <v>21</v>
      </c>
    </row>
    <row r="60" spans="1:10" s="1" customFormat="1" ht="22.5" hidden="1">
      <c r="A60" s="53"/>
      <c r="B60" s="18" t="s">
        <v>318</v>
      </c>
      <c r="C60" s="126"/>
      <c r="D60" s="126"/>
      <c r="E60" s="14">
        <f t="shared" si="6"/>
        <v>0</v>
      </c>
      <c r="F60" s="15"/>
      <c r="G60" s="15"/>
      <c r="H60" s="14">
        <f t="shared" si="4"/>
        <v>0</v>
      </c>
      <c r="I60" s="114" t="e">
        <f t="shared" si="7"/>
        <v>#DIV/0!</v>
      </c>
      <c r="J60" s="76"/>
    </row>
    <row r="61" spans="1:10" s="16" customFormat="1" ht="11.25" customHeight="1" hidden="1">
      <c r="A61" s="48"/>
      <c r="B61" s="18" t="s">
        <v>252</v>
      </c>
      <c r="C61" s="126">
        <f>110000-110000</f>
        <v>0</v>
      </c>
      <c r="D61" s="126"/>
      <c r="E61" s="14">
        <f t="shared" si="6"/>
        <v>0</v>
      </c>
      <c r="F61" s="15">
        <f>110000-110000</f>
        <v>0</v>
      </c>
      <c r="G61" s="15"/>
      <c r="H61" s="14">
        <f t="shared" si="4"/>
        <v>0</v>
      </c>
      <c r="I61" s="114" t="e">
        <f t="shared" si="7"/>
        <v>#DIV/0!</v>
      </c>
      <c r="J61" s="71"/>
    </row>
    <row r="62" spans="1:10" s="16" customFormat="1" ht="11.25">
      <c r="A62" s="48"/>
      <c r="B62" s="18" t="s">
        <v>253</v>
      </c>
      <c r="C62" s="15">
        <f>SUM(C63:C72)</f>
        <v>135000</v>
      </c>
      <c r="D62" s="15">
        <f>SUM(D63:D72)</f>
        <v>0</v>
      </c>
      <c r="E62" s="14">
        <f t="shared" si="6"/>
        <v>135000</v>
      </c>
      <c r="F62" s="15">
        <f>SUM(F63:F72)</f>
        <v>559749.9600000002</v>
      </c>
      <c r="G62" s="15">
        <f>SUM(G63:G72)</f>
        <v>16822.82</v>
      </c>
      <c r="H62" s="14">
        <f t="shared" si="4"/>
        <v>576572.7800000001</v>
      </c>
      <c r="I62" s="114">
        <f t="shared" si="7"/>
        <v>4.270909481481483</v>
      </c>
      <c r="J62" s="71"/>
    </row>
    <row r="63" spans="1:10" s="59" customFormat="1" ht="16.5" customHeight="1">
      <c r="A63" s="57"/>
      <c r="B63" s="58" t="s">
        <v>323</v>
      </c>
      <c r="C63" s="21"/>
      <c r="D63" s="161"/>
      <c r="E63" s="20">
        <f t="shared" si="6"/>
        <v>0</v>
      </c>
      <c r="F63" s="21">
        <f>17386.93</f>
        <v>17386.93</v>
      </c>
      <c r="G63" s="21"/>
      <c r="H63" s="20">
        <f t="shared" si="4"/>
        <v>17386.93</v>
      </c>
      <c r="I63" s="114"/>
      <c r="J63" s="118" t="s">
        <v>149</v>
      </c>
    </row>
    <row r="64" spans="1:10" s="59" customFormat="1" ht="21" customHeight="1" hidden="1">
      <c r="A64" s="57"/>
      <c r="B64" s="58" t="s">
        <v>115</v>
      </c>
      <c r="C64" s="21"/>
      <c r="D64" s="161"/>
      <c r="E64" s="20">
        <f t="shared" si="6"/>
        <v>0</v>
      </c>
      <c r="F64" s="21"/>
      <c r="G64" s="21"/>
      <c r="H64" s="20">
        <f t="shared" si="4"/>
        <v>0</v>
      </c>
      <c r="I64" s="114" t="e">
        <f t="shared" si="7"/>
        <v>#DIV/0!</v>
      </c>
      <c r="J64" s="118" t="s">
        <v>116</v>
      </c>
    </row>
    <row r="65" spans="1:10" s="22" customFormat="1" ht="11.25" customHeight="1">
      <c r="A65" s="51"/>
      <c r="B65" s="19" t="s">
        <v>254</v>
      </c>
      <c r="C65" s="21">
        <v>135000</v>
      </c>
      <c r="D65" s="161"/>
      <c r="E65" s="20">
        <f t="shared" si="6"/>
        <v>135000</v>
      </c>
      <c r="F65" s="21">
        <v>66329.52</v>
      </c>
      <c r="G65" s="21"/>
      <c r="H65" s="20">
        <f t="shared" si="4"/>
        <v>66329.52</v>
      </c>
      <c r="I65" s="114">
        <f aca="true" t="shared" si="8" ref="I65:I70">H65/E65</f>
        <v>0.4913297777777778</v>
      </c>
      <c r="J65" s="72" t="s">
        <v>22</v>
      </c>
    </row>
    <row r="66" spans="1:10" s="22" customFormat="1" ht="22.5" hidden="1">
      <c r="A66" s="49"/>
      <c r="B66" s="19" t="s">
        <v>255</v>
      </c>
      <c r="C66" s="161"/>
      <c r="D66" s="161"/>
      <c r="E66" s="20">
        <f t="shared" si="6"/>
        <v>0</v>
      </c>
      <c r="F66" s="21"/>
      <c r="G66" s="21"/>
      <c r="H66" s="20">
        <f t="shared" si="4"/>
        <v>0</v>
      </c>
      <c r="I66" s="114" t="e">
        <f t="shared" si="8"/>
        <v>#DIV/0!</v>
      </c>
      <c r="J66" s="72"/>
    </row>
    <row r="67" spans="1:10" s="22" customFormat="1" ht="22.5" hidden="1">
      <c r="A67" s="49"/>
      <c r="B67" s="19" t="s">
        <v>256</v>
      </c>
      <c r="C67" s="161"/>
      <c r="D67" s="161"/>
      <c r="E67" s="20">
        <f t="shared" si="6"/>
        <v>0</v>
      </c>
      <c r="F67" s="21"/>
      <c r="G67" s="21"/>
      <c r="H67" s="20">
        <f t="shared" si="4"/>
        <v>0</v>
      </c>
      <c r="I67" s="114" t="e">
        <f t="shared" si="8"/>
        <v>#DIV/0!</v>
      </c>
      <c r="J67" s="72"/>
    </row>
    <row r="68" spans="1:10" s="22" customFormat="1" ht="11.25" hidden="1">
      <c r="A68" s="49"/>
      <c r="B68" s="19" t="s">
        <v>257</v>
      </c>
      <c r="C68" s="161"/>
      <c r="D68" s="161"/>
      <c r="E68" s="20">
        <f t="shared" si="6"/>
        <v>0</v>
      </c>
      <c r="F68" s="21"/>
      <c r="G68" s="21"/>
      <c r="H68" s="20">
        <f t="shared" si="4"/>
        <v>0</v>
      </c>
      <c r="I68" s="114" t="e">
        <f t="shared" si="8"/>
        <v>#DIV/0!</v>
      </c>
      <c r="J68" s="72"/>
    </row>
    <row r="69" spans="1:10" s="22" customFormat="1" ht="22.5" hidden="1">
      <c r="A69" s="49"/>
      <c r="B69" s="19" t="s">
        <v>256</v>
      </c>
      <c r="C69" s="161"/>
      <c r="D69" s="161"/>
      <c r="E69" s="20">
        <f t="shared" si="6"/>
        <v>0</v>
      </c>
      <c r="F69" s="21"/>
      <c r="G69" s="21"/>
      <c r="H69" s="20">
        <f aca="true" t="shared" si="9" ref="H69:H102">SUM(F69:G69)</f>
        <v>0</v>
      </c>
      <c r="I69" s="114" t="e">
        <f t="shared" si="8"/>
        <v>#DIV/0!</v>
      </c>
      <c r="J69" s="72"/>
    </row>
    <row r="70" spans="1:10" s="22" customFormat="1" ht="11.25" hidden="1">
      <c r="A70" s="49"/>
      <c r="B70" s="19" t="s">
        <v>258</v>
      </c>
      <c r="C70" s="161"/>
      <c r="D70" s="161"/>
      <c r="E70" s="20">
        <f t="shared" si="6"/>
        <v>0</v>
      </c>
      <c r="F70" s="21"/>
      <c r="G70" s="21"/>
      <c r="H70" s="20">
        <f t="shared" si="9"/>
        <v>0</v>
      </c>
      <c r="I70" s="114" t="e">
        <f t="shared" si="8"/>
        <v>#DIV/0!</v>
      </c>
      <c r="J70" s="72"/>
    </row>
    <row r="71" spans="1:10" s="22" customFormat="1" ht="14.25" customHeight="1">
      <c r="A71" s="49"/>
      <c r="B71" s="19" t="s">
        <v>259</v>
      </c>
      <c r="C71" s="161"/>
      <c r="D71" s="161"/>
      <c r="E71" s="20">
        <f t="shared" si="6"/>
        <v>0</v>
      </c>
      <c r="F71" s="21">
        <f>1974.87+23520.9+3460.2+64+375.79+800+16087.18+1827.29+41.9+40678.69+1599.36+8884.44+30.29+878.69+15.62+315.66+8.8+1916.61+13505.67+12142.3+12329.34+1025.44+2327.68+12742.35+28.4+70+3608.46+4374.64+9882+972.89+1293.32+2595.91+1136.6+1.51-0.44</f>
        <v>180516.36000000004</v>
      </c>
      <c r="G71" s="21">
        <f>823.32+3.4+389+1740.68+160+2253.1+341.84+1174.49+744.17+100.17+8439.41+206.04+1.9+69+0.21</f>
        <v>16446.73</v>
      </c>
      <c r="H71" s="20">
        <f t="shared" si="9"/>
        <v>196963.09000000005</v>
      </c>
      <c r="I71" s="114"/>
      <c r="J71" s="72" t="s">
        <v>28</v>
      </c>
    </row>
    <row r="72" spans="1:10" s="22" customFormat="1" ht="34.5" customHeight="1">
      <c r="A72" s="49"/>
      <c r="B72" s="19" t="s">
        <v>111</v>
      </c>
      <c r="C72" s="161"/>
      <c r="D72" s="161"/>
      <c r="E72" s="20">
        <f t="shared" si="6"/>
        <v>0</v>
      </c>
      <c r="F72" s="21">
        <f>22+1105.42+805.32+1870+769.95+35+118404.11+64+40523.47+2.3+3.63+8630.64+194.73+1322+118995.77+5.39+1752.96+34.06+976.4</f>
        <v>295517.1500000001</v>
      </c>
      <c r="G72" s="21">
        <f>3.84+372.25</f>
        <v>376.09</v>
      </c>
      <c r="H72" s="20">
        <f t="shared" si="9"/>
        <v>295893.2400000001</v>
      </c>
      <c r="I72" s="114"/>
      <c r="J72" s="72" t="s">
        <v>112</v>
      </c>
    </row>
    <row r="73" spans="1:10" s="11" customFormat="1" ht="24.75" customHeight="1">
      <c r="A73" s="24">
        <v>5</v>
      </c>
      <c r="B73" s="26" t="s">
        <v>376</v>
      </c>
      <c r="C73" s="9">
        <f>SUM(C74:C97)</f>
        <v>7551912</v>
      </c>
      <c r="D73" s="9">
        <f>SUM(D74:D97)</f>
        <v>6611537</v>
      </c>
      <c r="E73" s="27">
        <f t="shared" si="6"/>
        <v>14163449</v>
      </c>
      <c r="F73" s="9">
        <f>SUM(F74:F97)</f>
        <v>1693403.64</v>
      </c>
      <c r="G73" s="9">
        <f>SUM(G74:G97)</f>
        <v>229130.62</v>
      </c>
      <c r="H73" s="27">
        <f t="shared" si="9"/>
        <v>1922534.2599999998</v>
      </c>
      <c r="I73" s="114">
        <f>H73/E73</f>
        <v>0.1357391310548723</v>
      </c>
      <c r="J73" s="77" t="s">
        <v>110</v>
      </c>
    </row>
    <row r="74" spans="1:10" s="31" customFormat="1" ht="12.75" customHeight="1">
      <c r="A74" s="53"/>
      <c r="B74" s="29" t="s">
        <v>260</v>
      </c>
      <c r="C74" s="15">
        <v>52000</v>
      </c>
      <c r="D74" s="126"/>
      <c r="E74" s="14">
        <f t="shared" si="6"/>
        <v>52000</v>
      </c>
      <c r="F74" s="15">
        <v>212</v>
      </c>
      <c r="G74" s="15"/>
      <c r="H74" s="14">
        <f t="shared" si="9"/>
        <v>212</v>
      </c>
      <c r="I74" s="114">
        <f>H74/E74</f>
        <v>0.004076923076923077</v>
      </c>
      <c r="J74" s="81" t="s">
        <v>437</v>
      </c>
    </row>
    <row r="75" spans="1:10" s="6" customFormat="1" ht="33.75" hidden="1">
      <c r="A75" s="53"/>
      <c r="B75" s="12" t="s">
        <v>338</v>
      </c>
      <c r="C75" s="162"/>
      <c r="D75" s="162"/>
      <c r="E75" s="14">
        <f t="shared" si="6"/>
        <v>0</v>
      </c>
      <c r="F75" s="30"/>
      <c r="G75" s="15"/>
      <c r="H75" s="14">
        <f t="shared" si="9"/>
        <v>0</v>
      </c>
      <c r="I75" s="114"/>
      <c r="J75" s="80" t="s">
        <v>29</v>
      </c>
    </row>
    <row r="76" spans="1:10" s="6" customFormat="1" ht="21.75" customHeight="1" hidden="1">
      <c r="A76" s="53"/>
      <c r="B76" s="12" t="s">
        <v>391</v>
      </c>
      <c r="C76" s="162"/>
      <c r="D76" s="162"/>
      <c r="E76" s="14">
        <f t="shared" si="6"/>
        <v>0</v>
      </c>
      <c r="F76" s="30"/>
      <c r="G76" s="125"/>
      <c r="H76" s="14">
        <f t="shared" si="9"/>
        <v>0</v>
      </c>
      <c r="I76" s="114"/>
      <c r="J76" s="80"/>
    </row>
    <row r="77" spans="1:10" s="2" customFormat="1" ht="12.75" customHeight="1">
      <c r="A77" s="53"/>
      <c r="B77" s="33" t="s">
        <v>261</v>
      </c>
      <c r="C77" s="126"/>
      <c r="D77" s="15">
        <v>17680</v>
      </c>
      <c r="E77" s="14">
        <f t="shared" si="6"/>
        <v>17680</v>
      </c>
      <c r="F77" s="15"/>
      <c r="G77" s="15">
        <v>4509.89</v>
      </c>
      <c r="H77" s="14">
        <f t="shared" si="9"/>
        <v>4509.89</v>
      </c>
      <c r="I77" s="114">
        <f>H77/E77</f>
        <v>0.2550842760180996</v>
      </c>
      <c r="J77" s="81" t="s">
        <v>30</v>
      </c>
    </row>
    <row r="78" spans="1:10" s="6" customFormat="1" ht="22.5" customHeight="1">
      <c r="A78" s="53"/>
      <c r="B78" s="33" t="s">
        <v>262</v>
      </c>
      <c r="C78" s="126"/>
      <c r="D78" s="15">
        <v>394125</v>
      </c>
      <c r="E78" s="14">
        <f t="shared" si="6"/>
        <v>394125</v>
      </c>
      <c r="F78" s="15"/>
      <c r="G78" s="15">
        <v>98531.25</v>
      </c>
      <c r="H78" s="14">
        <f t="shared" si="9"/>
        <v>98531.25</v>
      </c>
      <c r="I78" s="114">
        <f>H78/E78</f>
        <v>0.25</v>
      </c>
      <c r="J78" s="80" t="s">
        <v>31</v>
      </c>
    </row>
    <row r="79" spans="1:10" s="6" customFormat="1" ht="31.5" customHeight="1" hidden="1">
      <c r="A79" s="53"/>
      <c r="B79" s="33" t="s">
        <v>127</v>
      </c>
      <c r="C79" s="126"/>
      <c r="D79" s="126"/>
      <c r="E79" s="14">
        <f t="shared" si="6"/>
        <v>0</v>
      </c>
      <c r="F79" s="15"/>
      <c r="G79" s="15"/>
      <c r="H79" s="14">
        <f t="shared" si="9"/>
        <v>0</v>
      </c>
      <c r="I79" s="114"/>
      <c r="J79" s="80" t="s">
        <v>128</v>
      </c>
    </row>
    <row r="80" spans="1:10" s="6" customFormat="1" ht="12" customHeight="1">
      <c r="A80" s="53"/>
      <c r="B80" s="33" t="s">
        <v>263</v>
      </c>
      <c r="C80" s="126"/>
      <c r="D80" s="15">
        <v>262932</v>
      </c>
      <c r="E80" s="14">
        <f t="shared" si="6"/>
        <v>262932</v>
      </c>
      <c r="F80" s="15"/>
      <c r="G80" s="15">
        <v>93683.05</v>
      </c>
      <c r="H80" s="14">
        <f t="shared" si="9"/>
        <v>93683.05</v>
      </c>
      <c r="I80" s="114">
        <f>H80/E80</f>
        <v>0.356301439155371</v>
      </c>
      <c r="J80" s="80" t="s">
        <v>32</v>
      </c>
    </row>
    <row r="81" spans="1:10" s="16" customFormat="1" ht="22.5" hidden="1">
      <c r="A81" s="52"/>
      <c r="B81" s="12" t="s">
        <v>268</v>
      </c>
      <c r="C81" s="163"/>
      <c r="D81" s="163"/>
      <c r="E81" s="14">
        <f t="shared" si="6"/>
        <v>0</v>
      </c>
      <c r="F81" s="13"/>
      <c r="G81" s="13"/>
      <c r="H81" s="14">
        <f t="shared" si="9"/>
        <v>0</v>
      </c>
      <c r="I81" s="114" t="e">
        <f>H81/E81</f>
        <v>#DIV/0!</v>
      </c>
      <c r="J81" s="71"/>
    </row>
    <row r="82" spans="1:10" s="6" customFormat="1" ht="45" customHeight="1">
      <c r="A82" s="53"/>
      <c r="B82" s="33" t="s">
        <v>27</v>
      </c>
      <c r="C82" s="126"/>
      <c r="D82" s="15">
        <v>47000</v>
      </c>
      <c r="E82" s="14">
        <f aca="true" t="shared" si="10" ref="E82:E114">SUM(C82:D82)</f>
        <v>47000</v>
      </c>
      <c r="F82" s="15"/>
      <c r="G82" s="15">
        <v>11094</v>
      </c>
      <c r="H82" s="14">
        <f t="shared" si="9"/>
        <v>11094</v>
      </c>
      <c r="I82" s="114">
        <f>H82/E82</f>
        <v>0.23604255319148937</v>
      </c>
      <c r="J82" s="80" t="s">
        <v>33</v>
      </c>
    </row>
    <row r="83" spans="1:10" s="6" customFormat="1" ht="22.5" hidden="1">
      <c r="A83" s="53"/>
      <c r="B83" s="33" t="s">
        <v>332</v>
      </c>
      <c r="C83" s="126"/>
      <c r="D83" s="126"/>
      <c r="E83" s="14">
        <f t="shared" si="10"/>
        <v>0</v>
      </c>
      <c r="F83" s="15"/>
      <c r="G83" s="15"/>
      <c r="H83" s="14">
        <f t="shared" si="9"/>
        <v>0</v>
      </c>
      <c r="I83" s="114" t="e">
        <f>H83/E83</f>
        <v>#DIV/0!</v>
      </c>
      <c r="J83" s="80"/>
    </row>
    <row r="84" spans="1:10" s="6" customFormat="1" ht="11.25" customHeight="1">
      <c r="A84" s="53"/>
      <c r="B84" s="33" t="s">
        <v>264</v>
      </c>
      <c r="C84" s="164"/>
      <c r="D84" s="15">
        <v>39800</v>
      </c>
      <c r="E84" s="14">
        <f t="shared" si="10"/>
        <v>39800</v>
      </c>
      <c r="F84" s="124"/>
      <c r="G84" s="15">
        <v>21312.43</v>
      </c>
      <c r="H84" s="14">
        <f t="shared" si="9"/>
        <v>21312.43</v>
      </c>
      <c r="I84" s="114">
        <f>H84/E84</f>
        <v>0.5354881909547738</v>
      </c>
      <c r="J84" s="80" t="s">
        <v>34</v>
      </c>
    </row>
    <row r="85" spans="1:10" s="6" customFormat="1" ht="14.25" customHeight="1" hidden="1">
      <c r="A85" s="53"/>
      <c r="B85" s="33" t="s">
        <v>372</v>
      </c>
      <c r="C85" s="126"/>
      <c r="D85" s="126"/>
      <c r="E85" s="14">
        <f t="shared" si="10"/>
        <v>0</v>
      </c>
      <c r="F85" s="15"/>
      <c r="G85" s="15"/>
      <c r="H85" s="14">
        <f t="shared" si="9"/>
        <v>0</v>
      </c>
      <c r="I85" s="114" t="e">
        <f aca="true" t="shared" si="11" ref="I85:I94">H85/E85</f>
        <v>#DIV/0!</v>
      </c>
      <c r="J85" s="80" t="s">
        <v>209</v>
      </c>
    </row>
    <row r="86" spans="1:10" s="6" customFormat="1" ht="27" customHeight="1" hidden="1">
      <c r="A86" s="53"/>
      <c r="B86" s="33" t="s">
        <v>329</v>
      </c>
      <c r="C86" s="126"/>
      <c r="D86" s="126"/>
      <c r="E86" s="14">
        <f t="shared" si="10"/>
        <v>0</v>
      </c>
      <c r="F86" s="15"/>
      <c r="G86" s="15"/>
      <c r="H86" s="14">
        <f t="shared" si="9"/>
        <v>0</v>
      </c>
      <c r="I86" s="114" t="e">
        <f t="shared" si="11"/>
        <v>#DIV/0!</v>
      </c>
      <c r="J86" s="80"/>
    </row>
    <row r="87" spans="1:10" s="6" customFormat="1" ht="39.75" customHeight="1" hidden="1">
      <c r="A87" s="53"/>
      <c r="B87" s="33" t="s">
        <v>325</v>
      </c>
      <c r="C87" s="126"/>
      <c r="D87" s="126"/>
      <c r="E87" s="14">
        <f t="shared" si="10"/>
        <v>0</v>
      </c>
      <c r="F87" s="15"/>
      <c r="G87" s="15"/>
      <c r="H87" s="14">
        <f t="shared" si="9"/>
        <v>0</v>
      </c>
      <c r="I87" s="114" t="e">
        <f t="shared" si="11"/>
        <v>#DIV/0!</v>
      </c>
      <c r="J87" s="80"/>
    </row>
    <row r="88" spans="1:12" s="16" customFormat="1" ht="36" customHeight="1">
      <c r="A88" s="52"/>
      <c r="B88" s="12" t="s">
        <v>265</v>
      </c>
      <c r="C88" s="15">
        <f>5491028+1072901</f>
        <v>6563929</v>
      </c>
      <c r="D88" s="126"/>
      <c r="E88" s="14">
        <f t="shared" si="10"/>
        <v>6563929</v>
      </c>
      <c r="F88" s="15">
        <v>1383534.22</v>
      </c>
      <c r="G88" s="15"/>
      <c r="H88" s="14">
        <f t="shared" si="9"/>
        <v>1383534.22</v>
      </c>
      <c r="I88" s="114">
        <f t="shared" si="11"/>
        <v>0.2107783646044922</v>
      </c>
      <c r="J88" s="71" t="s">
        <v>142</v>
      </c>
      <c r="L88" s="203">
        <f>C88+C95</f>
        <v>7190255</v>
      </c>
    </row>
    <row r="89" spans="1:10" s="6" customFormat="1" ht="46.5" customHeight="1" hidden="1">
      <c r="A89" s="53"/>
      <c r="B89" s="33" t="s">
        <v>118</v>
      </c>
      <c r="C89" s="162"/>
      <c r="D89" s="162"/>
      <c r="E89" s="14">
        <f t="shared" si="10"/>
        <v>0</v>
      </c>
      <c r="F89" s="30"/>
      <c r="G89" s="30"/>
      <c r="H89" s="14">
        <f t="shared" si="9"/>
        <v>0</v>
      </c>
      <c r="I89" s="114" t="e">
        <f t="shared" si="11"/>
        <v>#DIV/0!</v>
      </c>
      <c r="J89" s="210" t="s">
        <v>119</v>
      </c>
    </row>
    <row r="90" spans="1:10" s="6" customFormat="1" ht="54.75" customHeight="1" hidden="1">
      <c r="A90" s="53"/>
      <c r="B90" s="33" t="s">
        <v>159</v>
      </c>
      <c r="C90" s="162"/>
      <c r="D90" s="162"/>
      <c r="E90" s="14">
        <f t="shared" si="10"/>
        <v>0</v>
      </c>
      <c r="F90" s="30"/>
      <c r="G90" s="30"/>
      <c r="H90" s="14">
        <f t="shared" si="9"/>
        <v>0</v>
      </c>
      <c r="I90" s="114" t="e">
        <f t="shared" si="11"/>
        <v>#DIV/0!</v>
      </c>
      <c r="J90" s="210" t="s">
        <v>165</v>
      </c>
    </row>
    <row r="91" spans="1:10" s="16" customFormat="1" ht="36.75" customHeight="1">
      <c r="A91" s="52"/>
      <c r="B91" s="12" t="s">
        <v>109</v>
      </c>
      <c r="C91" s="126"/>
      <c r="D91" s="15">
        <v>5850000</v>
      </c>
      <c r="E91" s="14">
        <f t="shared" si="10"/>
        <v>5850000</v>
      </c>
      <c r="F91" s="15"/>
      <c r="G91" s="15"/>
      <c r="H91" s="14">
        <f t="shared" si="9"/>
        <v>0</v>
      </c>
      <c r="I91" s="114">
        <f t="shared" si="11"/>
        <v>0</v>
      </c>
      <c r="J91" s="71" t="s">
        <v>107</v>
      </c>
    </row>
    <row r="92" spans="1:10" s="16" customFormat="1" ht="34.5" customHeight="1" hidden="1">
      <c r="A92" s="52"/>
      <c r="B92" s="12" t="s">
        <v>126</v>
      </c>
      <c r="C92" s="126"/>
      <c r="D92" s="126"/>
      <c r="E92" s="14">
        <f t="shared" si="10"/>
        <v>0</v>
      </c>
      <c r="F92" s="15"/>
      <c r="G92" s="15"/>
      <c r="H92" s="14">
        <f t="shared" si="9"/>
        <v>0</v>
      </c>
      <c r="I92" s="114" t="e">
        <f t="shared" si="11"/>
        <v>#DIV/0!</v>
      </c>
      <c r="J92" s="71" t="s">
        <v>195</v>
      </c>
    </row>
    <row r="93" spans="1:10" s="16" customFormat="1" ht="35.25" customHeight="1" hidden="1">
      <c r="A93" s="52"/>
      <c r="B93" s="12" t="s">
        <v>160</v>
      </c>
      <c r="C93" s="126"/>
      <c r="D93" s="126"/>
      <c r="E93" s="14">
        <f t="shared" si="10"/>
        <v>0</v>
      </c>
      <c r="F93" s="15"/>
      <c r="G93" s="15"/>
      <c r="H93" s="14">
        <f t="shared" si="9"/>
        <v>0</v>
      </c>
      <c r="I93" s="114" t="e">
        <f t="shared" si="11"/>
        <v>#DIV/0!</v>
      </c>
      <c r="J93" s="16" t="s">
        <v>161</v>
      </c>
    </row>
    <row r="94" spans="1:10" s="2" customFormat="1" ht="33" customHeight="1">
      <c r="A94" s="53"/>
      <c r="B94" s="28" t="s">
        <v>271</v>
      </c>
      <c r="C94" s="15">
        <v>309657</v>
      </c>
      <c r="D94" s="126"/>
      <c r="E94" s="14">
        <f t="shared" si="10"/>
        <v>309657</v>
      </c>
      <c r="F94" s="15">
        <v>309657.42</v>
      </c>
      <c r="G94" s="15"/>
      <c r="H94" s="14">
        <f t="shared" si="9"/>
        <v>309657.42</v>
      </c>
      <c r="I94" s="114">
        <f t="shared" si="11"/>
        <v>1.0000013563394337</v>
      </c>
      <c r="J94" s="81" t="s">
        <v>407</v>
      </c>
    </row>
    <row r="95" spans="1:10" s="16" customFormat="1" ht="24.75" customHeight="1">
      <c r="A95" s="52"/>
      <c r="B95" s="12" t="s">
        <v>393</v>
      </c>
      <c r="C95" s="15">
        <f>976326-350000</f>
        <v>626326</v>
      </c>
      <c r="D95" s="126"/>
      <c r="E95" s="14">
        <f t="shared" si="10"/>
        <v>626326</v>
      </c>
      <c r="F95" s="15"/>
      <c r="G95" s="15"/>
      <c r="H95" s="14">
        <f t="shared" si="9"/>
        <v>0</v>
      </c>
      <c r="I95" s="114">
        <f aca="true" t="shared" si="12" ref="I95:I128">H95/E95</f>
        <v>0</v>
      </c>
      <c r="J95" s="71" t="s">
        <v>151</v>
      </c>
    </row>
    <row r="96" spans="1:10" s="16" customFormat="1" ht="56.25" hidden="1">
      <c r="A96" s="52"/>
      <c r="B96" s="12" t="s">
        <v>384</v>
      </c>
      <c r="C96" s="126"/>
      <c r="D96" s="126"/>
      <c r="E96" s="14">
        <f t="shared" si="10"/>
        <v>0</v>
      </c>
      <c r="F96" s="15"/>
      <c r="G96" s="15"/>
      <c r="H96" s="14">
        <f t="shared" si="9"/>
        <v>0</v>
      </c>
      <c r="I96" s="114" t="e">
        <f t="shared" si="12"/>
        <v>#DIV/0!</v>
      </c>
      <c r="J96" s="71" t="s">
        <v>35</v>
      </c>
    </row>
    <row r="97" spans="1:10" s="16" customFormat="1" ht="36" customHeight="1" hidden="1">
      <c r="A97" s="52"/>
      <c r="B97" s="12" t="s">
        <v>380</v>
      </c>
      <c r="C97" s="126"/>
      <c r="D97" s="126"/>
      <c r="E97" s="14">
        <f t="shared" si="10"/>
        <v>0</v>
      </c>
      <c r="F97" s="15"/>
      <c r="G97" s="15"/>
      <c r="H97" s="14">
        <f t="shared" si="9"/>
        <v>0</v>
      </c>
      <c r="I97" s="114" t="e">
        <f t="shared" si="12"/>
        <v>#DIV/0!</v>
      </c>
      <c r="J97" s="87" t="s">
        <v>92</v>
      </c>
    </row>
    <row r="98" spans="1:11" s="11" customFormat="1" ht="28.5" customHeight="1">
      <c r="A98" s="24">
        <v>6</v>
      </c>
      <c r="B98" s="26" t="s">
        <v>266</v>
      </c>
      <c r="C98" s="9">
        <f>SUM(C99:C123)</f>
        <v>371159</v>
      </c>
      <c r="D98" s="9">
        <f>SUM(D99:D123)</f>
        <v>351500</v>
      </c>
      <c r="E98" s="27">
        <f t="shared" si="10"/>
        <v>722659</v>
      </c>
      <c r="F98" s="9">
        <f>SUM(F99:F123)</f>
        <v>0</v>
      </c>
      <c r="G98" s="9">
        <f>SUM(G99:G123)</f>
        <v>90000</v>
      </c>
      <c r="H98" s="27">
        <f t="shared" si="9"/>
        <v>90000</v>
      </c>
      <c r="I98" s="114">
        <f t="shared" si="12"/>
        <v>0.12454006661509785</v>
      </c>
      <c r="J98" s="80" t="s">
        <v>36</v>
      </c>
      <c r="K98" s="119"/>
    </row>
    <row r="99" spans="1:11" s="6" customFormat="1" ht="33.75" customHeight="1">
      <c r="A99" s="53"/>
      <c r="B99" s="33" t="s">
        <v>316</v>
      </c>
      <c r="C99" s="126"/>
      <c r="D99" s="15">
        <v>351500</v>
      </c>
      <c r="E99" s="14">
        <f t="shared" si="10"/>
        <v>351500</v>
      </c>
      <c r="F99" s="15"/>
      <c r="G99" s="15">
        <v>90000</v>
      </c>
      <c r="H99" s="14">
        <f t="shared" si="9"/>
        <v>90000</v>
      </c>
      <c r="I99" s="114">
        <f t="shared" si="12"/>
        <v>0.25604551920341395</v>
      </c>
      <c r="J99" s="106" t="s">
        <v>36</v>
      </c>
      <c r="K99" s="6" t="s">
        <v>89</v>
      </c>
    </row>
    <row r="100" spans="1:10" s="6" customFormat="1" ht="28.5" customHeight="1">
      <c r="A100" s="53"/>
      <c r="B100" s="12" t="s">
        <v>342</v>
      </c>
      <c r="C100" s="15">
        <v>350000</v>
      </c>
      <c r="D100" s="15"/>
      <c r="E100" s="14">
        <f t="shared" si="10"/>
        <v>350000</v>
      </c>
      <c r="F100" s="15"/>
      <c r="G100" s="15"/>
      <c r="H100" s="14">
        <f t="shared" si="9"/>
        <v>0</v>
      </c>
      <c r="I100" s="114">
        <f t="shared" si="12"/>
        <v>0</v>
      </c>
      <c r="J100" s="106"/>
    </row>
    <row r="101" spans="1:10" s="6" customFormat="1" ht="35.25" customHeight="1" hidden="1">
      <c r="A101" s="53"/>
      <c r="B101" s="12" t="s">
        <v>267</v>
      </c>
      <c r="C101" s="126"/>
      <c r="D101" s="126"/>
      <c r="E101" s="14">
        <f t="shared" si="10"/>
        <v>0</v>
      </c>
      <c r="F101" s="15"/>
      <c r="G101" s="15"/>
      <c r="H101" s="14">
        <f t="shared" si="9"/>
        <v>0</v>
      </c>
      <c r="I101" s="114" t="e">
        <f t="shared" si="12"/>
        <v>#DIV/0!</v>
      </c>
      <c r="J101" s="80" t="s">
        <v>37</v>
      </c>
    </row>
    <row r="102" spans="1:10" s="6" customFormat="1" ht="28.5" customHeight="1">
      <c r="A102" s="53"/>
      <c r="B102" s="12" t="s">
        <v>411</v>
      </c>
      <c r="C102" s="15">
        <v>21159</v>
      </c>
      <c r="D102" s="126"/>
      <c r="E102" s="14">
        <f t="shared" si="10"/>
        <v>21159</v>
      </c>
      <c r="F102" s="15"/>
      <c r="G102" s="15"/>
      <c r="H102" s="14">
        <f t="shared" si="9"/>
        <v>0</v>
      </c>
      <c r="I102" s="114">
        <f t="shared" si="12"/>
        <v>0</v>
      </c>
      <c r="J102" s="80" t="s">
        <v>412</v>
      </c>
    </row>
    <row r="103" spans="1:10" s="6" customFormat="1" ht="45.75" customHeight="1" hidden="1">
      <c r="A103" s="53"/>
      <c r="B103" s="12" t="s">
        <v>385</v>
      </c>
      <c r="C103" s="126"/>
      <c r="D103" s="126"/>
      <c r="E103" s="14">
        <f t="shared" si="10"/>
        <v>0</v>
      </c>
      <c r="F103" s="15"/>
      <c r="G103" s="15"/>
      <c r="H103" s="14">
        <f aca="true" t="shared" si="13" ref="H103:H134">SUM(F103:G103)</f>
        <v>0</v>
      </c>
      <c r="I103" s="114" t="e">
        <f t="shared" si="12"/>
        <v>#DIV/0!</v>
      </c>
      <c r="J103" s="106" t="s">
        <v>94</v>
      </c>
    </row>
    <row r="104" spans="1:13" s="6" customFormat="1" ht="30.75" customHeight="1" hidden="1">
      <c r="A104" s="53"/>
      <c r="B104" s="33" t="s">
        <v>125</v>
      </c>
      <c r="C104" s="162"/>
      <c r="D104" s="162"/>
      <c r="E104" s="14">
        <f t="shared" si="10"/>
        <v>0</v>
      </c>
      <c r="F104" s="30"/>
      <c r="G104" s="30"/>
      <c r="H104" s="14">
        <f t="shared" si="13"/>
        <v>0</v>
      </c>
      <c r="I104" s="114" t="e">
        <f t="shared" si="12"/>
        <v>#DIV/0!</v>
      </c>
      <c r="J104" s="106" t="s">
        <v>95</v>
      </c>
      <c r="K104" s="106"/>
      <c r="L104" s="106"/>
      <c r="M104" s="106"/>
    </row>
    <row r="105" spans="1:13" s="6" customFormat="1" ht="24" customHeight="1" hidden="1">
      <c r="A105" s="53"/>
      <c r="B105" s="33" t="s">
        <v>124</v>
      </c>
      <c r="C105" s="162"/>
      <c r="D105" s="162"/>
      <c r="E105" s="14">
        <f t="shared" si="10"/>
        <v>0</v>
      </c>
      <c r="F105" s="30"/>
      <c r="G105" s="30"/>
      <c r="H105" s="14">
        <f t="shared" si="13"/>
        <v>0</v>
      </c>
      <c r="I105" s="114" t="e">
        <f t="shared" si="12"/>
        <v>#DIV/0!</v>
      </c>
      <c r="J105" s="106" t="s">
        <v>136</v>
      </c>
      <c r="K105" s="106"/>
      <c r="L105" s="106"/>
      <c r="M105" s="106"/>
    </row>
    <row r="106" spans="1:10" s="6" customFormat="1" ht="44.25" customHeight="1" hidden="1">
      <c r="A106" s="53"/>
      <c r="B106" s="33" t="s">
        <v>319</v>
      </c>
      <c r="C106" s="162"/>
      <c r="D106" s="162"/>
      <c r="E106" s="14">
        <f t="shared" si="10"/>
        <v>0</v>
      </c>
      <c r="F106" s="30"/>
      <c r="G106" s="30"/>
      <c r="H106" s="14">
        <f t="shared" si="13"/>
        <v>0</v>
      </c>
      <c r="I106" s="114" t="e">
        <f t="shared" si="12"/>
        <v>#DIV/0!</v>
      </c>
      <c r="J106" s="80" t="s">
        <v>39</v>
      </c>
    </row>
    <row r="107" spans="1:10" s="6" customFormat="1" ht="34.5" customHeight="1" hidden="1">
      <c r="A107" s="53"/>
      <c r="B107" s="12" t="s">
        <v>320</v>
      </c>
      <c r="C107" s="162"/>
      <c r="D107" s="162"/>
      <c r="E107" s="14">
        <f t="shared" si="10"/>
        <v>0</v>
      </c>
      <c r="F107" s="30"/>
      <c r="G107" s="30"/>
      <c r="H107" s="14">
        <f t="shared" si="13"/>
        <v>0</v>
      </c>
      <c r="I107" s="114" t="e">
        <f t="shared" si="12"/>
        <v>#DIV/0!</v>
      </c>
      <c r="J107" s="88" t="s">
        <v>38</v>
      </c>
    </row>
    <row r="108" spans="1:10" s="6" customFormat="1" ht="22.5" hidden="1">
      <c r="A108" s="53"/>
      <c r="B108" s="12" t="s">
        <v>341</v>
      </c>
      <c r="C108" s="162"/>
      <c r="D108" s="162"/>
      <c r="E108" s="14">
        <f t="shared" si="10"/>
        <v>0</v>
      </c>
      <c r="F108" s="30"/>
      <c r="G108" s="30"/>
      <c r="H108" s="14">
        <f t="shared" si="13"/>
        <v>0</v>
      </c>
      <c r="I108" s="114" t="e">
        <f t="shared" si="12"/>
        <v>#DIV/0!</v>
      </c>
      <c r="J108" s="80" t="s">
        <v>40</v>
      </c>
    </row>
    <row r="109" spans="1:10" s="6" customFormat="1" ht="22.5" hidden="1">
      <c r="A109" s="53"/>
      <c r="B109" s="12" t="s">
        <v>342</v>
      </c>
      <c r="C109" s="162"/>
      <c r="D109" s="162"/>
      <c r="E109" s="14">
        <f t="shared" si="10"/>
        <v>0</v>
      </c>
      <c r="F109" s="30"/>
      <c r="G109" s="30"/>
      <c r="H109" s="14">
        <f t="shared" si="13"/>
        <v>0</v>
      </c>
      <c r="I109" s="114" t="e">
        <f t="shared" si="12"/>
        <v>#DIV/0!</v>
      </c>
      <c r="J109" s="80" t="s">
        <v>41</v>
      </c>
    </row>
    <row r="110" spans="1:10" s="6" customFormat="1" ht="45" hidden="1">
      <c r="A110" s="53"/>
      <c r="B110" s="12" t="s">
        <v>326</v>
      </c>
      <c r="C110" s="162"/>
      <c r="D110" s="162"/>
      <c r="E110" s="14">
        <f t="shared" si="10"/>
        <v>0</v>
      </c>
      <c r="F110" s="30"/>
      <c r="G110" s="30"/>
      <c r="H110" s="14">
        <f t="shared" si="13"/>
        <v>0</v>
      </c>
      <c r="I110" s="114" t="e">
        <f t="shared" si="12"/>
        <v>#DIV/0!</v>
      </c>
      <c r="J110" s="80" t="s">
        <v>42</v>
      </c>
    </row>
    <row r="111" spans="1:10" s="6" customFormat="1" ht="22.5" customHeight="1" hidden="1">
      <c r="A111" s="53"/>
      <c r="B111" s="12" t="s">
        <v>138</v>
      </c>
      <c r="C111" s="162"/>
      <c r="D111" s="162"/>
      <c r="E111" s="14">
        <f t="shared" si="10"/>
        <v>0</v>
      </c>
      <c r="F111" s="30"/>
      <c r="G111" s="30"/>
      <c r="H111" s="14">
        <f t="shared" si="13"/>
        <v>0</v>
      </c>
      <c r="I111" s="114" t="e">
        <f t="shared" si="12"/>
        <v>#DIV/0!</v>
      </c>
      <c r="J111" s="80" t="s">
        <v>139</v>
      </c>
    </row>
    <row r="112" spans="1:13" s="6" customFormat="1" ht="21" customHeight="1" hidden="1">
      <c r="A112" s="53"/>
      <c r="B112" s="33" t="s">
        <v>336</v>
      </c>
      <c r="C112" s="162"/>
      <c r="D112" s="162"/>
      <c r="E112" s="14">
        <f t="shared" si="10"/>
        <v>0</v>
      </c>
      <c r="F112" s="30"/>
      <c r="G112" s="30"/>
      <c r="H112" s="14">
        <f t="shared" si="13"/>
        <v>0</v>
      </c>
      <c r="I112" s="114" t="e">
        <f t="shared" si="12"/>
        <v>#DIV/0!</v>
      </c>
      <c r="J112" s="106" t="s">
        <v>121</v>
      </c>
      <c r="K112" s="106"/>
      <c r="L112" s="106"/>
      <c r="M112" s="106"/>
    </row>
    <row r="113" spans="1:10" s="6" customFormat="1" ht="48.75" customHeight="1" hidden="1">
      <c r="A113" s="53"/>
      <c r="B113" s="33" t="s">
        <v>357</v>
      </c>
      <c r="C113" s="162"/>
      <c r="D113" s="162"/>
      <c r="E113" s="14">
        <f t="shared" si="10"/>
        <v>0</v>
      </c>
      <c r="F113" s="30"/>
      <c r="G113" s="30"/>
      <c r="H113" s="14">
        <f t="shared" si="13"/>
        <v>0</v>
      </c>
      <c r="I113" s="114" t="e">
        <f t="shared" si="12"/>
        <v>#DIV/0!</v>
      </c>
      <c r="J113" s="71" t="s">
        <v>43</v>
      </c>
    </row>
    <row r="114" spans="1:13" s="6" customFormat="1" ht="11.25" hidden="1">
      <c r="A114" s="53"/>
      <c r="B114" s="33" t="s">
        <v>358</v>
      </c>
      <c r="C114" s="162"/>
      <c r="D114" s="162"/>
      <c r="E114" s="14">
        <f t="shared" si="10"/>
        <v>0</v>
      </c>
      <c r="F114" s="30"/>
      <c r="G114" s="30"/>
      <c r="H114" s="14">
        <f t="shared" si="13"/>
        <v>0</v>
      </c>
      <c r="I114" s="114" t="e">
        <f t="shared" si="12"/>
        <v>#DIV/0!</v>
      </c>
      <c r="J114" s="106"/>
      <c r="K114" s="106"/>
      <c r="L114" s="106"/>
      <c r="M114" s="106"/>
    </row>
    <row r="115" spans="1:10" s="6" customFormat="1" ht="22.5" hidden="1">
      <c r="A115" s="53"/>
      <c r="B115" s="12" t="s">
        <v>339</v>
      </c>
      <c r="C115" s="162"/>
      <c r="D115" s="162"/>
      <c r="E115" s="14">
        <f aca="true" t="shared" si="14" ref="E115:E147">SUM(C115:D115)</f>
        <v>0</v>
      </c>
      <c r="F115" s="15"/>
      <c r="G115" s="30"/>
      <c r="H115" s="14">
        <f t="shared" si="13"/>
        <v>0</v>
      </c>
      <c r="I115" s="114" t="e">
        <f t="shared" si="12"/>
        <v>#DIV/0!</v>
      </c>
      <c r="J115" s="71" t="s">
        <v>44</v>
      </c>
    </row>
    <row r="116" spans="1:10" s="6" customFormat="1" ht="33.75" customHeight="1" hidden="1">
      <c r="A116" s="53"/>
      <c r="B116" s="33" t="s">
        <v>365</v>
      </c>
      <c r="C116" s="126"/>
      <c r="D116" s="126"/>
      <c r="E116" s="14">
        <f t="shared" si="14"/>
        <v>0</v>
      </c>
      <c r="F116" s="15"/>
      <c r="G116" s="15"/>
      <c r="H116" s="14">
        <f t="shared" si="13"/>
        <v>0</v>
      </c>
      <c r="I116" s="114" t="e">
        <f t="shared" si="12"/>
        <v>#DIV/0!</v>
      </c>
      <c r="J116" s="89" t="s">
        <v>155</v>
      </c>
    </row>
    <row r="117" spans="1:10" s="6" customFormat="1" ht="49.5" customHeight="1" hidden="1">
      <c r="A117" s="53"/>
      <c r="B117" s="33" t="s">
        <v>371</v>
      </c>
      <c r="C117" s="162"/>
      <c r="D117" s="162"/>
      <c r="E117" s="14">
        <f t="shared" si="14"/>
        <v>0</v>
      </c>
      <c r="F117" s="30"/>
      <c r="G117" s="30"/>
      <c r="H117" s="14">
        <f t="shared" si="13"/>
        <v>0</v>
      </c>
      <c r="I117" s="114" t="e">
        <f t="shared" si="12"/>
        <v>#DIV/0!</v>
      </c>
      <c r="J117" s="77" t="s">
        <v>45</v>
      </c>
    </row>
    <row r="118" spans="1:10" s="6" customFormat="1" ht="36" customHeight="1" hidden="1">
      <c r="A118" s="53"/>
      <c r="B118" s="33" t="s">
        <v>386</v>
      </c>
      <c r="C118" s="162"/>
      <c r="D118" s="162"/>
      <c r="E118" s="14">
        <f t="shared" si="14"/>
        <v>0</v>
      </c>
      <c r="F118" s="15"/>
      <c r="G118" s="30"/>
      <c r="H118" s="14">
        <f t="shared" si="13"/>
        <v>0</v>
      </c>
      <c r="I118" s="114" t="e">
        <f t="shared" si="12"/>
        <v>#DIV/0!</v>
      </c>
      <c r="J118" s="71" t="s">
        <v>46</v>
      </c>
    </row>
    <row r="119" spans="1:10" s="16" customFormat="1" ht="45" hidden="1">
      <c r="A119" s="52"/>
      <c r="B119" s="33" t="s">
        <v>366</v>
      </c>
      <c r="C119" s="126"/>
      <c r="D119" s="126"/>
      <c r="E119" s="14">
        <f t="shared" si="14"/>
        <v>0</v>
      </c>
      <c r="F119" s="15"/>
      <c r="G119" s="15"/>
      <c r="H119" s="14">
        <f t="shared" si="13"/>
        <v>0</v>
      </c>
      <c r="I119" s="114" t="e">
        <f t="shared" si="12"/>
        <v>#DIV/0!</v>
      </c>
      <c r="J119" s="89" t="s">
        <v>45</v>
      </c>
    </row>
    <row r="120" spans="1:10" s="16" customFormat="1" ht="39.75" customHeight="1" hidden="1">
      <c r="A120" s="52"/>
      <c r="B120" s="33" t="s">
        <v>133</v>
      </c>
      <c r="C120" s="126"/>
      <c r="D120" s="126"/>
      <c r="E120" s="14">
        <f t="shared" si="14"/>
        <v>0</v>
      </c>
      <c r="F120" s="15"/>
      <c r="G120" s="15"/>
      <c r="H120" s="14">
        <f t="shared" si="13"/>
        <v>0</v>
      </c>
      <c r="I120" s="114" t="e">
        <f t="shared" si="12"/>
        <v>#DIV/0!</v>
      </c>
      <c r="J120" s="89" t="s">
        <v>134</v>
      </c>
    </row>
    <row r="121" spans="1:10" s="16" customFormat="1" ht="28.5" customHeight="1" hidden="1">
      <c r="A121" s="52"/>
      <c r="B121" s="33" t="s">
        <v>167</v>
      </c>
      <c r="C121" s="126"/>
      <c r="D121" s="126"/>
      <c r="E121" s="14">
        <f t="shared" si="14"/>
        <v>0</v>
      </c>
      <c r="F121" s="15"/>
      <c r="G121" s="15"/>
      <c r="H121" s="14">
        <f t="shared" si="13"/>
        <v>0</v>
      </c>
      <c r="I121" s="114" t="e">
        <f t="shared" si="12"/>
        <v>#DIV/0!</v>
      </c>
      <c r="J121" s="89" t="s">
        <v>166</v>
      </c>
    </row>
    <row r="122" spans="1:10" s="16" customFormat="1" ht="34.5" customHeight="1" hidden="1">
      <c r="A122" s="52"/>
      <c r="B122" s="33" t="s">
        <v>174</v>
      </c>
      <c r="C122" s="126"/>
      <c r="D122" s="126"/>
      <c r="E122" s="14">
        <f t="shared" si="14"/>
        <v>0</v>
      </c>
      <c r="F122" s="15"/>
      <c r="G122" s="15"/>
      <c r="H122" s="14">
        <f t="shared" si="13"/>
        <v>0</v>
      </c>
      <c r="I122" s="114" t="e">
        <f t="shared" si="12"/>
        <v>#DIV/0!</v>
      </c>
      <c r="J122" s="140" t="s">
        <v>178</v>
      </c>
    </row>
    <row r="123" spans="1:10" s="16" customFormat="1" ht="14.25" customHeight="1" hidden="1">
      <c r="A123" s="52"/>
      <c r="B123" s="12" t="s">
        <v>354</v>
      </c>
      <c r="C123" s="126"/>
      <c r="D123" s="126"/>
      <c r="E123" s="14">
        <f t="shared" si="14"/>
        <v>0</v>
      </c>
      <c r="F123" s="15"/>
      <c r="G123" s="15"/>
      <c r="H123" s="14">
        <f t="shared" si="13"/>
        <v>0</v>
      </c>
      <c r="I123" s="114" t="e">
        <f t="shared" si="12"/>
        <v>#DIV/0!</v>
      </c>
      <c r="J123" s="16" t="s">
        <v>114</v>
      </c>
    </row>
    <row r="124" spans="1:11" s="11" customFormat="1" ht="23.25" customHeight="1">
      <c r="A124" s="24">
        <v>7</v>
      </c>
      <c r="B124" s="26" t="s">
        <v>269</v>
      </c>
      <c r="C124" s="27">
        <f>SUM(C125:C153)</f>
        <v>5225422</v>
      </c>
      <c r="D124" s="27">
        <f>SUM(D125:D153)</f>
        <v>11381868</v>
      </c>
      <c r="E124" s="27">
        <f t="shared" si="14"/>
        <v>16607290</v>
      </c>
      <c r="F124" s="27">
        <f>SUM(F125:F153)</f>
        <v>230294.53</v>
      </c>
      <c r="G124" s="27">
        <f>SUM(G125:G153)</f>
        <v>843757.5299999999</v>
      </c>
      <c r="H124" s="27">
        <f t="shared" si="13"/>
        <v>1074052.0599999998</v>
      </c>
      <c r="I124" s="114">
        <f t="shared" si="12"/>
        <v>0.0646735295162546</v>
      </c>
      <c r="J124" s="115"/>
      <c r="K124" s="113" t="s">
        <v>143</v>
      </c>
    </row>
    <row r="125" spans="1:11" s="2" customFormat="1" ht="11.25" customHeight="1">
      <c r="A125" s="53"/>
      <c r="B125" s="28" t="s">
        <v>270</v>
      </c>
      <c r="C125" s="126"/>
      <c r="D125" s="15">
        <v>2740426</v>
      </c>
      <c r="E125" s="14">
        <f t="shared" si="14"/>
        <v>2740426</v>
      </c>
      <c r="F125" s="15"/>
      <c r="G125" s="15">
        <v>815015.58</v>
      </c>
      <c r="H125" s="14">
        <f t="shared" si="13"/>
        <v>815015.58</v>
      </c>
      <c r="I125" s="114">
        <f t="shared" si="12"/>
        <v>0.29740470277248865</v>
      </c>
      <c r="J125" s="84" t="s">
        <v>47</v>
      </c>
      <c r="K125" s="115"/>
    </row>
    <row r="126" spans="1:11" s="2" customFormat="1" ht="13.5" customHeight="1">
      <c r="A126" s="53"/>
      <c r="B126" s="28" t="s">
        <v>122</v>
      </c>
      <c r="C126" s="126"/>
      <c r="D126" s="15">
        <v>8493045</v>
      </c>
      <c r="E126" s="14">
        <f t="shared" si="14"/>
        <v>8493045</v>
      </c>
      <c r="F126" s="15"/>
      <c r="G126" s="15"/>
      <c r="H126" s="14">
        <f t="shared" si="13"/>
        <v>0</v>
      </c>
      <c r="I126" s="114">
        <f t="shared" si="12"/>
        <v>0</v>
      </c>
      <c r="J126" s="81" t="s">
        <v>47</v>
      </c>
      <c r="K126" s="2" t="s">
        <v>144</v>
      </c>
    </row>
    <row r="127" spans="1:10" s="2" customFormat="1" ht="14.25" customHeight="1" hidden="1">
      <c r="A127" s="53"/>
      <c r="B127" s="28" t="s">
        <v>355</v>
      </c>
      <c r="C127" s="126"/>
      <c r="D127" s="126"/>
      <c r="E127" s="14">
        <f t="shared" si="14"/>
        <v>0</v>
      </c>
      <c r="F127" s="15"/>
      <c r="G127" s="15"/>
      <c r="H127" s="14">
        <f t="shared" si="13"/>
        <v>0</v>
      </c>
      <c r="I127" s="114" t="e">
        <f t="shared" si="12"/>
        <v>#DIV/0!</v>
      </c>
      <c r="J127" s="81" t="s">
        <v>48</v>
      </c>
    </row>
    <row r="128" spans="1:10" s="2" customFormat="1" ht="24.75" customHeight="1">
      <c r="A128" s="53"/>
      <c r="B128" s="12" t="s">
        <v>413</v>
      </c>
      <c r="C128" s="15">
        <v>898702</v>
      </c>
      <c r="D128" s="126"/>
      <c r="E128" s="14">
        <f t="shared" si="14"/>
        <v>898702</v>
      </c>
      <c r="F128" s="15"/>
      <c r="G128" s="15"/>
      <c r="H128" s="14">
        <f t="shared" si="13"/>
        <v>0</v>
      </c>
      <c r="I128" s="114">
        <f t="shared" si="12"/>
        <v>0</v>
      </c>
      <c r="J128" s="80" t="s">
        <v>417</v>
      </c>
    </row>
    <row r="129" spans="1:10" s="2" customFormat="1" ht="23.25" customHeight="1" hidden="1">
      <c r="A129" s="53"/>
      <c r="B129" s="28" t="s">
        <v>370</v>
      </c>
      <c r="C129" s="126"/>
      <c r="D129" s="126"/>
      <c r="E129" s="14">
        <f t="shared" si="14"/>
        <v>0</v>
      </c>
      <c r="F129" s="15"/>
      <c r="G129" s="15"/>
      <c r="H129" s="14">
        <f t="shared" si="13"/>
        <v>0</v>
      </c>
      <c r="I129" s="114" t="e">
        <f aca="true" t="shared" si="15" ref="I129:I150">H129/E129</f>
        <v>#DIV/0!</v>
      </c>
      <c r="J129" s="81" t="s">
        <v>49</v>
      </c>
    </row>
    <row r="130" spans="1:10" s="2" customFormat="1" ht="33.75" hidden="1">
      <c r="A130" s="53"/>
      <c r="B130" s="28" t="s">
        <v>272</v>
      </c>
      <c r="C130" s="126"/>
      <c r="D130" s="126"/>
      <c r="E130" s="14">
        <f t="shared" si="14"/>
        <v>0</v>
      </c>
      <c r="F130" s="15"/>
      <c r="G130" s="15"/>
      <c r="H130" s="14">
        <f t="shared" si="13"/>
        <v>0</v>
      </c>
      <c r="I130" s="114" t="e">
        <f t="shared" si="15"/>
        <v>#DIV/0!</v>
      </c>
      <c r="J130" s="81" t="s">
        <v>51</v>
      </c>
    </row>
    <row r="131" spans="1:10" s="2" customFormat="1" ht="35.25" customHeight="1" hidden="1">
      <c r="A131" s="53"/>
      <c r="B131" s="12" t="s">
        <v>337</v>
      </c>
      <c r="C131" s="126"/>
      <c r="D131" s="126"/>
      <c r="E131" s="14">
        <f t="shared" si="14"/>
        <v>0</v>
      </c>
      <c r="F131" s="15"/>
      <c r="G131" s="15"/>
      <c r="H131" s="14">
        <f t="shared" si="13"/>
        <v>0</v>
      </c>
      <c r="I131" s="114" t="e">
        <f t="shared" si="15"/>
        <v>#DIV/0!</v>
      </c>
      <c r="J131" s="81" t="s">
        <v>50</v>
      </c>
    </row>
    <row r="132" spans="1:10" s="2" customFormat="1" ht="12.75" customHeight="1" hidden="1">
      <c r="A132" s="53"/>
      <c r="B132" s="12" t="s">
        <v>356</v>
      </c>
      <c r="C132" s="126"/>
      <c r="D132" s="126"/>
      <c r="E132" s="14">
        <f t="shared" si="14"/>
        <v>0</v>
      </c>
      <c r="F132" s="15"/>
      <c r="G132" s="15"/>
      <c r="H132" s="14">
        <f t="shared" si="13"/>
        <v>0</v>
      </c>
      <c r="I132" s="114" t="e">
        <f t="shared" si="15"/>
        <v>#DIV/0!</v>
      </c>
      <c r="J132" s="81" t="s">
        <v>52</v>
      </c>
    </row>
    <row r="133" spans="1:10" s="2" customFormat="1" ht="20.25" customHeight="1" hidden="1">
      <c r="A133" s="53"/>
      <c r="B133" s="33" t="s">
        <v>332</v>
      </c>
      <c r="C133" s="126"/>
      <c r="D133" s="126"/>
      <c r="E133" s="14">
        <f t="shared" si="14"/>
        <v>0</v>
      </c>
      <c r="F133" s="15"/>
      <c r="G133" s="15"/>
      <c r="H133" s="14">
        <f t="shared" si="13"/>
        <v>0</v>
      </c>
      <c r="I133" s="114" t="e">
        <f t="shared" si="15"/>
        <v>#DIV/0!</v>
      </c>
      <c r="J133" s="81" t="s">
        <v>210</v>
      </c>
    </row>
    <row r="134" spans="1:10" s="2" customFormat="1" ht="30.75" customHeight="1" hidden="1">
      <c r="A134" s="53"/>
      <c r="B134" s="12" t="s">
        <v>360</v>
      </c>
      <c r="C134" s="126"/>
      <c r="D134" s="126"/>
      <c r="E134" s="14">
        <f t="shared" si="14"/>
        <v>0</v>
      </c>
      <c r="F134" s="15"/>
      <c r="G134" s="15"/>
      <c r="H134" s="14">
        <f t="shared" si="13"/>
        <v>0</v>
      </c>
      <c r="I134" s="114" t="e">
        <f t="shared" si="15"/>
        <v>#DIV/0!</v>
      </c>
      <c r="J134" s="90" t="s">
        <v>96</v>
      </c>
    </row>
    <row r="135" spans="1:10" s="16" customFormat="1" ht="35.25" customHeight="1" hidden="1">
      <c r="A135" s="52"/>
      <c r="B135" s="12" t="s">
        <v>340</v>
      </c>
      <c r="C135" s="163"/>
      <c r="D135" s="163"/>
      <c r="E135" s="14">
        <f t="shared" si="14"/>
        <v>0</v>
      </c>
      <c r="F135" s="13"/>
      <c r="G135" s="13"/>
      <c r="H135" s="14">
        <f aca="true" t="shared" si="16" ref="H135:H166">SUM(F135:G135)</f>
        <v>0</v>
      </c>
      <c r="I135" s="114" t="e">
        <f t="shared" si="15"/>
        <v>#DIV/0!</v>
      </c>
      <c r="J135" s="86">
        <v>85395.2708</v>
      </c>
    </row>
    <row r="136" spans="1:10" s="16" customFormat="1" ht="18" customHeight="1">
      <c r="A136" s="52"/>
      <c r="B136" s="12" t="s">
        <v>87</v>
      </c>
      <c r="C136" s="13">
        <v>11414</v>
      </c>
      <c r="D136" s="13">
        <f>11423+11276</f>
        <v>22699</v>
      </c>
      <c r="E136" s="14">
        <f t="shared" si="14"/>
        <v>34113</v>
      </c>
      <c r="F136" s="15">
        <f>1135.66+448.56+501.7+408.46+941.15</f>
        <v>3435.53</v>
      </c>
      <c r="G136" s="13">
        <f>178.56+95.19</f>
        <v>273.75</v>
      </c>
      <c r="H136" s="14">
        <f t="shared" si="16"/>
        <v>3709.28</v>
      </c>
      <c r="I136" s="114">
        <f t="shared" si="15"/>
        <v>0.10873508633072436</v>
      </c>
      <c r="J136" s="16" t="s">
        <v>189</v>
      </c>
    </row>
    <row r="137" spans="1:10" s="16" customFormat="1" ht="43.5" customHeight="1" hidden="1">
      <c r="A137" s="52"/>
      <c r="B137" s="12" t="s">
        <v>322</v>
      </c>
      <c r="C137" s="163"/>
      <c r="D137" s="163"/>
      <c r="E137" s="14">
        <f t="shared" si="14"/>
        <v>0</v>
      </c>
      <c r="F137" s="13"/>
      <c r="G137" s="13"/>
      <c r="H137" s="14">
        <f t="shared" si="16"/>
        <v>0</v>
      </c>
      <c r="I137" s="114" t="e">
        <f t="shared" si="15"/>
        <v>#DIV/0!</v>
      </c>
      <c r="J137" s="86" t="s">
        <v>97</v>
      </c>
    </row>
    <row r="138" spans="1:10" s="16" customFormat="1" ht="11.25" customHeight="1" hidden="1">
      <c r="A138" s="52"/>
      <c r="B138" s="12" t="s">
        <v>324</v>
      </c>
      <c r="C138" s="163"/>
      <c r="D138" s="163"/>
      <c r="E138" s="14">
        <f t="shared" si="14"/>
        <v>0</v>
      </c>
      <c r="F138" s="15"/>
      <c r="G138" s="13"/>
      <c r="H138" s="14">
        <f t="shared" si="16"/>
        <v>0</v>
      </c>
      <c r="I138" s="114" t="e">
        <f t="shared" si="15"/>
        <v>#DIV/0!</v>
      </c>
      <c r="J138" s="71" t="s">
        <v>53</v>
      </c>
    </row>
    <row r="139" spans="1:10" s="16" customFormat="1" ht="12" customHeight="1" hidden="1">
      <c r="A139" s="52"/>
      <c r="B139" s="12" t="s">
        <v>334</v>
      </c>
      <c r="C139" s="163"/>
      <c r="D139" s="163"/>
      <c r="E139" s="14">
        <f t="shared" si="14"/>
        <v>0</v>
      </c>
      <c r="F139" s="13"/>
      <c r="G139" s="13"/>
      <c r="H139" s="14">
        <f t="shared" si="16"/>
        <v>0</v>
      </c>
      <c r="I139" s="114" t="e">
        <f t="shared" si="15"/>
        <v>#DIV/0!</v>
      </c>
      <c r="J139" s="71" t="s">
        <v>54</v>
      </c>
    </row>
    <row r="140" spans="1:10" s="16" customFormat="1" ht="33.75" hidden="1">
      <c r="A140" s="52"/>
      <c r="B140" s="33" t="s">
        <v>319</v>
      </c>
      <c r="C140" s="163"/>
      <c r="D140" s="163"/>
      <c r="E140" s="14">
        <f t="shared" si="14"/>
        <v>0</v>
      </c>
      <c r="F140" s="13"/>
      <c r="G140" s="13"/>
      <c r="H140" s="14">
        <f t="shared" si="16"/>
        <v>0</v>
      </c>
      <c r="I140" s="114" t="e">
        <f t="shared" si="15"/>
        <v>#DIV/0!</v>
      </c>
      <c r="J140" s="81"/>
    </row>
    <row r="141" spans="1:10" s="16" customFormat="1" ht="22.5" hidden="1">
      <c r="A141" s="52"/>
      <c r="B141" s="33" t="s">
        <v>321</v>
      </c>
      <c r="C141" s="163"/>
      <c r="D141" s="163"/>
      <c r="E141" s="14">
        <f t="shared" si="14"/>
        <v>0</v>
      </c>
      <c r="F141" s="13"/>
      <c r="G141" s="13"/>
      <c r="H141" s="14">
        <f t="shared" si="16"/>
        <v>0</v>
      </c>
      <c r="I141" s="114" t="e">
        <f t="shared" si="15"/>
        <v>#DIV/0!</v>
      </c>
      <c r="J141" s="81" t="s">
        <v>55</v>
      </c>
    </row>
    <row r="142" spans="1:10" s="2" customFormat="1" ht="22.5" hidden="1">
      <c r="A142" s="53"/>
      <c r="B142" s="28" t="s">
        <v>273</v>
      </c>
      <c r="C142" s="126"/>
      <c r="D142" s="165"/>
      <c r="E142" s="14">
        <f t="shared" si="14"/>
        <v>0</v>
      </c>
      <c r="F142" s="15"/>
      <c r="G142" s="30"/>
      <c r="H142" s="14">
        <f t="shared" si="16"/>
        <v>0</v>
      </c>
      <c r="I142" s="114" t="e">
        <f t="shared" si="15"/>
        <v>#DIV/0!</v>
      </c>
      <c r="J142" s="81"/>
    </row>
    <row r="143" spans="1:10" s="2" customFormat="1" ht="36" customHeight="1" hidden="1">
      <c r="A143" s="53"/>
      <c r="B143" s="28" t="s">
        <v>328</v>
      </c>
      <c r="C143" s="126"/>
      <c r="D143" s="165"/>
      <c r="E143" s="14">
        <f t="shared" si="14"/>
        <v>0</v>
      </c>
      <c r="F143" s="15"/>
      <c r="G143" s="30"/>
      <c r="H143" s="14">
        <f t="shared" si="16"/>
        <v>0</v>
      </c>
      <c r="I143" s="114" t="e">
        <f t="shared" si="15"/>
        <v>#DIV/0!</v>
      </c>
      <c r="J143" s="81" t="s">
        <v>135</v>
      </c>
    </row>
    <row r="144" spans="1:10" s="2" customFormat="1" ht="27" customHeight="1">
      <c r="A144" s="53"/>
      <c r="B144" s="28" t="s">
        <v>352</v>
      </c>
      <c r="C144" s="15">
        <v>39456</v>
      </c>
      <c r="D144" s="165"/>
      <c r="E144" s="14">
        <f t="shared" si="14"/>
        <v>39456</v>
      </c>
      <c r="F144" s="15"/>
      <c r="G144" s="30"/>
      <c r="H144" s="14">
        <f t="shared" si="16"/>
        <v>0</v>
      </c>
      <c r="I144" s="114">
        <f t="shared" si="15"/>
        <v>0</v>
      </c>
      <c r="J144" s="81" t="s">
        <v>56</v>
      </c>
    </row>
    <row r="145" spans="1:10" s="2" customFormat="1" ht="15.75" customHeight="1">
      <c r="A145" s="53"/>
      <c r="B145" s="33" t="s">
        <v>358</v>
      </c>
      <c r="C145" s="126"/>
      <c r="D145" s="165"/>
      <c r="E145" s="14">
        <f t="shared" si="14"/>
        <v>0</v>
      </c>
      <c r="F145" s="15">
        <v>226854.61</v>
      </c>
      <c r="G145" s="30"/>
      <c r="H145" s="14">
        <f t="shared" si="16"/>
        <v>226854.61</v>
      </c>
      <c r="I145" s="114"/>
      <c r="J145" s="81" t="s">
        <v>190</v>
      </c>
    </row>
    <row r="146" spans="1:10" s="2" customFormat="1" ht="45.75" customHeight="1">
      <c r="A146" s="53"/>
      <c r="B146" s="33" t="s">
        <v>362</v>
      </c>
      <c r="C146" s="15">
        <v>3793884</v>
      </c>
      <c r="D146" s="165"/>
      <c r="E146" s="14">
        <f t="shared" si="14"/>
        <v>3793884</v>
      </c>
      <c r="F146" s="15"/>
      <c r="G146" s="30"/>
      <c r="H146" s="14">
        <f t="shared" si="16"/>
        <v>0</v>
      </c>
      <c r="I146" s="114">
        <f t="shared" si="15"/>
        <v>0</v>
      </c>
      <c r="J146" s="81" t="s">
        <v>173</v>
      </c>
    </row>
    <row r="147" spans="1:10" s="2" customFormat="1" ht="22.5" customHeight="1">
      <c r="A147" s="53"/>
      <c r="B147" s="33" t="s">
        <v>162</v>
      </c>
      <c r="C147" s="126"/>
      <c r="D147" s="15">
        <v>55386</v>
      </c>
      <c r="E147" s="14">
        <f t="shared" si="14"/>
        <v>55386</v>
      </c>
      <c r="F147" s="15"/>
      <c r="G147" s="30">
        <v>28468.2</v>
      </c>
      <c r="H147" s="14">
        <f t="shared" si="16"/>
        <v>28468.2</v>
      </c>
      <c r="I147" s="114">
        <f t="shared" si="15"/>
        <v>0.5139963167587477</v>
      </c>
      <c r="J147" s="127" t="s">
        <v>158</v>
      </c>
    </row>
    <row r="148" spans="1:10" s="2" customFormat="1" ht="33.75" customHeight="1">
      <c r="A148" s="53"/>
      <c r="B148" s="33" t="s">
        <v>157</v>
      </c>
      <c r="C148" s="126"/>
      <c r="D148" s="15">
        <v>70312</v>
      </c>
      <c r="E148" s="14">
        <f aca="true" t="shared" si="17" ref="E148:E179">SUM(C148:D148)</f>
        <v>70312</v>
      </c>
      <c r="F148" s="15"/>
      <c r="G148" s="30"/>
      <c r="H148" s="14">
        <f t="shared" si="16"/>
        <v>0</v>
      </c>
      <c r="I148" s="114">
        <f t="shared" si="15"/>
        <v>0</v>
      </c>
      <c r="J148" s="127" t="s">
        <v>158</v>
      </c>
    </row>
    <row r="149" spans="1:10" s="2" customFormat="1" ht="24" customHeight="1" hidden="1">
      <c r="A149" s="53"/>
      <c r="B149" s="33" t="s">
        <v>175</v>
      </c>
      <c r="C149" s="126"/>
      <c r="D149" s="126"/>
      <c r="E149" s="14">
        <f t="shared" si="17"/>
        <v>0</v>
      </c>
      <c r="F149" s="15"/>
      <c r="G149" s="30"/>
      <c r="H149" s="14">
        <f t="shared" si="16"/>
        <v>0</v>
      </c>
      <c r="I149" s="114" t="e">
        <f t="shared" si="15"/>
        <v>#DIV/0!</v>
      </c>
      <c r="J149" s="127" t="s">
        <v>176</v>
      </c>
    </row>
    <row r="150" spans="1:10" s="2" customFormat="1" ht="36" customHeight="1">
      <c r="A150" s="53"/>
      <c r="B150" s="33" t="s">
        <v>98</v>
      </c>
      <c r="C150" s="15">
        <v>481966</v>
      </c>
      <c r="D150" s="126"/>
      <c r="E150" s="14">
        <f t="shared" si="17"/>
        <v>481966</v>
      </c>
      <c r="F150" s="15">
        <v>4.39</v>
      </c>
      <c r="G150" s="30"/>
      <c r="H150" s="14">
        <f t="shared" si="16"/>
        <v>4.39</v>
      </c>
      <c r="I150" s="114">
        <f t="shared" si="15"/>
        <v>9.108526327583272E-06</v>
      </c>
      <c r="J150" s="127" t="s">
        <v>180</v>
      </c>
    </row>
    <row r="151" spans="1:10" s="6" customFormat="1" ht="22.5" hidden="1">
      <c r="A151" s="53"/>
      <c r="B151" s="28" t="s">
        <v>370</v>
      </c>
      <c r="C151" s="126"/>
      <c r="D151" s="126"/>
      <c r="E151" s="14">
        <f t="shared" si="17"/>
        <v>0</v>
      </c>
      <c r="F151" s="15"/>
      <c r="G151" s="15"/>
      <c r="H151" s="14">
        <f t="shared" si="16"/>
        <v>0</v>
      </c>
      <c r="I151" s="114"/>
      <c r="J151" s="88" t="s">
        <v>113</v>
      </c>
    </row>
    <row r="152" spans="1:10" s="2" customFormat="1" ht="27" customHeight="1" hidden="1">
      <c r="A152" s="53"/>
      <c r="B152" s="28" t="s">
        <v>88</v>
      </c>
      <c r="C152" s="126"/>
      <c r="D152" s="165"/>
      <c r="E152" s="14">
        <f t="shared" si="17"/>
        <v>0</v>
      </c>
      <c r="F152" s="15"/>
      <c r="G152" s="30"/>
      <c r="H152" s="14">
        <f t="shared" si="16"/>
        <v>0</v>
      </c>
      <c r="I152" s="114" t="e">
        <f aca="true" t="shared" si="18" ref="I152:I183">H152/E152</f>
        <v>#DIV/0!</v>
      </c>
      <c r="J152" s="77" t="s">
        <v>57</v>
      </c>
    </row>
    <row r="153" spans="1:10" s="2" customFormat="1" ht="45" hidden="1">
      <c r="A153" s="53"/>
      <c r="B153" s="28" t="s">
        <v>327</v>
      </c>
      <c r="C153" s="126"/>
      <c r="D153" s="126"/>
      <c r="E153" s="14">
        <f t="shared" si="17"/>
        <v>0</v>
      </c>
      <c r="F153" s="15"/>
      <c r="G153" s="15"/>
      <c r="H153" s="14">
        <f t="shared" si="16"/>
        <v>0</v>
      </c>
      <c r="I153" s="114" t="e">
        <f t="shared" si="18"/>
        <v>#DIV/0!</v>
      </c>
      <c r="J153" s="81" t="s">
        <v>58</v>
      </c>
    </row>
    <row r="154" spans="1:12" s="11" customFormat="1" ht="22.5" customHeight="1">
      <c r="A154" s="24">
        <v>8</v>
      </c>
      <c r="B154" s="26" t="s">
        <v>274</v>
      </c>
      <c r="C154" s="27">
        <f>SUM(C155:C156)</f>
        <v>265956727</v>
      </c>
      <c r="D154" s="27">
        <f>SUM(D155:D156)</f>
        <v>72667578</v>
      </c>
      <c r="E154" s="27">
        <f t="shared" si="17"/>
        <v>338624305</v>
      </c>
      <c r="F154" s="27">
        <f>SUM(F155:F156)</f>
        <v>51496967.92</v>
      </c>
      <c r="G154" s="27">
        <f>SUM(G155:G156)</f>
        <v>13979526.57</v>
      </c>
      <c r="H154" s="27">
        <f t="shared" si="16"/>
        <v>65476494.49</v>
      </c>
      <c r="I154" s="114">
        <f t="shared" si="18"/>
        <v>0.193360291990854</v>
      </c>
      <c r="J154" s="115">
        <f>G152/G6</f>
        <v>0</v>
      </c>
      <c r="K154" s="114">
        <f>H154/H6</f>
        <v>0.4469240329228382</v>
      </c>
      <c r="L154" s="11" t="s">
        <v>145</v>
      </c>
    </row>
    <row r="155" spans="1:12" s="2" customFormat="1" ht="16.5" customHeight="1">
      <c r="A155" s="53"/>
      <c r="B155" s="28" t="s">
        <v>275</v>
      </c>
      <c r="C155" s="15">
        <v>242056727</v>
      </c>
      <c r="D155" s="15">
        <v>67567578</v>
      </c>
      <c r="E155" s="14">
        <f t="shared" si="17"/>
        <v>309624305</v>
      </c>
      <c r="F155" s="15">
        <f>45888510</f>
        <v>45888510</v>
      </c>
      <c r="G155" s="15">
        <v>12809285</v>
      </c>
      <c r="H155" s="14">
        <f t="shared" si="16"/>
        <v>58697795</v>
      </c>
      <c r="I155" s="114">
        <f t="shared" si="18"/>
        <v>0.1895774784217925</v>
      </c>
      <c r="J155" s="82" t="s">
        <v>137</v>
      </c>
      <c r="K155" s="114">
        <f>H154/H5</f>
        <v>0.28180272018082986</v>
      </c>
      <c r="L155" s="2" t="s">
        <v>146</v>
      </c>
    </row>
    <row r="156" spans="1:14" s="2" customFormat="1" ht="15" customHeight="1">
      <c r="A156" s="53"/>
      <c r="B156" s="28" t="s">
        <v>156</v>
      </c>
      <c r="C156" s="15">
        <v>23900000</v>
      </c>
      <c r="D156" s="15">
        <v>5100000</v>
      </c>
      <c r="E156" s="14">
        <f t="shared" si="17"/>
        <v>29000000</v>
      </c>
      <c r="F156" s="15">
        <v>5608457.92</v>
      </c>
      <c r="G156" s="15">
        <v>1170241.57</v>
      </c>
      <c r="H156" s="14">
        <f t="shared" si="16"/>
        <v>6778699.49</v>
      </c>
      <c r="I156" s="114">
        <f t="shared" si="18"/>
        <v>0.23374825827586207</v>
      </c>
      <c r="J156" s="81" t="s">
        <v>59</v>
      </c>
      <c r="L156" s="34"/>
      <c r="M156" s="34"/>
      <c r="N156" s="115"/>
    </row>
    <row r="157" spans="1:12" s="8" customFormat="1" ht="12" customHeight="1">
      <c r="A157" s="218" t="s">
        <v>276</v>
      </c>
      <c r="B157" s="218"/>
      <c r="C157" s="38">
        <f>SUM(C158:C160)</f>
        <v>89623482</v>
      </c>
      <c r="D157" s="38">
        <f>SUM(D158:D160)</f>
        <v>91948462</v>
      </c>
      <c r="E157" s="38">
        <f t="shared" si="17"/>
        <v>181571944</v>
      </c>
      <c r="F157" s="38">
        <f>SUM(F158:F160)</f>
        <v>34470570</v>
      </c>
      <c r="G157" s="38">
        <f>SUM(G158:G160)</f>
        <v>34286211</v>
      </c>
      <c r="H157" s="38">
        <f t="shared" si="16"/>
        <v>68756781</v>
      </c>
      <c r="I157" s="114">
        <f t="shared" si="18"/>
        <v>0.37867513826915905</v>
      </c>
      <c r="J157" s="76"/>
      <c r="K157" s="114">
        <f>H157/H5</f>
        <v>0.2959206669140909</v>
      </c>
      <c r="L157" s="8" t="s">
        <v>147</v>
      </c>
    </row>
    <row r="158" spans="1:10" s="1" customFormat="1" ht="14.25" customHeight="1">
      <c r="A158" s="53">
        <v>1</v>
      </c>
      <c r="B158" s="28" t="s">
        <v>277</v>
      </c>
      <c r="C158" s="15">
        <f>80587643+9035839</f>
        <v>89623482</v>
      </c>
      <c r="D158" s="15">
        <f>95772194-11836037</f>
        <v>83936157</v>
      </c>
      <c r="E158" s="14">
        <f t="shared" si="17"/>
        <v>173559639</v>
      </c>
      <c r="F158" s="15">
        <v>34470570</v>
      </c>
      <c r="G158" s="15">
        <v>32283135</v>
      </c>
      <c r="H158" s="14">
        <f t="shared" si="16"/>
        <v>66753705</v>
      </c>
      <c r="I158" s="114">
        <f t="shared" si="18"/>
        <v>0.38461537131913487</v>
      </c>
      <c r="J158" s="76" t="s">
        <v>408</v>
      </c>
    </row>
    <row r="159" spans="1:10" s="1" customFormat="1" ht="22.5" customHeight="1" hidden="1">
      <c r="A159" s="53">
        <v>2</v>
      </c>
      <c r="B159" s="28" t="s">
        <v>359</v>
      </c>
      <c r="C159" s="126"/>
      <c r="D159" s="126"/>
      <c r="E159" s="14">
        <f t="shared" si="17"/>
        <v>0</v>
      </c>
      <c r="F159" s="15"/>
      <c r="G159" s="15"/>
      <c r="H159" s="14">
        <f t="shared" si="16"/>
        <v>0</v>
      </c>
      <c r="I159" s="114" t="e">
        <f t="shared" si="18"/>
        <v>#DIV/0!</v>
      </c>
      <c r="J159" s="1" t="s">
        <v>130</v>
      </c>
    </row>
    <row r="160" spans="1:10" s="1" customFormat="1" ht="13.5" customHeight="1">
      <c r="A160" s="53">
        <v>3</v>
      </c>
      <c r="B160" s="32" t="s">
        <v>278</v>
      </c>
      <c r="C160" s="126"/>
      <c r="D160" s="15">
        <f>8015783-3478</f>
        <v>8012305</v>
      </c>
      <c r="E160" s="14">
        <f t="shared" si="17"/>
        <v>8012305</v>
      </c>
      <c r="F160" s="15"/>
      <c r="G160" s="15">
        <v>2003076</v>
      </c>
      <c r="H160" s="14">
        <f t="shared" si="16"/>
        <v>2003076</v>
      </c>
      <c r="I160" s="114">
        <f t="shared" si="18"/>
        <v>0.24999996879799258</v>
      </c>
      <c r="J160" s="83" t="s">
        <v>409</v>
      </c>
    </row>
    <row r="161" spans="1:11" s="39" customFormat="1" ht="29.25" customHeight="1">
      <c r="A161" s="215" t="s">
        <v>279</v>
      </c>
      <c r="B161" s="215"/>
      <c r="C161" s="37">
        <f>C162+C194+C201</f>
        <v>51131379</v>
      </c>
      <c r="D161" s="37">
        <f>D162+D194+D201</f>
        <v>16603870</v>
      </c>
      <c r="E161" s="38">
        <f t="shared" si="17"/>
        <v>67735249</v>
      </c>
      <c r="F161" s="37">
        <f>F162+F194+F201</f>
        <v>12098723</v>
      </c>
      <c r="G161" s="37">
        <f>G162+G194+G201</f>
        <v>4988440</v>
      </c>
      <c r="H161" s="38">
        <f t="shared" si="16"/>
        <v>17087163</v>
      </c>
      <c r="I161" s="114">
        <f t="shared" si="18"/>
        <v>0.2522639726326244</v>
      </c>
      <c r="J161" s="76" t="s">
        <v>63</v>
      </c>
      <c r="K161" s="114">
        <f>H161/H5</f>
        <v>0.07354103256564293</v>
      </c>
    </row>
    <row r="162" spans="1:10" s="41" customFormat="1" ht="12">
      <c r="A162" s="55">
        <v>1</v>
      </c>
      <c r="B162" s="40" t="s">
        <v>280</v>
      </c>
      <c r="C162" s="9">
        <f>SUM(C163:C168,C179:C193)</f>
        <v>48313845</v>
      </c>
      <c r="D162" s="9">
        <f>SUM(D163:D168,D179:D193)</f>
        <v>15552910</v>
      </c>
      <c r="E162" s="27">
        <f t="shared" si="17"/>
        <v>63866755</v>
      </c>
      <c r="F162" s="9">
        <f>SUM(F163:F168,F179:F193)</f>
        <v>11141095</v>
      </c>
      <c r="G162" s="9">
        <f>SUM(G163:G168,G179:G193)</f>
        <v>4606280</v>
      </c>
      <c r="H162" s="27">
        <f t="shared" si="16"/>
        <v>15747375</v>
      </c>
      <c r="I162" s="114">
        <f t="shared" si="18"/>
        <v>0.24656607338199663</v>
      </c>
      <c r="J162" s="69" t="s">
        <v>61</v>
      </c>
    </row>
    <row r="163" spans="1:11" s="1" customFormat="1" ht="23.25" customHeight="1">
      <c r="A163" s="53"/>
      <c r="B163" s="42" t="s">
        <v>400</v>
      </c>
      <c r="C163" s="126"/>
      <c r="D163" s="15">
        <v>773000</v>
      </c>
      <c r="E163" s="14">
        <f t="shared" si="17"/>
        <v>773000</v>
      </c>
      <c r="F163" s="15"/>
      <c r="G163" s="15">
        <v>212000</v>
      </c>
      <c r="H163" s="14">
        <f t="shared" si="16"/>
        <v>212000</v>
      </c>
      <c r="I163" s="114">
        <f t="shared" si="18"/>
        <v>0.2742561448900388</v>
      </c>
      <c r="J163" s="81" t="s">
        <v>196</v>
      </c>
      <c r="K163" s="1">
        <f>40828639.22-F162</f>
        <v>29687544.22</v>
      </c>
    </row>
    <row r="164" spans="1:10" s="1" customFormat="1" ht="22.5" hidden="1">
      <c r="A164" s="53"/>
      <c r="B164" s="42" t="s">
        <v>333</v>
      </c>
      <c r="C164" s="126"/>
      <c r="D164" s="126"/>
      <c r="E164" s="14">
        <f t="shared" si="17"/>
        <v>0</v>
      </c>
      <c r="F164" s="15"/>
      <c r="G164" s="15"/>
      <c r="H164" s="14">
        <f t="shared" si="16"/>
        <v>0</v>
      </c>
      <c r="I164" s="114" t="e">
        <f t="shared" si="18"/>
        <v>#DIV/0!</v>
      </c>
      <c r="J164" s="81"/>
    </row>
    <row r="165" spans="1:10" s="1" customFormat="1" ht="22.5" hidden="1">
      <c r="A165" s="53"/>
      <c r="B165" s="42" t="s">
        <v>343</v>
      </c>
      <c r="C165" s="126"/>
      <c r="D165" s="126"/>
      <c r="E165" s="14">
        <f t="shared" si="17"/>
        <v>0</v>
      </c>
      <c r="F165" s="15"/>
      <c r="G165" s="15"/>
      <c r="H165" s="14">
        <f t="shared" si="16"/>
        <v>0</v>
      </c>
      <c r="I165" s="114" t="e">
        <f t="shared" si="18"/>
        <v>#DIV/0!</v>
      </c>
      <c r="J165" s="80"/>
    </row>
    <row r="166" spans="1:11" s="2" customFormat="1" ht="21.75" customHeight="1">
      <c r="A166" s="53"/>
      <c r="B166" s="28" t="s">
        <v>382</v>
      </c>
      <c r="C166" s="126"/>
      <c r="D166" s="15">
        <v>11397000</v>
      </c>
      <c r="E166" s="14">
        <f t="shared" si="17"/>
        <v>11397000</v>
      </c>
      <c r="F166" s="15"/>
      <c r="G166" s="15">
        <v>3587300</v>
      </c>
      <c r="H166" s="14">
        <f t="shared" si="16"/>
        <v>3587300</v>
      </c>
      <c r="I166" s="114">
        <f t="shared" si="18"/>
        <v>0.3147582697201018</v>
      </c>
      <c r="J166" s="80" t="s">
        <v>64</v>
      </c>
      <c r="K166" s="114">
        <f>H166/H161</f>
        <v>0.2099412289799073</v>
      </c>
    </row>
    <row r="167" spans="1:10" s="2" customFormat="1" ht="21.75" customHeight="1">
      <c r="A167" s="53"/>
      <c r="B167" s="28" t="s">
        <v>383</v>
      </c>
      <c r="C167" s="126"/>
      <c r="D167" s="15">
        <v>300000</v>
      </c>
      <c r="E167" s="14">
        <f t="shared" si="17"/>
        <v>300000</v>
      </c>
      <c r="F167" s="15"/>
      <c r="G167" s="15"/>
      <c r="H167" s="14">
        <f>SUM(F167:G167)</f>
        <v>0</v>
      </c>
      <c r="I167" s="114">
        <f t="shared" si="18"/>
        <v>0</v>
      </c>
      <c r="J167" s="80" t="s">
        <v>65</v>
      </c>
    </row>
    <row r="168" spans="1:11" s="2" customFormat="1" ht="12" customHeight="1">
      <c r="A168" s="53"/>
      <c r="B168" s="28" t="s">
        <v>281</v>
      </c>
      <c r="C168" s="15">
        <f>SUM(C169:C178)</f>
        <v>46883960</v>
      </c>
      <c r="D168" s="15">
        <f>SUM(D169:D178)</f>
        <v>697500</v>
      </c>
      <c r="E168" s="14">
        <f t="shared" si="17"/>
        <v>47581460</v>
      </c>
      <c r="F168" s="15">
        <f>SUM(F169:F178)</f>
        <v>10790800</v>
      </c>
      <c r="G168" s="15">
        <f>SUM(G169:G178)</f>
        <v>179300</v>
      </c>
      <c r="H168" s="14">
        <f>SUM(F168:G168)</f>
        <v>10970100</v>
      </c>
      <c r="I168" s="114">
        <f t="shared" si="18"/>
        <v>0.23055408556189744</v>
      </c>
      <c r="J168" s="80" t="s">
        <v>85</v>
      </c>
      <c r="K168" s="114">
        <f>H168/H161</f>
        <v>0.6420082725259892</v>
      </c>
    </row>
    <row r="169" spans="1:10" s="6" customFormat="1" ht="13.5" customHeight="1">
      <c r="A169" s="50"/>
      <c r="B169" s="44" t="s">
        <v>282</v>
      </c>
      <c r="C169" s="21">
        <f>1449000+27000</f>
        <v>1476000</v>
      </c>
      <c r="D169" s="21">
        <v>354000</v>
      </c>
      <c r="E169" s="20">
        <f t="shared" si="17"/>
        <v>1830000</v>
      </c>
      <c r="F169" s="21">
        <v>371750</v>
      </c>
      <c r="G169" s="21">
        <v>88500</v>
      </c>
      <c r="H169" s="20">
        <f>SUM(F169:G169)</f>
        <v>460250</v>
      </c>
      <c r="I169" s="114">
        <f t="shared" si="18"/>
        <v>0.2515027322404372</v>
      </c>
      <c r="J169" s="80" t="s">
        <v>66</v>
      </c>
    </row>
    <row r="170" spans="1:10" s="6" customFormat="1" ht="25.5" customHeight="1">
      <c r="A170" s="50"/>
      <c r="B170" s="44" t="s">
        <v>401</v>
      </c>
      <c r="C170" s="21"/>
      <c r="D170" s="21">
        <v>43500</v>
      </c>
      <c r="E170" s="20">
        <f t="shared" si="17"/>
        <v>43500</v>
      </c>
      <c r="F170" s="21"/>
      <c r="G170" s="21">
        <v>10800</v>
      </c>
      <c r="H170" s="20">
        <f>SUM(F170:G170)</f>
        <v>10800</v>
      </c>
      <c r="I170" s="114">
        <f t="shared" si="18"/>
        <v>0.2482758620689655</v>
      </c>
      <c r="J170" s="80" t="s">
        <v>402</v>
      </c>
    </row>
    <row r="171" spans="1:10" s="6" customFormat="1" ht="11.25">
      <c r="A171" s="50"/>
      <c r="B171" s="44" t="s">
        <v>283</v>
      </c>
      <c r="C171" s="21">
        <f>475000-25000</f>
        <v>450000</v>
      </c>
      <c r="D171" s="161"/>
      <c r="E171" s="20">
        <f t="shared" si="17"/>
        <v>450000</v>
      </c>
      <c r="F171" s="21">
        <v>113600</v>
      </c>
      <c r="G171" s="21"/>
      <c r="H171" s="20">
        <f aca="true" t="shared" si="19" ref="H171:H202">SUM(F171:G171)</f>
        <v>113600</v>
      </c>
      <c r="I171" s="114">
        <f t="shared" si="18"/>
        <v>0.25244444444444447</v>
      </c>
      <c r="J171" s="80" t="s">
        <v>200</v>
      </c>
    </row>
    <row r="172" spans="1:10" s="6" customFormat="1" ht="11.25">
      <c r="A172" s="50"/>
      <c r="B172" s="44" t="s">
        <v>284</v>
      </c>
      <c r="C172" s="21">
        <f>4743000+7000</f>
        <v>4750000</v>
      </c>
      <c r="D172" s="161"/>
      <c r="E172" s="20">
        <f t="shared" si="17"/>
        <v>4750000</v>
      </c>
      <c r="F172" s="21">
        <v>1171150</v>
      </c>
      <c r="G172" s="21"/>
      <c r="H172" s="20">
        <f t="shared" si="19"/>
        <v>1171150</v>
      </c>
      <c r="I172" s="114">
        <f t="shared" si="18"/>
        <v>0.24655789473684211</v>
      </c>
      <c r="J172" s="80" t="s">
        <v>201</v>
      </c>
    </row>
    <row r="173" spans="1:10" s="6" customFormat="1" ht="16.5" customHeight="1" hidden="1">
      <c r="A173" s="50"/>
      <c r="B173" s="44" t="s">
        <v>202</v>
      </c>
      <c r="C173" s="161"/>
      <c r="D173" s="161"/>
      <c r="E173" s="20">
        <f t="shared" si="17"/>
        <v>0</v>
      </c>
      <c r="F173" s="21"/>
      <c r="G173" s="21"/>
      <c r="H173" s="20">
        <f t="shared" si="19"/>
        <v>0</v>
      </c>
      <c r="I173" s="114" t="e">
        <f t="shared" si="18"/>
        <v>#DIV/0!</v>
      </c>
      <c r="J173" s="80" t="s">
        <v>203</v>
      </c>
    </row>
    <row r="174" spans="1:10" s="6" customFormat="1" ht="11.25">
      <c r="A174" s="50"/>
      <c r="B174" s="44" t="s">
        <v>285</v>
      </c>
      <c r="C174" s="21">
        <f>38288130+1379830</f>
        <v>39667960</v>
      </c>
      <c r="D174" s="161"/>
      <c r="E174" s="20">
        <f t="shared" si="17"/>
        <v>39667960</v>
      </c>
      <c r="F174" s="21">
        <v>9000000</v>
      </c>
      <c r="G174" s="21"/>
      <c r="H174" s="20">
        <f t="shared" si="19"/>
        <v>9000000</v>
      </c>
      <c r="I174" s="114">
        <f t="shared" si="18"/>
        <v>0.22688335876107568</v>
      </c>
      <c r="J174" s="81" t="s">
        <v>428</v>
      </c>
    </row>
    <row r="175" spans="1:10" s="6" customFormat="1" ht="21.75" customHeight="1" hidden="1">
      <c r="A175" s="50"/>
      <c r="B175" s="44" t="s">
        <v>353</v>
      </c>
      <c r="C175" s="161"/>
      <c r="D175" s="161"/>
      <c r="E175" s="20">
        <f t="shared" si="17"/>
        <v>0</v>
      </c>
      <c r="F175" s="21"/>
      <c r="G175" s="21"/>
      <c r="H175" s="20">
        <f t="shared" si="19"/>
        <v>0</v>
      </c>
      <c r="I175" s="114" t="e">
        <f t="shared" si="18"/>
        <v>#DIV/0!</v>
      </c>
      <c r="J175" s="81" t="s">
        <v>67</v>
      </c>
    </row>
    <row r="176" spans="1:10" s="6" customFormat="1" ht="11.25">
      <c r="A176" s="50"/>
      <c r="B176" s="44" t="s">
        <v>286</v>
      </c>
      <c r="C176" s="21">
        <v>540000</v>
      </c>
      <c r="D176" s="161"/>
      <c r="E176" s="20">
        <f t="shared" si="17"/>
        <v>540000</v>
      </c>
      <c r="F176" s="21">
        <v>134300</v>
      </c>
      <c r="G176" s="21"/>
      <c r="H176" s="20">
        <f t="shared" si="19"/>
        <v>134300</v>
      </c>
      <c r="I176" s="114">
        <f t="shared" si="18"/>
        <v>0.2487037037037037</v>
      </c>
      <c r="J176" s="81" t="s">
        <v>68</v>
      </c>
    </row>
    <row r="177" spans="1:10" s="6" customFormat="1" ht="33.75" hidden="1">
      <c r="A177" s="50"/>
      <c r="B177" s="44" t="s">
        <v>344</v>
      </c>
      <c r="C177" s="161"/>
      <c r="D177" s="161"/>
      <c r="E177" s="20">
        <f t="shared" si="17"/>
        <v>0</v>
      </c>
      <c r="F177" s="21"/>
      <c r="G177" s="21"/>
      <c r="H177" s="20">
        <f t="shared" si="19"/>
        <v>0</v>
      </c>
      <c r="I177" s="114" t="e">
        <f t="shared" si="18"/>
        <v>#DIV/0!</v>
      </c>
      <c r="J177" s="81"/>
    </row>
    <row r="178" spans="1:10" s="6" customFormat="1" ht="12.75" customHeight="1">
      <c r="A178" s="50"/>
      <c r="B178" s="44" t="s">
        <v>287</v>
      </c>
      <c r="C178" s="161"/>
      <c r="D178" s="21">
        <v>300000</v>
      </c>
      <c r="E178" s="20">
        <f t="shared" si="17"/>
        <v>300000</v>
      </c>
      <c r="F178" s="21"/>
      <c r="G178" s="21">
        <v>80000</v>
      </c>
      <c r="H178" s="20">
        <f t="shared" si="19"/>
        <v>80000</v>
      </c>
      <c r="I178" s="114">
        <f t="shared" si="18"/>
        <v>0.26666666666666666</v>
      </c>
      <c r="J178" s="81" t="s">
        <v>69</v>
      </c>
    </row>
    <row r="179" spans="1:10" s="2" customFormat="1" ht="12" customHeight="1">
      <c r="A179" s="53"/>
      <c r="B179" s="28" t="s">
        <v>288</v>
      </c>
      <c r="C179" s="126"/>
      <c r="D179" s="15">
        <v>1386810</v>
      </c>
      <c r="E179" s="14">
        <f t="shared" si="17"/>
        <v>1386810</v>
      </c>
      <c r="F179" s="15"/>
      <c r="G179" s="15">
        <v>436680</v>
      </c>
      <c r="H179" s="14">
        <f t="shared" si="19"/>
        <v>436680</v>
      </c>
      <c r="I179" s="114">
        <f t="shared" si="18"/>
        <v>0.3148809137517036</v>
      </c>
      <c r="J179" s="81" t="s">
        <v>70</v>
      </c>
    </row>
    <row r="180" spans="1:10" s="2" customFormat="1" ht="21" customHeight="1">
      <c r="A180" s="53"/>
      <c r="B180" s="28" t="s">
        <v>330</v>
      </c>
      <c r="C180" s="15">
        <v>28700</v>
      </c>
      <c r="D180" s="126"/>
      <c r="E180" s="14">
        <f aca="true" t="shared" si="20" ref="E180:E211">SUM(C180:D180)</f>
        <v>28700</v>
      </c>
      <c r="F180" s="15"/>
      <c r="G180" s="15"/>
      <c r="H180" s="14">
        <f t="shared" si="19"/>
        <v>0</v>
      </c>
      <c r="I180" s="114">
        <f t="shared" si="18"/>
        <v>0</v>
      </c>
      <c r="J180" s="81" t="s">
        <v>71</v>
      </c>
    </row>
    <row r="181" spans="1:10" s="2" customFormat="1" ht="35.25" customHeight="1" hidden="1">
      <c r="A181" s="53"/>
      <c r="B181" s="28" t="s">
        <v>345</v>
      </c>
      <c r="C181" s="126"/>
      <c r="D181" s="126"/>
      <c r="E181" s="14">
        <f t="shared" si="20"/>
        <v>0</v>
      </c>
      <c r="F181" s="15"/>
      <c r="G181" s="15"/>
      <c r="H181" s="14">
        <f t="shared" si="19"/>
        <v>0</v>
      </c>
      <c r="I181" s="114" t="e">
        <f t="shared" si="18"/>
        <v>#DIV/0!</v>
      </c>
      <c r="J181" s="84" t="s">
        <v>207</v>
      </c>
    </row>
    <row r="182" spans="1:10" s="2" customFormat="1" ht="22.5" customHeight="1">
      <c r="A182" s="53"/>
      <c r="B182" s="28" t="s">
        <v>335</v>
      </c>
      <c r="C182" s="15">
        <v>1361000</v>
      </c>
      <c r="D182" s="15">
        <v>598000</v>
      </c>
      <c r="E182" s="14">
        <f t="shared" si="20"/>
        <v>1959000</v>
      </c>
      <c r="F182" s="15">
        <v>340251</v>
      </c>
      <c r="G182" s="15">
        <v>138000</v>
      </c>
      <c r="H182" s="14">
        <f t="shared" si="19"/>
        <v>478251</v>
      </c>
      <c r="I182" s="114">
        <f t="shared" si="18"/>
        <v>0.2441301684532925</v>
      </c>
      <c r="J182" s="84" t="s">
        <v>72</v>
      </c>
    </row>
    <row r="183" spans="1:10" s="2" customFormat="1" ht="21.75" customHeight="1" hidden="1">
      <c r="A183" s="53"/>
      <c r="B183" s="33" t="s">
        <v>206</v>
      </c>
      <c r="C183" s="126"/>
      <c r="D183" s="126"/>
      <c r="E183" s="14">
        <f t="shared" si="20"/>
        <v>0</v>
      </c>
      <c r="F183" s="15"/>
      <c r="G183" s="15"/>
      <c r="H183" s="14">
        <f t="shared" si="19"/>
        <v>0</v>
      </c>
      <c r="I183" s="114" t="e">
        <f t="shared" si="18"/>
        <v>#DIV/0!</v>
      </c>
      <c r="J183" s="81" t="s">
        <v>208</v>
      </c>
    </row>
    <row r="184" spans="1:10" s="2" customFormat="1" ht="11.25" hidden="1">
      <c r="A184" s="53"/>
      <c r="B184" s="28" t="s">
        <v>289</v>
      </c>
      <c r="C184" s="126"/>
      <c r="D184" s="126"/>
      <c r="E184" s="14">
        <f t="shared" si="20"/>
        <v>0</v>
      </c>
      <c r="F184" s="15"/>
      <c r="G184" s="15"/>
      <c r="H184" s="14">
        <f t="shared" si="19"/>
        <v>0</v>
      </c>
      <c r="I184" s="114" t="e">
        <f aca="true" t="shared" si="21" ref="I184:I215">H184/E184</f>
        <v>#DIV/0!</v>
      </c>
      <c r="J184" s="81"/>
    </row>
    <row r="185" spans="1:10" s="2" customFormat="1" ht="11.25" hidden="1">
      <c r="A185" s="53"/>
      <c r="B185" s="28" t="s">
        <v>346</v>
      </c>
      <c r="C185" s="126"/>
      <c r="D185" s="126"/>
      <c r="E185" s="14">
        <f t="shared" si="20"/>
        <v>0</v>
      </c>
      <c r="F185" s="15"/>
      <c r="G185" s="15"/>
      <c r="H185" s="14">
        <f t="shared" si="19"/>
        <v>0</v>
      </c>
      <c r="I185" s="114" t="e">
        <f t="shared" si="21"/>
        <v>#DIV/0!</v>
      </c>
      <c r="J185" s="81"/>
    </row>
    <row r="186" spans="1:10" s="2" customFormat="1" ht="11.25" hidden="1">
      <c r="A186" s="53"/>
      <c r="B186" s="28" t="s">
        <v>290</v>
      </c>
      <c r="C186" s="126"/>
      <c r="D186" s="126"/>
      <c r="E186" s="14">
        <f t="shared" si="20"/>
        <v>0</v>
      </c>
      <c r="F186" s="15"/>
      <c r="G186" s="15"/>
      <c r="H186" s="14">
        <f t="shared" si="19"/>
        <v>0</v>
      </c>
      <c r="I186" s="114" t="e">
        <f t="shared" si="21"/>
        <v>#DIV/0!</v>
      </c>
      <c r="J186" s="81" t="s">
        <v>73</v>
      </c>
    </row>
    <row r="187" spans="1:10" s="2" customFormat="1" ht="19.5" customHeight="1" hidden="1">
      <c r="A187" s="53"/>
      <c r="B187" s="28" t="s">
        <v>291</v>
      </c>
      <c r="C187" s="126"/>
      <c r="D187" s="126"/>
      <c r="E187" s="14">
        <f t="shared" si="20"/>
        <v>0</v>
      </c>
      <c r="F187" s="15"/>
      <c r="G187" s="15"/>
      <c r="H187" s="14">
        <f t="shared" si="19"/>
        <v>0</v>
      </c>
      <c r="I187" s="114" t="e">
        <f t="shared" si="21"/>
        <v>#DIV/0!</v>
      </c>
      <c r="J187" s="79"/>
    </row>
    <row r="188" spans="1:10" s="34" customFormat="1" ht="12" customHeight="1">
      <c r="A188" s="53"/>
      <c r="B188" s="28" t="s">
        <v>292</v>
      </c>
      <c r="C188" s="15">
        <v>40185</v>
      </c>
      <c r="D188" s="15"/>
      <c r="E188" s="14">
        <f t="shared" si="20"/>
        <v>40185</v>
      </c>
      <c r="F188" s="15">
        <v>10044</v>
      </c>
      <c r="G188" s="15"/>
      <c r="H188" s="14">
        <f t="shared" si="19"/>
        <v>10044</v>
      </c>
      <c r="I188" s="114">
        <f t="shared" si="21"/>
        <v>0.24994400895856664</v>
      </c>
      <c r="J188" s="79" t="s">
        <v>74</v>
      </c>
    </row>
    <row r="189" spans="1:10" s="34" customFormat="1" ht="22.5" hidden="1">
      <c r="A189" s="53"/>
      <c r="B189" s="28" t="s">
        <v>293</v>
      </c>
      <c r="C189" s="15"/>
      <c r="D189" s="15"/>
      <c r="E189" s="14">
        <f t="shared" si="20"/>
        <v>0</v>
      </c>
      <c r="F189" s="15"/>
      <c r="G189" s="15"/>
      <c r="H189" s="14">
        <f t="shared" si="19"/>
        <v>0</v>
      </c>
      <c r="I189" s="114" t="e">
        <f t="shared" si="21"/>
        <v>#DIV/0!</v>
      </c>
      <c r="J189" s="85"/>
    </row>
    <row r="190" spans="1:10" s="2" customFormat="1" ht="11.25" customHeight="1">
      <c r="A190" s="56"/>
      <c r="B190" s="43" t="s">
        <v>294</v>
      </c>
      <c r="C190" s="15"/>
      <c r="D190" s="15">
        <v>100000</v>
      </c>
      <c r="E190" s="14">
        <f t="shared" si="20"/>
        <v>100000</v>
      </c>
      <c r="F190" s="15"/>
      <c r="G190" s="15"/>
      <c r="H190" s="14">
        <f t="shared" si="19"/>
        <v>0</v>
      </c>
      <c r="I190" s="114">
        <f t="shared" si="21"/>
        <v>0</v>
      </c>
      <c r="J190" s="85" t="s">
        <v>75</v>
      </c>
    </row>
    <row r="191" spans="1:10" s="2" customFormat="1" ht="12" customHeight="1">
      <c r="A191" s="56"/>
      <c r="B191" s="43" t="s">
        <v>295</v>
      </c>
      <c r="C191" s="15"/>
      <c r="D191" s="15">
        <v>69000</v>
      </c>
      <c r="E191" s="14">
        <f t="shared" si="20"/>
        <v>69000</v>
      </c>
      <c r="F191" s="15"/>
      <c r="G191" s="15"/>
      <c r="H191" s="14">
        <f t="shared" si="19"/>
        <v>0</v>
      </c>
      <c r="I191" s="114">
        <f t="shared" si="21"/>
        <v>0</v>
      </c>
      <c r="J191" s="85" t="s">
        <v>76</v>
      </c>
    </row>
    <row r="192" spans="1:10" s="2" customFormat="1" ht="14.25" customHeight="1">
      <c r="A192" s="56"/>
      <c r="B192" s="43" t="s">
        <v>296</v>
      </c>
      <c r="C192" s="15"/>
      <c r="D192" s="15">
        <v>132000</v>
      </c>
      <c r="E192" s="14">
        <f t="shared" si="20"/>
        <v>132000</v>
      </c>
      <c r="F192" s="15"/>
      <c r="G192" s="15">
        <v>9000</v>
      </c>
      <c r="H192" s="14">
        <f t="shared" si="19"/>
        <v>9000</v>
      </c>
      <c r="I192" s="114">
        <f t="shared" si="21"/>
        <v>0.06818181818181818</v>
      </c>
      <c r="J192" s="81" t="s">
        <v>153</v>
      </c>
    </row>
    <row r="193" spans="1:10" s="31" customFormat="1" ht="12" customHeight="1">
      <c r="A193" s="54"/>
      <c r="B193" s="33" t="s">
        <v>297</v>
      </c>
      <c r="C193" s="15"/>
      <c r="D193" s="15">
        <v>99600</v>
      </c>
      <c r="E193" s="14">
        <f t="shared" si="20"/>
        <v>99600</v>
      </c>
      <c r="F193" s="15"/>
      <c r="G193" s="15">
        <v>44000</v>
      </c>
      <c r="H193" s="14">
        <f t="shared" si="19"/>
        <v>44000</v>
      </c>
      <c r="I193" s="114">
        <f t="shared" si="21"/>
        <v>0.44176706827309237</v>
      </c>
      <c r="J193" s="76" t="s">
        <v>77</v>
      </c>
    </row>
    <row r="194" spans="1:10" s="31" customFormat="1" ht="33.75" customHeight="1">
      <c r="A194" s="24">
        <v>2</v>
      </c>
      <c r="B194" s="26" t="s">
        <v>298</v>
      </c>
      <c r="C194" s="45">
        <f>SUM(C195:C200)</f>
        <v>35500</v>
      </c>
      <c r="D194" s="45">
        <f>SUM(D195:D200)</f>
        <v>0</v>
      </c>
      <c r="E194" s="27">
        <f t="shared" si="20"/>
        <v>35500</v>
      </c>
      <c r="F194" s="45">
        <f>SUM(F195:F200)</f>
        <v>0</v>
      </c>
      <c r="G194" s="45">
        <f>SUM(G195:G200)</f>
        <v>0</v>
      </c>
      <c r="H194" s="27">
        <f t="shared" si="19"/>
        <v>0</v>
      </c>
      <c r="I194" s="114">
        <f t="shared" si="21"/>
        <v>0</v>
      </c>
      <c r="J194" s="76"/>
    </row>
    <row r="195" spans="1:10" s="36" customFormat="1" ht="12" hidden="1">
      <c r="A195" s="54"/>
      <c r="B195" s="35" t="s">
        <v>299</v>
      </c>
      <c r="C195" s="126"/>
      <c r="D195" s="126"/>
      <c r="E195" s="27">
        <f t="shared" si="20"/>
        <v>0</v>
      </c>
      <c r="F195" s="15"/>
      <c r="G195" s="15"/>
      <c r="H195" s="27">
        <f t="shared" si="19"/>
        <v>0</v>
      </c>
      <c r="I195" s="114" t="e">
        <f t="shared" si="21"/>
        <v>#DIV/0!</v>
      </c>
      <c r="J195" s="76"/>
    </row>
    <row r="196" spans="1:10" s="36" customFormat="1" ht="11.25" hidden="1">
      <c r="A196" s="54"/>
      <c r="B196" s="35" t="s">
        <v>300</v>
      </c>
      <c r="C196" s="126"/>
      <c r="D196" s="126"/>
      <c r="E196" s="14">
        <f t="shared" si="20"/>
        <v>0</v>
      </c>
      <c r="F196" s="15"/>
      <c r="G196" s="15"/>
      <c r="H196" s="14">
        <f t="shared" si="19"/>
        <v>0</v>
      </c>
      <c r="I196" s="114" t="e">
        <f t="shared" si="21"/>
        <v>#DIV/0!</v>
      </c>
      <c r="J196" s="71"/>
    </row>
    <row r="197" spans="1:10" s="36" customFormat="1" ht="11.25" hidden="1">
      <c r="A197" s="54"/>
      <c r="B197" s="35" t="s">
        <v>301</v>
      </c>
      <c r="C197" s="126"/>
      <c r="D197" s="126"/>
      <c r="E197" s="14">
        <f t="shared" si="20"/>
        <v>0</v>
      </c>
      <c r="F197" s="15"/>
      <c r="G197" s="15"/>
      <c r="H197" s="14">
        <f t="shared" si="19"/>
        <v>0</v>
      </c>
      <c r="I197" s="114" t="e">
        <f t="shared" si="21"/>
        <v>#DIV/0!</v>
      </c>
      <c r="J197" s="71"/>
    </row>
    <row r="198" spans="1:10" s="2" customFormat="1" ht="11.25">
      <c r="A198" s="53"/>
      <c r="B198" s="33" t="s">
        <v>302</v>
      </c>
      <c r="C198" s="15">
        <v>35500</v>
      </c>
      <c r="D198" s="126"/>
      <c r="E198" s="14">
        <f t="shared" si="20"/>
        <v>35500</v>
      </c>
      <c r="F198" s="15"/>
      <c r="G198" s="15"/>
      <c r="H198" s="14">
        <f t="shared" si="19"/>
        <v>0</v>
      </c>
      <c r="I198" s="114">
        <f t="shared" si="21"/>
        <v>0</v>
      </c>
      <c r="J198" s="81" t="s">
        <v>78</v>
      </c>
    </row>
    <row r="199" spans="1:10" s="2" customFormat="1" ht="42.75" customHeight="1" hidden="1">
      <c r="A199" s="53"/>
      <c r="B199" s="33" t="s">
        <v>387</v>
      </c>
      <c r="C199" s="126"/>
      <c r="D199" s="126"/>
      <c r="E199" s="14">
        <f t="shared" si="20"/>
        <v>0</v>
      </c>
      <c r="F199" s="15"/>
      <c r="G199" s="15"/>
      <c r="H199" s="14">
        <f t="shared" si="19"/>
        <v>0</v>
      </c>
      <c r="I199" s="114" t="e">
        <f t="shared" si="21"/>
        <v>#DIV/0!</v>
      </c>
      <c r="J199" s="81"/>
    </row>
    <row r="200" spans="1:15" s="6" customFormat="1" ht="21.75" customHeight="1" hidden="1">
      <c r="A200" s="53"/>
      <c r="B200" s="33" t="s">
        <v>123</v>
      </c>
      <c r="C200" s="126"/>
      <c r="D200" s="126"/>
      <c r="E200" s="14">
        <f t="shared" si="20"/>
        <v>0</v>
      </c>
      <c r="F200" s="15"/>
      <c r="G200" s="15"/>
      <c r="H200" s="14">
        <f t="shared" si="19"/>
        <v>0</v>
      </c>
      <c r="I200" s="114" t="e">
        <f t="shared" si="21"/>
        <v>#DIV/0!</v>
      </c>
      <c r="J200" s="220" t="s">
        <v>129</v>
      </c>
      <c r="K200" s="221"/>
      <c r="L200" s="221"/>
      <c r="M200" s="221"/>
      <c r="N200" s="221"/>
      <c r="O200" s="221"/>
    </row>
    <row r="201" spans="1:10" s="1" customFormat="1" ht="24.75" customHeight="1">
      <c r="A201" s="24">
        <v>3</v>
      </c>
      <c r="B201" s="26" t="s">
        <v>303</v>
      </c>
      <c r="C201" s="27">
        <f>SUM(C202:C223)</f>
        <v>2782034</v>
      </c>
      <c r="D201" s="27">
        <f>SUM(D202:D223)</f>
        <v>1050960</v>
      </c>
      <c r="E201" s="27">
        <f t="shared" si="20"/>
        <v>3832994</v>
      </c>
      <c r="F201" s="27">
        <f>SUM(F202:F223)</f>
        <v>957628</v>
      </c>
      <c r="G201" s="27">
        <f>SUM(G202:G223)</f>
        <v>382160</v>
      </c>
      <c r="H201" s="27">
        <f t="shared" si="19"/>
        <v>1339788</v>
      </c>
      <c r="I201" s="114">
        <f t="shared" si="21"/>
        <v>0.3495408550078607</v>
      </c>
      <c r="J201" s="76"/>
    </row>
    <row r="202" spans="1:10" s="1" customFormat="1" ht="11.25">
      <c r="A202" s="53"/>
      <c r="B202" s="43" t="s">
        <v>304</v>
      </c>
      <c r="C202" s="15">
        <v>73933</v>
      </c>
      <c r="D202" s="126"/>
      <c r="E202" s="14">
        <f t="shared" si="20"/>
        <v>73933</v>
      </c>
      <c r="F202" s="15">
        <v>36967</v>
      </c>
      <c r="G202" s="15"/>
      <c r="H202" s="14">
        <f t="shared" si="19"/>
        <v>36967</v>
      </c>
      <c r="I202" s="114">
        <f t="shared" si="21"/>
        <v>0.5000067628799048</v>
      </c>
      <c r="J202" s="87" t="s">
        <v>429</v>
      </c>
    </row>
    <row r="203" spans="1:10" s="1" customFormat="1" ht="9.75" customHeight="1">
      <c r="A203" s="53"/>
      <c r="B203" s="43" t="s">
        <v>305</v>
      </c>
      <c r="C203" s="15">
        <f>112635-102534</f>
        <v>10101</v>
      </c>
      <c r="D203" s="166"/>
      <c r="E203" s="14">
        <f t="shared" si="20"/>
        <v>10101</v>
      </c>
      <c r="F203" s="15">
        <v>10101</v>
      </c>
      <c r="G203" s="14"/>
      <c r="H203" s="14">
        <f aca="true" t="shared" si="22" ref="H203:H227">SUM(F203:G203)</f>
        <v>10101</v>
      </c>
      <c r="I203" s="114">
        <f t="shared" si="21"/>
        <v>1</v>
      </c>
      <c r="J203" s="91" t="s">
        <v>199</v>
      </c>
    </row>
    <row r="204" spans="1:10" s="1" customFormat="1" ht="15" customHeight="1" hidden="1">
      <c r="A204" s="53"/>
      <c r="B204" s="12" t="s">
        <v>148</v>
      </c>
      <c r="C204" s="126"/>
      <c r="D204" s="126"/>
      <c r="E204" s="14">
        <f t="shared" si="20"/>
        <v>0</v>
      </c>
      <c r="F204" s="15"/>
      <c r="G204" s="15"/>
      <c r="H204" s="14">
        <f t="shared" si="22"/>
        <v>0</v>
      </c>
      <c r="I204" s="114" t="e">
        <f t="shared" si="21"/>
        <v>#DIV/0!</v>
      </c>
      <c r="J204" s="16" t="s">
        <v>205</v>
      </c>
    </row>
    <row r="205" spans="1:10" s="1" customFormat="1" ht="33.75" customHeight="1" hidden="1">
      <c r="A205" s="53"/>
      <c r="B205" s="12" t="s">
        <v>182</v>
      </c>
      <c r="C205" s="126"/>
      <c r="D205" s="126"/>
      <c r="E205" s="14">
        <f t="shared" si="20"/>
        <v>0</v>
      </c>
      <c r="F205" s="15"/>
      <c r="G205" s="15"/>
      <c r="H205" s="14">
        <f t="shared" si="22"/>
        <v>0</v>
      </c>
      <c r="I205" s="114" t="e">
        <f t="shared" si="21"/>
        <v>#DIV/0!</v>
      </c>
      <c r="J205" s="91" t="s">
        <v>183</v>
      </c>
    </row>
    <row r="206" spans="1:10" s="1" customFormat="1" ht="45" customHeight="1" hidden="1">
      <c r="A206" s="53"/>
      <c r="B206" s="12" t="s">
        <v>369</v>
      </c>
      <c r="C206" s="126"/>
      <c r="D206" s="126"/>
      <c r="E206" s="14">
        <f t="shared" si="20"/>
        <v>0</v>
      </c>
      <c r="F206" s="15"/>
      <c r="G206" s="15"/>
      <c r="H206" s="14">
        <f t="shared" si="22"/>
        <v>0</v>
      </c>
      <c r="I206" s="114" t="e">
        <f t="shared" si="21"/>
        <v>#DIV/0!</v>
      </c>
      <c r="J206" s="91" t="s">
        <v>80</v>
      </c>
    </row>
    <row r="207" spans="1:10" s="1" customFormat="1" ht="16.5" customHeight="1" hidden="1">
      <c r="A207" s="53"/>
      <c r="B207" s="12" t="s">
        <v>168</v>
      </c>
      <c r="C207" s="126"/>
      <c r="D207" s="126"/>
      <c r="E207" s="14">
        <f t="shared" si="20"/>
        <v>0</v>
      </c>
      <c r="F207" s="15"/>
      <c r="G207" s="15"/>
      <c r="H207" s="14">
        <f t="shared" si="22"/>
        <v>0</v>
      </c>
      <c r="I207" s="114" t="e">
        <f t="shared" si="21"/>
        <v>#DIV/0!</v>
      </c>
      <c r="J207" s="91" t="s">
        <v>169</v>
      </c>
    </row>
    <row r="208" spans="1:10" s="1" customFormat="1" ht="11.25" customHeight="1" hidden="1">
      <c r="A208" s="53"/>
      <c r="B208" s="12" t="s">
        <v>177</v>
      </c>
      <c r="C208" s="126"/>
      <c r="D208" s="126"/>
      <c r="E208" s="14">
        <f t="shared" si="20"/>
        <v>0</v>
      </c>
      <c r="F208" s="15"/>
      <c r="G208" s="15"/>
      <c r="H208" s="14">
        <f t="shared" si="22"/>
        <v>0</v>
      </c>
      <c r="I208" s="114" t="e">
        <f t="shared" si="21"/>
        <v>#DIV/0!</v>
      </c>
      <c r="J208" s="1" t="s">
        <v>204</v>
      </c>
    </row>
    <row r="209" spans="1:10" s="1" customFormat="1" ht="26.25" customHeight="1" hidden="1">
      <c r="A209" s="53"/>
      <c r="B209" s="12" t="s">
        <v>184</v>
      </c>
      <c r="C209" s="126"/>
      <c r="D209" s="126"/>
      <c r="E209" s="14">
        <f t="shared" si="20"/>
        <v>0</v>
      </c>
      <c r="F209" s="15"/>
      <c r="G209" s="15"/>
      <c r="H209" s="14">
        <f t="shared" si="22"/>
        <v>0</v>
      </c>
      <c r="I209" s="114" t="e">
        <f t="shared" si="21"/>
        <v>#DIV/0!</v>
      </c>
      <c r="J209" s="1" t="s">
        <v>185</v>
      </c>
    </row>
    <row r="210" spans="1:10" s="1" customFormat="1" ht="25.5" customHeight="1" hidden="1">
      <c r="A210" s="53"/>
      <c r="B210" s="12" t="s">
        <v>197</v>
      </c>
      <c r="C210" s="126"/>
      <c r="D210" s="126"/>
      <c r="E210" s="14">
        <f t="shared" si="20"/>
        <v>0</v>
      </c>
      <c r="F210" s="15"/>
      <c r="G210" s="15"/>
      <c r="H210" s="14">
        <f t="shared" si="22"/>
        <v>0</v>
      </c>
      <c r="I210" s="114" t="e">
        <f t="shared" si="21"/>
        <v>#DIV/0!</v>
      </c>
      <c r="J210" s="1" t="s">
        <v>198</v>
      </c>
    </row>
    <row r="211" spans="1:10" s="1" customFormat="1" ht="21" customHeight="1" hidden="1">
      <c r="A211" s="53"/>
      <c r="B211" s="33" t="s">
        <v>186</v>
      </c>
      <c r="C211" s="126"/>
      <c r="D211" s="126"/>
      <c r="E211" s="14">
        <f t="shared" si="20"/>
        <v>0</v>
      </c>
      <c r="F211" s="15"/>
      <c r="G211" s="15"/>
      <c r="H211" s="14">
        <f t="shared" si="22"/>
        <v>0</v>
      </c>
      <c r="I211" s="114" t="e">
        <f t="shared" si="21"/>
        <v>#DIV/0!</v>
      </c>
      <c r="J211" s="16" t="s">
        <v>187</v>
      </c>
    </row>
    <row r="212" spans="1:10" s="16" customFormat="1" ht="11.25" hidden="1">
      <c r="A212" s="48"/>
      <c r="B212" s="12" t="s">
        <v>306</v>
      </c>
      <c r="C212" s="126"/>
      <c r="D212" s="126"/>
      <c r="E212" s="14">
        <f aca="true" t="shared" si="23" ref="E212:E234">SUM(C212:D212)</f>
        <v>0</v>
      </c>
      <c r="F212" s="15"/>
      <c r="G212" s="15"/>
      <c r="H212" s="14">
        <f t="shared" si="22"/>
        <v>0</v>
      </c>
      <c r="I212" s="114" t="e">
        <f t="shared" si="21"/>
        <v>#DIV/0!</v>
      </c>
      <c r="J212" s="93" t="s">
        <v>81</v>
      </c>
    </row>
    <row r="213" spans="1:10" s="16" customFormat="1" ht="11.25" hidden="1">
      <c r="A213" s="48"/>
      <c r="B213" s="12" t="s">
        <v>305</v>
      </c>
      <c r="C213" s="126"/>
      <c r="D213" s="126"/>
      <c r="E213" s="14">
        <f t="shared" si="23"/>
        <v>0</v>
      </c>
      <c r="F213" s="15"/>
      <c r="G213" s="15"/>
      <c r="H213" s="14">
        <f t="shared" si="22"/>
        <v>0</v>
      </c>
      <c r="I213" s="114" t="e">
        <f t="shared" si="21"/>
        <v>#DIV/0!</v>
      </c>
      <c r="J213" s="93" t="s">
        <v>81</v>
      </c>
    </row>
    <row r="214" spans="1:10" s="1" customFormat="1" ht="11.25" hidden="1">
      <c r="A214" s="53"/>
      <c r="B214" s="12" t="s">
        <v>307</v>
      </c>
      <c r="C214" s="166"/>
      <c r="D214" s="166"/>
      <c r="E214" s="14">
        <f t="shared" si="23"/>
        <v>0</v>
      </c>
      <c r="F214" s="14"/>
      <c r="G214" s="14"/>
      <c r="H214" s="14">
        <f t="shared" si="22"/>
        <v>0</v>
      </c>
      <c r="I214" s="114" t="e">
        <f t="shared" si="21"/>
        <v>#DIV/0!</v>
      </c>
      <c r="J214" s="93"/>
    </row>
    <row r="215" spans="1:10" s="1" customFormat="1" ht="22.5" hidden="1">
      <c r="A215" s="53"/>
      <c r="B215" s="43" t="s">
        <v>347</v>
      </c>
      <c r="C215" s="166"/>
      <c r="D215" s="166"/>
      <c r="E215" s="14">
        <f t="shared" si="23"/>
        <v>0</v>
      </c>
      <c r="F215" s="14"/>
      <c r="G215" s="14"/>
      <c r="H215" s="14">
        <f t="shared" si="22"/>
        <v>0</v>
      </c>
      <c r="I215" s="114" t="e">
        <f t="shared" si="21"/>
        <v>#DIV/0!</v>
      </c>
      <c r="J215" s="93"/>
    </row>
    <row r="216" spans="1:10" s="1" customFormat="1" ht="22.5" hidden="1">
      <c r="A216" s="53"/>
      <c r="B216" s="43" t="s">
        <v>348</v>
      </c>
      <c r="C216" s="166"/>
      <c r="D216" s="166"/>
      <c r="E216" s="14">
        <f t="shared" si="23"/>
        <v>0</v>
      </c>
      <c r="F216" s="14"/>
      <c r="G216" s="14"/>
      <c r="H216" s="14">
        <f t="shared" si="22"/>
        <v>0</v>
      </c>
      <c r="I216" s="114" t="e">
        <f aca="true" t="shared" si="24" ref="I216:I234">H216/E216</f>
        <v>#DIV/0!</v>
      </c>
      <c r="J216" s="93"/>
    </row>
    <row r="217" spans="1:10" s="1" customFormat="1" ht="45" hidden="1">
      <c r="A217" s="53"/>
      <c r="B217" s="12" t="s">
        <v>390</v>
      </c>
      <c r="C217" s="166"/>
      <c r="D217" s="166"/>
      <c r="E217" s="14">
        <f t="shared" si="23"/>
        <v>0</v>
      </c>
      <c r="F217" s="14"/>
      <c r="G217" s="15"/>
      <c r="H217" s="14">
        <f t="shared" si="22"/>
        <v>0</v>
      </c>
      <c r="I217" s="114" t="e">
        <f t="shared" si="24"/>
        <v>#DIV/0!</v>
      </c>
      <c r="J217" s="93" t="s">
        <v>100</v>
      </c>
    </row>
    <row r="218" spans="1:10" s="1" customFormat="1" ht="34.5" customHeight="1" hidden="1">
      <c r="A218" s="53"/>
      <c r="B218" s="12" t="s">
        <v>388</v>
      </c>
      <c r="C218" s="166"/>
      <c r="D218" s="166"/>
      <c r="E218" s="14">
        <f t="shared" si="23"/>
        <v>0</v>
      </c>
      <c r="F218" s="14"/>
      <c r="G218" s="15"/>
      <c r="H218" s="14">
        <f t="shared" si="22"/>
        <v>0</v>
      </c>
      <c r="I218" s="114" t="e">
        <f t="shared" si="24"/>
        <v>#DIV/0!</v>
      </c>
      <c r="J218" s="93" t="s">
        <v>101</v>
      </c>
    </row>
    <row r="219" spans="1:10" s="1" customFormat="1" ht="22.5" hidden="1">
      <c r="A219" s="53"/>
      <c r="B219" s="12" t="s">
        <v>389</v>
      </c>
      <c r="C219" s="166"/>
      <c r="D219" s="166"/>
      <c r="E219" s="14">
        <f t="shared" si="23"/>
        <v>0</v>
      </c>
      <c r="F219" s="15"/>
      <c r="G219" s="15"/>
      <c r="H219" s="14">
        <f t="shared" si="22"/>
        <v>0</v>
      </c>
      <c r="I219" s="114" t="e">
        <f t="shared" si="24"/>
        <v>#DIV/0!</v>
      </c>
      <c r="J219" s="93" t="s">
        <v>102</v>
      </c>
    </row>
    <row r="220" spans="1:10" s="1" customFormat="1" ht="45" hidden="1">
      <c r="A220" s="53"/>
      <c r="B220" s="43" t="s">
        <v>379</v>
      </c>
      <c r="C220" s="166"/>
      <c r="D220" s="166"/>
      <c r="E220" s="14">
        <f t="shared" si="23"/>
        <v>0</v>
      </c>
      <c r="F220" s="14"/>
      <c r="G220" s="15"/>
      <c r="H220" s="14">
        <f t="shared" si="22"/>
        <v>0</v>
      </c>
      <c r="I220" s="114" t="e">
        <f t="shared" si="24"/>
        <v>#DIV/0!</v>
      </c>
      <c r="J220" s="93" t="s">
        <v>103</v>
      </c>
    </row>
    <row r="221" spans="1:10" s="1" customFormat="1" ht="22.5" customHeight="1" hidden="1">
      <c r="A221" s="53"/>
      <c r="B221" s="43" t="s">
        <v>349</v>
      </c>
      <c r="C221" s="126"/>
      <c r="D221" s="166"/>
      <c r="E221" s="14">
        <f t="shared" si="23"/>
        <v>0</v>
      </c>
      <c r="F221" s="15"/>
      <c r="G221" s="14"/>
      <c r="H221" s="14">
        <f t="shared" si="22"/>
        <v>0</v>
      </c>
      <c r="I221" s="114" t="e">
        <f t="shared" si="24"/>
        <v>#DIV/0!</v>
      </c>
      <c r="J221" s="88" t="s">
        <v>120</v>
      </c>
    </row>
    <row r="222" spans="1:10" s="1" customFormat="1" ht="15" customHeight="1" hidden="1">
      <c r="A222" s="53"/>
      <c r="B222" s="43" t="s">
        <v>307</v>
      </c>
      <c r="C222" s="166"/>
      <c r="D222" s="166"/>
      <c r="E222" s="14">
        <f t="shared" si="23"/>
        <v>0</v>
      </c>
      <c r="F222" s="15"/>
      <c r="G222" s="14"/>
      <c r="H222" s="14">
        <f t="shared" si="22"/>
        <v>0</v>
      </c>
      <c r="I222" s="114" t="e">
        <f t="shared" si="24"/>
        <v>#DIV/0!</v>
      </c>
      <c r="J222" s="91" t="s">
        <v>79</v>
      </c>
    </row>
    <row r="223" spans="1:10" s="2" customFormat="1" ht="9.75" customHeight="1">
      <c r="A223" s="53"/>
      <c r="B223" s="43" t="s">
        <v>308</v>
      </c>
      <c r="C223" s="15">
        <f>SUM(C225:C234)</f>
        <v>2698000</v>
      </c>
      <c r="D223" s="15">
        <f>SUM(D225:D234)</f>
        <v>1050960</v>
      </c>
      <c r="E223" s="14">
        <f t="shared" si="23"/>
        <v>3748960</v>
      </c>
      <c r="F223" s="15">
        <f>SUM(F225:F234)</f>
        <v>910560</v>
      </c>
      <c r="G223" s="15">
        <f>SUM(G225:G234)</f>
        <v>382160</v>
      </c>
      <c r="H223" s="14">
        <f t="shared" si="22"/>
        <v>1292720</v>
      </c>
      <c r="I223" s="114">
        <f t="shared" si="24"/>
        <v>0.34482096368059406</v>
      </c>
      <c r="J223" s="106" t="s">
        <v>191</v>
      </c>
    </row>
    <row r="224" spans="1:10" s="16" customFormat="1" ht="11.25" hidden="1">
      <c r="A224" s="48"/>
      <c r="B224" s="46" t="s">
        <v>309</v>
      </c>
      <c r="C224" s="126"/>
      <c r="D224" s="126"/>
      <c r="E224" s="14">
        <f t="shared" si="23"/>
        <v>0</v>
      </c>
      <c r="F224" s="15"/>
      <c r="G224" s="15"/>
      <c r="H224" s="14">
        <f t="shared" si="22"/>
        <v>0</v>
      </c>
      <c r="I224" s="114" t="e">
        <f t="shared" si="24"/>
        <v>#DIV/0!</v>
      </c>
      <c r="J224" s="87"/>
    </row>
    <row r="225" spans="1:10" s="22" customFormat="1" ht="12.75" customHeight="1">
      <c r="A225" s="49"/>
      <c r="B225" s="60" t="s">
        <v>361</v>
      </c>
      <c r="C225" s="21">
        <v>955000</v>
      </c>
      <c r="D225" s="161"/>
      <c r="E225" s="20">
        <f t="shared" si="23"/>
        <v>955000</v>
      </c>
      <c r="F225" s="21">
        <v>413000</v>
      </c>
      <c r="G225" s="21"/>
      <c r="H225" s="20">
        <f t="shared" si="22"/>
        <v>413000</v>
      </c>
      <c r="I225" s="114">
        <f t="shared" si="24"/>
        <v>0.4324607329842932</v>
      </c>
      <c r="J225" s="92" t="s">
        <v>82</v>
      </c>
    </row>
    <row r="226" spans="1:10" s="22" customFormat="1" ht="19.5" customHeight="1" hidden="1">
      <c r="A226" s="49"/>
      <c r="B226" s="60" t="s">
        <v>368</v>
      </c>
      <c r="C226" s="161"/>
      <c r="D226" s="161"/>
      <c r="E226" s="20">
        <f t="shared" si="23"/>
        <v>0</v>
      </c>
      <c r="F226" s="21"/>
      <c r="G226" s="21"/>
      <c r="H226" s="20">
        <f t="shared" si="22"/>
        <v>0</v>
      </c>
      <c r="I226" s="114" t="e">
        <f t="shared" si="24"/>
        <v>#DIV/0!</v>
      </c>
      <c r="J226" s="92" t="s">
        <v>104</v>
      </c>
    </row>
    <row r="227" spans="1:10" s="31" customFormat="1" ht="11.25">
      <c r="A227" s="54"/>
      <c r="B227" s="60" t="s">
        <v>310</v>
      </c>
      <c r="C227" s="161"/>
      <c r="D227" s="21">
        <v>906000</v>
      </c>
      <c r="E227" s="20">
        <f t="shared" si="23"/>
        <v>906000</v>
      </c>
      <c r="F227" s="21"/>
      <c r="G227" s="21">
        <v>345920</v>
      </c>
      <c r="H227" s="20">
        <f t="shared" si="22"/>
        <v>345920</v>
      </c>
      <c r="I227" s="114">
        <f t="shared" si="24"/>
        <v>0.3818101545253863</v>
      </c>
      <c r="J227" s="93" t="s">
        <v>131</v>
      </c>
    </row>
    <row r="228" spans="1:10" s="31" customFormat="1" ht="15" customHeight="1">
      <c r="A228" s="54"/>
      <c r="B228" s="60" t="s">
        <v>311</v>
      </c>
      <c r="C228" s="161"/>
      <c r="D228" s="21">
        <v>144960</v>
      </c>
      <c r="E228" s="20">
        <f t="shared" si="23"/>
        <v>144960</v>
      </c>
      <c r="F228" s="62"/>
      <c r="G228" s="21">
        <v>36240</v>
      </c>
      <c r="H228" s="20">
        <f>SUM(G228:G228)</f>
        <v>36240</v>
      </c>
      <c r="I228" s="114">
        <f t="shared" si="24"/>
        <v>0.25</v>
      </c>
      <c r="J228" s="93" t="s">
        <v>105</v>
      </c>
    </row>
    <row r="229" spans="1:10" s="31" customFormat="1" ht="15" customHeight="1" hidden="1">
      <c r="A229" s="54"/>
      <c r="B229" s="60" t="s">
        <v>264</v>
      </c>
      <c r="C229" s="161"/>
      <c r="D229" s="161"/>
      <c r="E229" s="20">
        <f t="shared" si="23"/>
        <v>0</v>
      </c>
      <c r="F229" s="21"/>
      <c r="G229" s="21"/>
      <c r="H229" s="20">
        <f aca="true" t="shared" si="25" ref="H229:H234">SUM(F229:G229)</f>
        <v>0</v>
      </c>
      <c r="I229" s="114" t="e">
        <f t="shared" si="24"/>
        <v>#DIV/0!</v>
      </c>
      <c r="J229" s="93" t="s">
        <v>192</v>
      </c>
    </row>
    <row r="230" spans="1:10" s="31" customFormat="1" ht="11.25" hidden="1">
      <c r="A230" s="54"/>
      <c r="B230" s="60" t="s">
        <v>263</v>
      </c>
      <c r="C230" s="161"/>
      <c r="D230" s="161"/>
      <c r="E230" s="20">
        <f t="shared" si="23"/>
        <v>0</v>
      </c>
      <c r="F230" s="21"/>
      <c r="G230" s="21"/>
      <c r="H230" s="20">
        <f t="shared" si="25"/>
        <v>0</v>
      </c>
      <c r="I230" s="114" t="e">
        <f t="shared" si="24"/>
        <v>#DIV/0!</v>
      </c>
      <c r="J230" s="93"/>
    </row>
    <row r="231" spans="1:10" s="31" customFormat="1" ht="11.25" hidden="1">
      <c r="A231" s="54"/>
      <c r="B231" s="60" t="s">
        <v>315</v>
      </c>
      <c r="C231" s="161"/>
      <c r="D231" s="161"/>
      <c r="E231" s="20">
        <f t="shared" si="23"/>
        <v>0</v>
      </c>
      <c r="F231" s="21"/>
      <c r="G231" s="21"/>
      <c r="H231" s="20">
        <f t="shared" si="25"/>
        <v>0</v>
      </c>
      <c r="I231" s="114" t="e">
        <f t="shared" si="24"/>
        <v>#DIV/0!</v>
      </c>
      <c r="J231" s="93"/>
    </row>
    <row r="232" spans="1:10" s="6" customFormat="1" ht="11.25">
      <c r="A232" s="50"/>
      <c r="B232" s="61" t="s">
        <v>312</v>
      </c>
      <c r="C232" s="21">
        <v>260000</v>
      </c>
      <c r="D232" s="161"/>
      <c r="E232" s="20">
        <f t="shared" si="23"/>
        <v>260000</v>
      </c>
      <c r="F232" s="21">
        <v>65060</v>
      </c>
      <c r="G232" s="21"/>
      <c r="H232" s="20">
        <f t="shared" si="25"/>
        <v>65060</v>
      </c>
      <c r="I232" s="114">
        <f t="shared" si="24"/>
        <v>0.25023076923076926</v>
      </c>
      <c r="J232" s="88" t="s">
        <v>83</v>
      </c>
    </row>
    <row r="233" spans="1:10" s="6" customFormat="1" ht="11.25" hidden="1">
      <c r="A233" s="50"/>
      <c r="B233" s="44" t="s">
        <v>315</v>
      </c>
      <c r="C233" s="161"/>
      <c r="D233" s="161"/>
      <c r="E233" s="20">
        <f t="shared" si="23"/>
        <v>0</v>
      </c>
      <c r="F233" s="21"/>
      <c r="G233" s="21"/>
      <c r="H233" s="20">
        <f t="shared" si="25"/>
        <v>0</v>
      </c>
      <c r="I233" s="114" t="e">
        <f t="shared" si="24"/>
        <v>#DIV/0!</v>
      </c>
      <c r="J233" s="88"/>
    </row>
    <row r="234" spans="1:10" s="6" customFormat="1" ht="11.25">
      <c r="A234" s="50"/>
      <c r="B234" s="61" t="s">
        <v>313</v>
      </c>
      <c r="C234" s="21">
        <v>1483000</v>
      </c>
      <c r="D234" s="161"/>
      <c r="E234" s="20">
        <f t="shared" si="23"/>
        <v>1483000</v>
      </c>
      <c r="F234" s="21">
        <v>432500</v>
      </c>
      <c r="G234" s="21"/>
      <c r="H234" s="20">
        <f t="shared" si="25"/>
        <v>432500</v>
      </c>
      <c r="I234" s="114">
        <f t="shared" si="24"/>
        <v>0.2916385704652731</v>
      </c>
      <c r="J234" s="88" t="s">
        <v>84</v>
      </c>
    </row>
    <row r="235" spans="10:11" ht="11.25">
      <c r="J235" s="90"/>
      <c r="K235" s="81"/>
    </row>
    <row r="236" ht="11.25">
      <c r="J236" s="90"/>
    </row>
    <row r="237" ht="11.25">
      <c r="J237" s="90"/>
    </row>
    <row r="238" spans="4:10" ht="11.25">
      <c r="D238" s="168"/>
      <c r="E238" s="94" t="s">
        <v>89</v>
      </c>
      <c r="J238" s="90"/>
    </row>
    <row r="239" ht="11.25">
      <c r="J239" s="81"/>
    </row>
    <row r="240" ht="11.25">
      <c r="J240" s="81"/>
    </row>
    <row r="241" ht="11.25">
      <c r="J241" s="81"/>
    </row>
    <row r="242" ht="11.25">
      <c r="H242" s="139"/>
    </row>
  </sheetData>
  <mergeCells count="14">
    <mergeCell ref="A161:B161"/>
    <mergeCell ref="A5:B5"/>
    <mergeCell ref="A6:B6"/>
    <mergeCell ref="J200:O200"/>
    <mergeCell ref="J36:L36"/>
    <mergeCell ref="J56:L56"/>
    <mergeCell ref="A157:B157"/>
    <mergeCell ref="J51:K51"/>
    <mergeCell ref="A1:I1"/>
    <mergeCell ref="A2:A3"/>
    <mergeCell ref="B2:B3"/>
    <mergeCell ref="C2:E2"/>
    <mergeCell ref="I2:I3"/>
    <mergeCell ref="F2:H2"/>
  </mergeCells>
  <printOptions/>
  <pageMargins left="0.45" right="0.31" top="0.55" bottom="0.47" header="0.5" footer="0.4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4"/>
  <sheetViews>
    <sheetView zoomScale="140" zoomScaleNormal="140" workbookViewId="0" topLeftCell="A1">
      <pane xSplit="4" ySplit="3" topLeftCell="E2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28" sqref="O28"/>
    </sheetView>
  </sheetViews>
  <sheetFormatPr defaultColWidth="9.140625" defaultRowHeight="12"/>
  <cols>
    <col min="1" max="1" width="3.28125" style="105" customWidth="1"/>
    <col min="2" max="2" width="36.7109375" style="105" customWidth="1"/>
    <col min="3" max="3" width="19.00390625" style="167" hidden="1" customWidth="1"/>
    <col min="4" max="4" width="20.421875" style="167" hidden="1" customWidth="1"/>
    <col min="5" max="5" width="16.8515625" style="94" customWidth="1"/>
    <col min="6" max="6" width="19.00390625" style="167" hidden="1" customWidth="1"/>
    <col min="7" max="7" width="20.421875" style="167" hidden="1" customWidth="1"/>
    <col min="8" max="8" width="16.7109375" style="94" customWidth="1"/>
    <col min="9" max="9" width="10.28125" style="94" customWidth="1"/>
    <col min="10" max="10" width="19.00390625" style="167" hidden="1" customWidth="1"/>
    <col min="11" max="11" width="20.421875" style="167" hidden="1" customWidth="1"/>
    <col min="12" max="12" width="16.8515625" style="94" customWidth="1"/>
    <col min="13" max="13" width="19.00390625" style="167" hidden="1" customWidth="1"/>
    <col min="14" max="14" width="20.421875" style="167" hidden="1" customWidth="1"/>
    <col min="15" max="15" width="16.8515625" style="94" customWidth="1"/>
    <col min="16" max="16" width="10.421875" style="94" customWidth="1"/>
    <col min="17" max="17" width="15.421875" style="167" hidden="1" customWidth="1"/>
    <col min="18" max="18" width="15.7109375" style="167" hidden="1" customWidth="1"/>
    <col min="19" max="19" width="20.7109375" style="94" customWidth="1"/>
    <col min="20" max="20" width="21.140625" style="107" hidden="1" customWidth="1"/>
    <col min="21" max="21" width="18.421875" style="107" hidden="1" customWidth="1"/>
    <col min="22" max="22" width="19.28125" style="105" customWidth="1"/>
    <col min="23" max="23" width="10.8515625" style="105" customWidth="1"/>
    <col min="24" max="24" width="22.00390625" style="105" customWidth="1"/>
    <col min="25" max="25" width="15.00390625" style="105" customWidth="1"/>
    <col min="26" max="26" width="16.140625" style="105" customWidth="1"/>
    <col min="27" max="27" width="15.00390625" style="105" customWidth="1"/>
    <col min="28" max="28" width="14.421875" style="105" customWidth="1"/>
    <col min="29" max="50" width="9.28125" style="105" customWidth="1"/>
    <col min="51" max="16384" width="9.140625" style="105" customWidth="1"/>
  </cols>
  <sheetData>
    <row r="1" spans="1:26" s="3" customFormat="1" ht="24" customHeight="1">
      <c r="A1" s="226" t="s">
        <v>425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178"/>
      <c r="X1" s="109">
        <f>Q5-Q164</f>
        <v>679156425</v>
      </c>
      <c r="Y1" s="109">
        <f>R5-R164</f>
        <v>197660103</v>
      </c>
      <c r="Z1" s="176" t="s">
        <v>416</v>
      </c>
    </row>
    <row r="2" spans="1:26" s="66" customFormat="1" ht="22.5" customHeight="1">
      <c r="A2" s="227" t="s">
        <v>211</v>
      </c>
      <c r="B2" s="212" t="s">
        <v>351</v>
      </c>
      <c r="C2" s="227" t="s">
        <v>419</v>
      </c>
      <c r="D2" s="227"/>
      <c r="E2" s="227"/>
      <c r="F2" s="227" t="s">
        <v>420</v>
      </c>
      <c r="G2" s="227"/>
      <c r="H2" s="227"/>
      <c r="I2" s="179" t="s">
        <v>426</v>
      </c>
      <c r="J2" s="227" t="s">
        <v>421</v>
      </c>
      <c r="K2" s="227"/>
      <c r="L2" s="227"/>
      <c r="M2" s="227" t="s">
        <v>422</v>
      </c>
      <c r="N2" s="227"/>
      <c r="O2" s="227"/>
      <c r="P2" s="179" t="s">
        <v>426</v>
      </c>
      <c r="Q2" s="227" t="s">
        <v>423</v>
      </c>
      <c r="R2" s="227"/>
      <c r="S2" s="227"/>
      <c r="T2" s="227" t="s">
        <v>424</v>
      </c>
      <c r="U2" s="227"/>
      <c r="V2" s="227"/>
      <c r="W2" s="239" t="s">
        <v>392</v>
      </c>
      <c r="X2" s="195" t="s">
        <v>414</v>
      </c>
      <c r="Y2" s="195" t="s">
        <v>415</v>
      </c>
      <c r="Z2" s="196"/>
    </row>
    <row r="3" spans="1:28" s="66" customFormat="1" ht="20.25" customHeight="1">
      <c r="A3" s="227"/>
      <c r="B3" s="212"/>
      <c r="C3" s="197" t="s">
        <v>212</v>
      </c>
      <c r="D3" s="197" t="s">
        <v>213</v>
      </c>
      <c r="E3" s="197" t="s">
        <v>214</v>
      </c>
      <c r="F3" s="197" t="s">
        <v>212</v>
      </c>
      <c r="G3" s="197" t="s">
        <v>213</v>
      </c>
      <c r="H3" s="197" t="s">
        <v>214</v>
      </c>
      <c r="I3" s="197"/>
      <c r="J3" s="197" t="s">
        <v>212</v>
      </c>
      <c r="K3" s="197" t="s">
        <v>213</v>
      </c>
      <c r="L3" s="197" t="s">
        <v>214</v>
      </c>
      <c r="M3" s="197" t="s">
        <v>212</v>
      </c>
      <c r="N3" s="197" t="s">
        <v>213</v>
      </c>
      <c r="O3" s="197" t="s">
        <v>214</v>
      </c>
      <c r="P3" s="197"/>
      <c r="Q3" s="197" t="s">
        <v>212</v>
      </c>
      <c r="R3" s="197" t="s">
        <v>213</v>
      </c>
      <c r="S3" s="197" t="s">
        <v>214</v>
      </c>
      <c r="T3" s="197" t="s">
        <v>212</v>
      </c>
      <c r="U3" s="197" t="s">
        <v>213</v>
      </c>
      <c r="V3" s="197" t="s">
        <v>214</v>
      </c>
      <c r="W3" s="240"/>
      <c r="X3" s="198" t="s">
        <v>394</v>
      </c>
      <c r="Z3" s="146"/>
      <c r="AA3" s="146"/>
      <c r="AB3" s="199"/>
    </row>
    <row r="4" spans="1:32" s="202" customFormat="1" ht="9" customHeight="1">
      <c r="A4" s="200">
        <v>1</v>
      </c>
      <c r="B4" s="200">
        <v>2</v>
      </c>
      <c r="C4" s="197">
        <v>3</v>
      </c>
      <c r="D4" s="197">
        <v>4</v>
      </c>
      <c r="E4" s="197">
        <v>5</v>
      </c>
      <c r="F4" s="197">
        <v>3</v>
      </c>
      <c r="G4" s="197">
        <v>4</v>
      </c>
      <c r="H4" s="197">
        <v>5</v>
      </c>
      <c r="I4" s="197"/>
      <c r="J4" s="197">
        <v>3</v>
      </c>
      <c r="K4" s="197">
        <v>4</v>
      </c>
      <c r="L4" s="197">
        <v>5</v>
      </c>
      <c r="M4" s="197">
        <v>3</v>
      </c>
      <c r="N4" s="197">
        <v>4</v>
      </c>
      <c r="O4" s="197">
        <v>5</v>
      </c>
      <c r="P4" s="197"/>
      <c r="Q4" s="197">
        <v>3</v>
      </c>
      <c r="R4" s="197">
        <v>4</v>
      </c>
      <c r="S4" s="197">
        <v>5</v>
      </c>
      <c r="T4" s="197">
        <v>6</v>
      </c>
      <c r="U4" s="197">
        <v>7</v>
      </c>
      <c r="V4" s="197">
        <v>8</v>
      </c>
      <c r="W4" s="197">
        <v>9</v>
      </c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s="190" customFormat="1" ht="15">
      <c r="A5" s="237" t="s">
        <v>215</v>
      </c>
      <c r="B5" s="238"/>
      <c r="C5" s="183">
        <f>SUM(C6,C159,C163)</f>
        <v>164018161</v>
      </c>
      <c r="D5" s="183">
        <f>SUM(D6,D159,D163)</f>
        <v>72837628</v>
      </c>
      <c r="E5" s="184">
        <f aca="true" t="shared" si="0" ref="E5:E49">SUM(C5:D5)</f>
        <v>236855789</v>
      </c>
      <c r="F5" s="185">
        <f>SUM(F6,F159,F163)</f>
        <v>666362875</v>
      </c>
      <c r="G5" s="185">
        <f>SUM(G6,G159,G163)</f>
        <v>312443107</v>
      </c>
      <c r="H5" s="184">
        <f aca="true" t="shared" si="1" ref="H5:H49">SUM(F5:G5)</f>
        <v>978805982</v>
      </c>
      <c r="I5" s="186">
        <f>E5/H5</f>
        <v>0.24198441096164042</v>
      </c>
      <c r="J5" s="185">
        <f>SUM(J6,J159,J163)</f>
        <v>163520737</v>
      </c>
      <c r="K5" s="185">
        <f>SUM(K6,K159,K163)</f>
        <v>65006289</v>
      </c>
      <c r="L5" s="184">
        <f aca="true" t="shared" si="2" ref="L5:L49">SUM(J5:K5)</f>
        <v>228527026</v>
      </c>
      <c r="M5" s="185">
        <f>SUM(M6,M159,M163)</f>
        <v>685053833</v>
      </c>
      <c r="N5" s="185">
        <f>SUM(N6,N159,N163)</f>
        <v>237728275</v>
      </c>
      <c r="O5" s="184">
        <f aca="true" t="shared" si="3" ref="O5:O49">SUM(M5:N5)</f>
        <v>922782108</v>
      </c>
      <c r="P5" s="186">
        <f>L5/O5</f>
        <v>0.24765004004607336</v>
      </c>
      <c r="Q5" s="183">
        <f>SUM(Q6,Q159,Q163)</f>
        <v>726081440</v>
      </c>
      <c r="R5" s="183">
        <f>SUM(R6,R159,R163)</f>
        <v>213213013</v>
      </c>
      <c r="S5" s="184">
        <f aca="true" t="shared" si="4" ref="S5:S49">SUM(Q5:R5)</f>
        <v>939294453</v>
      </c>
      <c r="T5" s="185">
        <f>SUM(T6,T159,T163)</f>
        <v>174258825.35</v>
      </c>
      <c r="U5" s="185">
        <f>SUM(U6,U159,U163)</f>
        <v>58089870.39</v>
      </c>
      <c r="V5" s="184">
        <f aca="true" t="shared" si="5" ref="V5:V36">SUM(T5:U5)</f>
        <v>232348695.74</v>
      </c>
      <c r="W5" s="186">
        <f aca="true" t="shared" si="6" ref="W5:W25">V5/S5</f>
        <v>0.24736513134715596</v>
      </c>
      <c r="X5" s="186">
        <f>3/12</f>
        <v>0.25</v>
      </c>
      <c r="Y5" s="187"/>
      <c r="Z5" s="188"/>
      <c r="AA5" s="188"/>
      <c r="AB5" s="188"/>
      <c r="AC5" s="189"/>
      <c r="AD5" s="189"/>
      <c r="AE5" s="189"/>
      <c r="AF5" s="189"/>
    </row>
    <row r="6" spans="1:32" s="193" customFormat="1" ht="30">
      <c r="A6" s="218" t="s">
        <v>427</v>
      </c>
      <c r="B6" s="218"/>
      <c r="C6" s="191">
        <f>SUM(C7,C22,C28,C39,C99,C125,C74,C156)</f>
        <v>121976272</v>
      </c>
      <c r="D6" s="191">
        <f>SUM(D7,D22,D28,D39,D99,D125,D74,D156)</f>
        <v>41948951</v>
      </c>
      <c r="E6" s="192">
        <f t="shared" si="0"/>
        <v>163925223</v>
      </c>
      <c r="F6" s="192">
        <f>SUM(F7,F22,F28,F39,F99,F125,F74,F156)</f>
        <v>543059044</v>
      </c>
      <c r="G6" s="192">
        <f>SUM(G7,G22,G28,G39,G99,G125,G74,G156)</f>
        <v>224804410</v>
      </c>
      <c r="H6" s="192">
        <f t="shared" si="1"/>
        <v>767863454</v>
      </c>
      <c r="I6" s="186">
        <f aca="true" t="shared" si="7" ref="I6:I69">E6/H6</f>
        <v>0.21348225670341645</v>
      </c>
      <c r="J6" s="192">
        <f>SUM(J7,J22,J28,J39,J99,J125,J74,J156)</f>
        <v>115546887</v>
      </c>
      <c r="K6" s="192">
        <f>SUM(K7,K22,K28,K39,K99,K125,K74,K156)</f>
        <v>28964346</v>
      </c>
      <c r="L6" s="192">
        <f t="shared" si="2"/>
        <v>144511233</v>
      </c>
      <c r="M6" s="192">
        <f>SUM(M7,M22,M28,M39,M99,M125,M74,M156)</f>
        <v>553789664</v>
      </c>
      <c r="N6" s="192">
        <f>SUM(N7,N22,N28,N39,N99,N125,N74,N156)</f>
        <v>134762368</v>
      </c>
      <c r="O6" s="192">
        <f t="shared" si="3"/>
        <v>688552032</v>
      </c>
      <c r="P6" s="186">
        <f aca="true" t="shared" si="8" ref="P6:P69">L6/O6</f>
        <v>0.20987699735667906</v>
      </c>
      <c r="Q6" s="191">
        <f>SUM(Q7,Q22,Q28,Q39,Q99,Q125,Q74,Q156)</f>
        <v>586686808</v>
      </c>
      <c r="R6" s="191">
        <f>SUM(R7,R22,R28,R39,R99,R125,R74,R156)</f>
        <v>104660681</v>
      </c>
      <c r="S6" s="192">
        <f t="shared" si="4"/>
        <v>691347489</v>
      </c>
      <c r="T6" s="192">
        <f>SUM(T7,T22,T28,T39,T99,T125,T74,T156)</f>
        <v>127689532.35</v>
      </c>
      <c r="U6" s="192">
        <f>SUM(U7,U22,U28,U39,U99,U125,U74,U156)</f>
        <v>18815219.39</v>
      </c>
      <c r="V6" s="192">
        <f t="shared" si="5"/>
        <v>146504751.74</v>
      </c>
      <c r="W6" s="186">
        <f t="shared" si="6"/>
        <v>0.21191188811853776</v>
      </c>
      <c r="X6" s="206" t="s">
        <v>439</v>
      </c>
      <c r="Z6" s="188"/>
      <c r="AA6" s="188"/>
      <c r="AB6" s="188"/>
      <c r="AC6" s="194"/>
      <c r="AD6" s="194"/>
      <c r="AE6" s="194"/>
      <c r="AF6" s="194"/>
    </row>
    <row r="7" spans="1:32" s="11" customFormat="1" ht="24" customHeight="1">
      <c r="A7" s="24">
        <v>1</v>
      </c>
      <c r="B7" s="26" t="s">
        <v>374</v>
      </c>
      <c r="C7" s="9">
        <f>SUM(C8:C21)</f>
        <v>29651852</v>
      </c>
      <c r="D7" s="9">
        <f>SUM(D8:D21)</f>
        <v>1156477</v>
      </c>
      <c r="E7" s="9">
        <f t="shared" si="0"/>
        <v>30808329</v>
      </c>
      <c r="F7" s="9">
        <f>SUM(F8:F21)</f>
        <v>111208611</v>
      </c>
      <c r="G7" s="9">
        <f>SUM(G8:G21)</f>
        <v>5185744</v>
      </c>
      <c r="H7" s="9">
        <f t="shared" si="1"/>
        <v>116394355</v>
      </c>
      <c r="I7" s="114">
        <f t="shared" si="7"/>
        <v>0.2646892024961176</v>
      </c>
      <c r="J7" s="9">
        <f>SUM(J8:J21)</f>
        <v>31864480</v>
      </c>
      <c r="K7" s="9">
        <f>SUM(K8:K21)</f>
        <v>1307166</v>
      </c>
      <c r="L7" s="9">
        <f t="shared" si="2"/>
        <v>33171646</v>
      </c>
      <c r="M7" s="9">
        <f>SUM(M8:M21)</f>
        <v>119017092</v>
      </c>
      <c r="N7" s="9">
        <f>SUM(N8:N21)</f>
        <v>5579682</v>
      </c>
      <c r="O7" s="9">
        <f t="shared" si="3"/>
        <v>124596774</v>
      </c>
      <c r="P7" s="114">
        <f t="shared" si="8"/>
        <v>0.2662319812549882</v>
      </c>
      <c r="Q7" s="9">
        <f>SUM(Q8:Q21)</f>
        <v>126371700</v>
      </c>
      <c r="R7" s="9">
        <f>SUM(R8:R21)</f>
        <v>5314200</v>
      </c>
      <c r="S7" s="9">
        <f t="shared" si="4"/>
        <v>131685900</v>
      </c>
      <c r="T7" s="9">
        <f>SUM(T8:T21)</f>
        <v>35580755.68</v>
      </c>
      <c r="U7" s="9">
        <f>SUM(U8:U21)</f>
        <v>1106187.5</v>
      </c>
      <c r="V7" s="9">
        <f t="shared" si="5"/>
        <v>36686943.18</v>
      </c>
      <c r="W7" s="114">
        <f t="shared" si="6"/>
        <v>0.2785943155645365</v>
      </c>
      <c r="X7" s="115"/>
      <c r="Z7" s="108"/>
      <c r="AA7" s="108"/>
      <c r="AB7" s="108"/>
      <c r="AC7" s="113"/>
      <c r="AD7" s="113"/>
      <c r="AE7" s="113"/>
      <c r="AF7" s="113"/>
    </row>
    <row r="8" spans="1:28" s="16" customFormat="1" ht="11.25">
      <c r="A8" s="48"/>
      <c r="B8" s="12" t="s">
        <v>216</v>
      </c>
      <c r="C8" s="15">
        <v>22451397</v>
      </c>
      <c r="D8" s="15"/>
      <c r="E8" s="14">
        <f t="shared" si="0"/>
        <v>22451397</v>
      </c>
      <c r="F8" s="15">
        <v>92691786</v>
      </c>
      <c r="G8" s="15"/>
      <c r="H8" s="14">
        <f t="shared" si="1"/>
        <v>92691786</v>
      </c>
      <c r="I8" s="114">
        <f t="shared" si="7"/>
        <v>0.24221560473546166</v>
      </c>
      <c r="J8" s="15">
        <v>23897372</v>
      </c>
      <c r="K8" s="15"/>
      <c r="L8" s="14">
        <f t="shared" si="2"/>
        <v>23897372</v>
      </c>
      <c r="M8" s="15">
        <v>99062698</v>
      </c>
      <c r="N8" s="15"/>
      <c r="O8" s="14">
        <f t="shared" si="3"/>
        <v>99062698</v>
      </c>
      <c r="P8" s="114">
        <f t="shared" si="8"/>
        <v>0.24123481878113193</v>
      </c>
      <c r="Q8" s="15">
        <f>86000000+16359400+1750000+1750000</f>
        <v>105859400</v>
      </c>
      <c r="R8" s="15"/>
      <c r="S8" s="14">
        <f t="shared" si="4"/>
        <v>105859400</v>
      </c>
      <c r="T8" s="15">
        <v>27431468.91</v>
      </c>
      <c r="U8" s="15"/>
      <c r="V8" s="14">
        <f t="shared" si="5"/>
        <v>27431468.91</v>
      </c>
      <c r="W8" s="114">
        <f t="shared" si="6"/>
        <v>0.25913115802659</v>
      </c>
      <c r="X8" s="71" t="s">
        <v>395</v>
      </c>
      <c r="Y8" s="16" t="s">
        <v>106</v>
      </c>
      <c r="Z8" s="108"/>
      <c r="AA8" s="108"/>
      <c r="AB8" s="147"/>
    </row>
    <row r="9" spans="1:28" s="16" customFormat="1" ht="13.5" customHeight="1">
      <c r="A9" s="48"/>
      <c r="B9" s="12" t="s">
        <v>217</v>
      </c>
      <c r="C9" s="15">
        <v>3245000</v>
      </c>
      <c r="D9" s="15"/>
      <c r="E9" s="14">
        <f t="shared" si="0"/>
        <v>3245000</v>
      </c>
      <c r="F9" s="15">
        <v>7462540</v>
      </c>
      <c r="G9" s="15"/>
      <c r="H9" s="14">
        <f t="shared" si="1"/>
        <v>7462540</v>
      </c>
      <c r="I9" s="114">
        <f t="shared" si="7"/>
        <v>0.4348385402289301</v>
      </c>
      <c r="J9" s="15">
        <v>3587240</v>
      </c>
      <c r="K9" s="15"/>
      <c r="L9" s="14">
        <f t="shared" si="2"/>
        <v>3587240</v>
      </c>
      <c r="M9" s="15">
        <v>8042259</v>
      </c>
      <c r="N9" s="15"/>
      <c r="O9" s="14">
        <f t="shared" si="3"/>
        <v>8042259</v>
      </c>
      <c r="P9" s="114">
        <f t="shared" si="8"/>
        <v>0.4460488029544933</v>
      </c>
      <c r="Q9" s="15">
        <f>4480600+2344500+1200000+300000</f>
        <v>8325100</v>
      </c>
      <c r="R9" s="15"/>
      <c r="S9" s="14">
        <f t="shared" si="4"/>
        <v>8325100</v>
      </c>
      <c r="T9" s="15">
        <v>3772593.37</v>
      </c>
      <c r="U9" s="15"/>
      <c r="V9" s="14">
        <f t="shared" si="5"/>
        <v>3772593.37</v>
      </c>
      <c r="W9" s="114">
        <f t="shared" si="6"/>
        <v>0.4531589254183133</v>
      </c>
      <c r="X9" s="71" t="s">
        <v>396</v>
      </c>
      <c r="Z9" s="152"/>
      <c r="AA9" s="148"/>
      <c r="AB9" s="147"/>
    </row>
    <row r="10" spans="1:28" s="22" customFormat="1" ht="11.25">
      <c r="A10" s="49"/>
      <c r="B10" s="95" t="s">
        <v>220</v>
      </c>
      <c r="C10" s="15">
        <v>2473</v>
      </c>
      <c r="D10" s="21"/>
      <c r="E10" s="20">
        <f t="shared" si="0"/>
        <v>2473</v>
      </c>
      <c r="F10" s="15">
        <v>35502</v>
      </c>
      <c r="G10" s="21"/>
      <c r="H10" s="20">
        <f t="shared" si="1"/>
        <v>35502</v>
      </c>
      <c r="I10" s="114">
        <f t="shared" si="7"/>
        <v>0.06965804743394738</v>
      </c>
      <c r="J10" s="15">
        <v>3017</v>
      </c>
      <c r="K10" s="21"/>
      <c r="L10" s="20">
        <f t="shared" si="2"/>
        <v>3017</v>
      </c>
      <c r="M10" s="15">
        <v>52356</v>
      </c>
      <c r="N10" s="21"/>
      <c r="O10" s="20">
        <f t="shared" si="3"/>
        <v>52356</v>
      </c>
      <c r="P10" s="114">
        <f t="shared" si="8"/>
        <v>0.05762472304988922</v>
      </c>
      <c r="Q10" s="15">
        <f>2000+39000</f>
        <v>41000</v>
      </c>
      <c r="R10" s="21"/>
      <c r="S10" s="20">
        <f t="shared" si="4"/>
        <v>41000</v>
      </c>
      <c r="T10" s="15">
        <v>3437.9</v>
      </c>
      <c r="U10" s="21"/>
      <c r="V10" s="20">
        <f t="shared" si="5"/>
        <v>3437.9</v>
      </c>
      <c r="W10" s="114">
        <f t="shared" si="6"/>
        <v>0.08385121951219512</v>
      </c>
      <c r="X10" s="72" t="s">
        <v>397</v>
      </c>
      <c r="Y10" s="128"/>
      <c r="Z10" s="108"/>
      <c r="AA10" s="108"/>
      <c r="AB10" s="149"/>
    </row>
    <row r="11" spans="1:28" s="97" customFormat="1" ht="11.25">
      <c r="A11" s="67"/>
      <c r="B11" s="96" t="s">
        <v>221</v>
      </c>
      <c r="C11" s="15">
        <v>19797</v>
      </c>
      <c r="D11" s="15"/>
      <c r="E11" s="14">
        <f t="shared" si="0"/>
        <v>19797</v>
      </c>
      <c r="F11" s="15">
        <v>82108</v>
      </c>
      <c r="G11" s="15"/>
      <c r="H11" s="14">
        <f t="shared" si="1"/>
        <v>82108</v>
      </c>
      <c r="I11" s="114">
        <f t="shared" si="7"/>
        <v>0.24110927071661714</v>
      </c>
      <c r="J11" s="15">
        <v>21886</v>
      </c>
      <c r="K11" s="15"/>
      <c r="L11" s="14">
        <f t="shared" si="2"/>
        <v>21886</v>
      </c>
      <c r="M11" s="15">
        <v>90884</v>
      </c>
      <c r="N11" s="15"/>
      <c r="O11" s="14">
        <f t="shared" si="3"/>
        <v>90884</v>
      </c>
      <c r="P11" s="114">
        <f t="shared" si="8"/>
        <v>0.24081246424013028</v>
      </c>
      <c r="Q11" s="15">
        <f>70000+4200</f>
        <v>74200</v>
      </c>
      <c r="R11" s="15"/>
      <c r="S11" s="14">
        <f t="shared" si="4"/>
        <v>74200</v>
      </c>
      <c r="T11" s="15">
        <v>23805.2</v>
      </c>
      <c r="U11" s="15"/>
      <c r="V11" s="14">
        <f t="shared" si="5"/>
        <v>23805.2</v>
      </c>
      <c r="W11" s="114">
        <f t="shared" si="6"/>
        <v>0.3208247978436658</v>
      </c>
      <c r="X11" s="73" t="s">
        <v>398</v>
      </c>
      <c r="Y11" s="128"/>
      <c r="Z11" s="108"/>
      <c r="AA11" s="108"/>
      <c r="AB11" s="150"/>
    </row>
    <row r="12" spans="1:28" s="98" customFormat="1" ht="12" customHeight="1">
      <c r="A12" s="67"/>
      <c r="B12" s="95" t="s">
        <v>222</v>
      </c>
      <c r="C12" s="15">
        <v>964</v>
      </c>
      <c r="D12" s="15"/>
      <c r="E12" s="14">
        <f t="shared" si="0"/>
        <v>964</v>
      </c>
      <c r="F12" s="15">
        <v>1263</v>
      </c>
      <c r="G12" s="15"/>
      <c r="H12" s="14">
        <f t="shared" si="1"/>
        <v>1263</v>
      </c>
      <c r="I12" s="114">
        <f t="shared" si="7"/>
        <v>0.7632620744259699</v>
      </c>
      <c r="J12" s="15"/>
      <c r="K12" s="15"/>
      <c r="L12" s="14">
        <f t="shared" si="2"/>
        <v>0</v>
      </c>
      <c r="M12" s="15">
        <v>673</v>
      </c>
      <c r="N12" s="15"/>
      <c r="O12" s="14">
        <f t="shared" si="3"/>
        <v>673</v>
      </c>
      <c r="P12" s="114">
        <f t="shared" si="8"/>
        <v>0</v>
      </c>
      <c r="Q12" s="15">
        <v>2000</v>
      </c>
      <c r="R12" s="15"/>
      <c r="S12" s="14">
        <f t="shared" si="4"/>
        <v>2000</v>
      </c>
      <c r="T12" s="15">
        <v>28.38</v>
      </c>
      <c r="U12" s="15"/>
      <c r="V12" s="14">
        <f t="shared" si="5"/>
        <v>28.38</v>
      </c>
      <c r="W12" s="114">
        <f t="shared" si="6"/>
        <v>0.01419</v>
      </c>
      <c r="X12" s="74" t="s">
        <v>399</v>
      </c>
      <c r="Y12" s="99"/>
      <c r="Z12" s="153"/>
      <c r="AA12" s="153"/>
      <c r="AB12" s="151"/>
    </row>
    <row r="13" spans="1:27" s="97" customFormat="1" ht="22.5" customHeight="1">
      <c r="A13" s="100"/>
      <c r="B13" s="101" t="s">
        <v>350</v>
      </c>
      <c r="C13" s="15">
        <v>0</v>
      </c>
      <c r="D13" s="15"/>
      <c r="E13" s="14">
        <f t="shared" si="0"/>
        <v>0</v>
      </c>
      <c r="F13" s="15">
        <v>422292</v>
      </c>
      <c r="G13" s="15"/>
      <c r="H13" s="14">
        <f t="shared" si="1"/>
        <v>422292</v>
      </c>
      <c r="I13" s="114">
        <f t="shared" si="7"/>
        <v>0</v>
      </c>
      <c r="J13" s="15"/>
      <c r="K13" s="15"/>
      <c r="L13" s="14">
        <f t="shared" si="2"/>
        <v>0</v>
      </c>
      <c r="M13" s="15">
        <v>415354</v>
      </c>
      <c r="N13" s="15"/>
      <c r="O13" s="14">
        <f t="shared" si="3"/>
        <v>415354</v>
      </c>
      <c r="P13" s="114">
        <f t="shared" si="8"/>
        <v>0</v>
      </c>
      <c r="Q13" s="15">
        <v>440000</v>
      </c>
      <c r="R13" s="15"/>
      <c r="S13" s="14">
        <f t="shared" si="4"/>
        <v>440000</v>
      </c>
      <c r="T13" s="15"/>
      <c r="U13" s="15"/>
      <c r="V13" s="14">
        <f t="shared" si="5"/>
        <v>0</v>
      </c>
      <c r="W13" s="114">
        <f t="shared" si="6"/>
        <v>0</v>
      </c>
      <c r="X13" s="74" t="s">
        <v>0</v>
      </c>
      <c r="Z13" s="122"/>
      <c r="AA13" s="97" t="s">
        <v>89</v>
      </c>
    </row>
    <row r="14" spans="1:27" s="16" customFormat="1" ht="11.25">
      <c r="A14" s="48"/>
      <c r="B14" s="12" t="s">
        <v>218</v>
      </c>
      <c r="C14" s="15">
        <v>972908</v>
      </c>
      <c r="D14" s="15"/>
      <c r="E14" s="14">
        <f t="shared" si="0"/>
        <v>972908</v>
      </c>
      <c r="F14" s="15">
        <v>3768249</v>
      </c>
      <c r="G14" s="15"/>
      <c r="H14" s="14">
        <f t="shared" si="1"/>
        <v>3768249</v>
      </c>
      <c r="I14" s="114">
        <f t="shared" si="7"/>
        <v>0.25818569845039435</v>
      </c>
      <c r="J14" s="15">
        <v>868156</v>
      </c>
      <c r="K14" s="15"/>
      <c r="L14" s="14">
        <f t="shared" si="2"/>
        <v>868156</v>
      </c>
      <c r="M14" s="15">
        <v>3825449</v>
      </c>
      <c r="N14" s="15"/>
      <c r="O14" s="14">
        <f t="shared" si="3"/>
        <v>3825449</v>
      </c>
      <c r="P14" s="114">
        <f t="shared" si="8"/>
        <v>0.22694224913206268</v>
      </c>
      <c r="Q14" s="15">
        <v>4100000</v>
      </c>
      <c r="R14" s="15"/>
      <c r="S14" s="14">
        <f t="shared" si="4"/>
        <v>4100000</v>
      </c>
      <c r="T14" s="15">
        <v>849555.92</v>
      </c>
      <c r="U14" s="15"/>
      <c r="V14" s="14">
        <f t="shared" si="5"/>
        <v>849555.92</v>
      </c>
      <c r="W14" s="114">
        <f t="shared" si="6"/>
        <v>0.20720876097560978</v>
      </c>
      <c r="X14" s="138">
        <v>75618.041</v>
      </c>
      <c r="AA14" s="16" t="s">
        <v>89</v>
      </c>
    </row>
    <row r="15" spans="1:27" s="16" customFormat="1" ht="17.25" customHeight="1">
      <c r="A15" s="48"/>
      <c r="B15" s="12" t="s">
        <v>247</v>
      </c>
      <c r="C15" s="15">
        <v>2393326</v>
      </c>
      <c r="D15" s="15"/>
      <c r="E15" s="14">
        <f t="shared" si="0"/>
        <v>2393326</v>
      </c>
      <c r="F15" s="15">
        <v>4285418</v>
      </c>
      <c r="G15" s="15"/>
      <c r="H15" s="14">
        <f t="shared" si="1"/>
        <v>4285418</v>
      </c>
      <c r="I15" s="114">
        <f t="shared" si="7"/>
        <v>0.5584813430101802</v>
      </c>
      <c r="J15" s="15">
        <v>2949287</v>
      </c>
      <c r="K15" s="15"/>
      <c r="L15" s="14">
        <f t="shared" si="2"/>
        <v>2949287</v>
      </c>
      <c r="M15" s="15">
        <v>4651913</v>
      </c>
      <c r="N15" s="15"/>
      <c r="O15" s="14">
        <f t="shared" si="3"/>
        <v>4651913</v>
      </c>
      <c r="P15" s="114">
        <f t="shared" si="8"/>
        <v>0.6339944448660153</v>
      </c>
      <c r="Q15" s="15">
        <v>5200000</v>
      </c>
      <c r="R15" s="15"/>
      <c r="S15" s="14">
        <f t="shared" si="4"/>
        <v>5200000</v>
      </c>
      <c r="T15" s="15">
        <v>2731207.3</v>
      </c>
      <c r="U15" s="15"/>
      <c r="V15" s="14">
        <f t="shared" si="5"/>
        <v>2731207.3</v>
      </c>
      <c r="W15" s="114">
        <f t="shared" si="6"/>
        <v>0.525232173076923</v>
      </c>
      <c r="X15" s="71" t="s">
        <v>1</v>
      </c>
      <c r="Z15" s="108"/>
      <c r="AA15" s="108"/>
    </row>
    <row r="16" spans="1:24" s="16" customFormat="1" ht="22.5" customHeight="1">
      <c r="A16" s="53"/>
      <c r="B16" s="28" t="s">
        <v>248</v>
      </c>
      <c r="C16" s="15"/>
      <c r="D16" s="15">
        <v>1156477</v>
      </c>
      <c r="E16" s="14">
        <f t="shared" si="0"/>
        <v>1156477</v>
      </c>
      <c r="F16" s="15"/>
      <c r="G16" s="15">
        <v>5185744</v>
      </c>
      <c r="H16" s="14">
        <f t="shared" si="1"/>
        <v>5185744</v>
      </c>
      <c r="I16" s="114">
        <f t="shared" si="7"/>
        <v>0.22301081580579374</v>
      </c>
      <c r="J16" s="15"/>
      <c r="K16" s="15">
        <v>1307166</v>
      </c>
      <c r="L16" s="14">
        <f t="shared" si="2"/>
        <v>1307166</v>
      </c>
      <c r="M16" s="15"/>
      <c r="N16" s="15">
        <v>5579682</v>
      </c>
      <c r="O16" s="14">
        <f t="shared" si="3"/>
        <v>5579682</v>
      </c>
      <c r="P16" s="114">
        <f t="shared" si="8"/>
        <v>0.23427249079786266</v>
      </c>
      <c r="Q16" s="15"/>
      <c r="R16" s="15">
        <f>5100000*104.2%</f>
        <v>5314200</v>
      </c>
      <c r="S16" s="14">
        <f t="shared" si="4"/>
        <v>5314200</v>
      </c>
      <c r="T16" s="15"/>
      <c r="U16" s="15">
        <v>1106187.5</v>
      </c>
      <c r="V16" s="14">
        <f t="shared" si="5"/>
        <v>1106187.5</v>
      </c>
      <c r="W16" s="114">
        <f t="shared" si="6"/>
        <v>0.20815691919762147</v>
      </c>
      <c r="X16" s="71" t="s">
        <v>2</v>
      </c>
    </row>
    <row r="17" spans="1:26" s="97" customFormat="1" ht="14.25" customHeight="1">
      <c r="A17" s="67"/>
      <c r="B17" s="95" t="s">
        <v>378</v>
      </c>
      <c r="C17" s="15">
        <v>186337</v>
      </c>
      <c r="D17" s="15"/>
      <c r="E17" s="14">
        <f t="shared" si="0"/>
        <v>186337</v>
      </c>
      <c r="F17" s="15">
        <v>1146939</v>
      </c>
      <c r="G17" s="15"/>
      <c r="H17" s="14">
        <f t="shared" si="1"/>
        <v>1146939</v>
      </c>
      <c r="I17" s="114">
        <f t="shared" si="7"/>
        <v>0.16246461232899048</v>
      </c>
      <c r="J17" s="15">
        <v>154049</v>
      </c>
      <c r="K17" s="15"/>
      <c r="L17" s="14">
        <f t="shared" si="2"/>
        <v>154049</v>
      </c>
      <c r="M17" s="15">
        <v>1050080</v>
      </c>
      <c r="N17" s="15"/>
      <c r="O17" s="14">
        <f t="shared" si="3"/>
        <v>1050080</v>
      </c>
      <c r="P17" s="114">
        <f t="shared" si="8"/>
        <v>0.14670215602620754</v>
      </c>
      <c r="Q17" s="15">
        <f>800000+230000</f>
        <v>1030000</v>
      </c>
      <c r="R17" s="15"/>
      <c r="S17" s="14">
        <f t="shared" si="4"/>
        <v>1030000</v>
      </c>
      <c r="T17" s="15">
        <v>129731.82</v>
      </c>
      <c r="U17" s="15"/>
      <c r="V17" s="14">
        <f t="shared" si="5"/>
        <v>129731.82</v>
      </c>
      <c r="W17" s="114">
        <f t="shared" si="6"/>
        <v>0.1259532233009709</v>
      </c>
      <c r="X17" s="73" t="s">
        <v>3</v>
      </c>
      <c r="Z17" s="141"/>
    </row>
    <row r="18" spans="1:24" s="97" customFormat="1" ht="11.25">
      <c r="A18" s="67"/>
      <c r="B18" s="95" t="s">
        <v>223</v>
      </c>
      <c r="C18" s="15">
        <v>120</v>
      </c>
      <c r="D18" s="15"/>
      <c r="E18" s="14">
        <f t="shared" si="0"/>
        <v>120</v>
      </c>
      <c r="F18" s="15"/>
      <c r="G18" s="15"/>
      <c r="H18" s="14">
        <f t="shared" si="1"/>
        <v>0</v>
      </c>
      <c r="I18" s="114"/>
      <c r="J18" s="15">
        <v>60387</v>
      </c>
      <c r="K18" s="15"/>
      <c r="L18" s="14">
        <f t="shared" si="2"/>
        <v>60387</v>
      </c>
      <c r="M18" s="15"/>
      <c r="N18" s="15"/>
      <c r="O18" s="14">
        <f t="shared" si="3"/>
        <v>0</v>
      </c>
      <c r="P18" s="114"/>
      <c r="Q18" s="15">
        <v>0</v>
      </c>
      <c r="R18" s="15"/>
      <c r="S18" s="14">
        <f t="shared" si="4"/>
        <v>0</v>
      </c>
      <c r="T18" s="15"/>
      <c r="U18" s="15"/>
      <c r="V18" s="14">
        <f t="shared" si="5"/>
        <v>0</v>
      </c>
      <c r="W18" s="114"/>
      <c r="X18" s="73" t="s">
        <v>4</v>
      </c>
    </row>
    <row r="19" spans="1:24" s="97" customFormat="1" ht="11.25">
      <c r="A19" s="67"/>
      <c r="B19" s="95" t="s">
        <v>367</v>
      </c>
      <c r="C19" s="15">
        <v>32824</v>
      </c>
      <c r="D19" s="15"/>
      <c r="E19" s="14">
        <f t="shared" si="0"/>
        <v>32824</v>
      </c>
      <c r="F19" s="15">
        <v>75374</v>
      </c>
      <c r="G19" s="15"/>
      <c r="H19" s="14">
        <f t="shared" si="1"/>
        <v>75374</v>
      </c>
      <c r="I19" s="114">
        <f t="shared" si="7"/>
        <v>0.43548173110091015</v>
      </c>
      <c r="J19" s="15"/>
      <c r="K19" s="15"/>
      <c r="L19" s="14">
        <f t="shared" si="2"/>
        <v>0</v>
      </c>
      <c r="M19" s="15"/>
      <c r="N19" s="15"/>
      <c r="O19" s="14">
        <f t="shared" si="3"/>
        <v>0</v>
      </c>
      <c r="P19" s="114"/>
      <c r="Q19" s="15">
        <f>100000-100000</f>
        <v>0</v>
      </c>
      <c r="R19" s="15"/>
      <c r="S19" s="14">
        <f t="shared" si="4"/>
        <v>0</v>
      </c>
      <c r="T19" s="15"/>
      <c r="U19" s="15"/>
      <c r="V19" s="14">
        <f t="shared" si="5"/>
        <v>0</v>
      </c>
      <c r="W19" s="114"/>
      <c r="X19" s="73" t="s">
        <v>5</v>
      </c>
    </row>
    <row r="20" spans="1:24" s="98" customFormat="1" ht="11.25" customHeight="1">
      <c r="A20" s="100"/>
      <c r="B20" s="96" t="s">
        <v>234</v>
      </c>
      <c r="C20" s="15">
        <v>346706</v>
      </c>
      <c r="D20" s="15"/>
      <c r="E20" s="14">
        <f t="shared" si="0"/>
        <v>346706</v>
      </c>
      <c r="F20" s="15">
        <v>3957</v>
      </c>
      <c r="G20" s="15"/>
      <c r="H20" s="14">
        <f t="shared" si="1"/>
        <v>3957</v>
      </c>
      <c r="I20" s="114">
        <f t="shared" si="7"/>
        <v>87.618397776093</v>
      </c>
      <c r="J20" s="15"/>
      <c r="K20" s="15"/>
      <c r="L20" s="14">
        <f t="shared" si="2"/>
        <v>0</v>
      </c>
      <c r="M20" s="15">
        <v>87333</v>
      </c>
      <c r="N20" s="15"/>
      <c r="O20" s="14">
        <f t="shared" si="3"/>
        <v>87333</v>
      </c>
      <c r="P20" s="114">
        <f t="shared" si="8"/>
        <v>0</v>
      </c>
      <c r="Q20" s="15">
        <v>100000</v>
      </c>
      <c r="R20" s="15"/>
      <c r="S20" s="14">
        <f t="shared" si="4"/>
        <v>100000</v>
      </c>
      <c r="T20" s="15"/>
      <c r="U20" s="15"/>
      <c r="V20" s="14">
        <f t="shared" si="5"/>
        <v>0</v>
      </c>
      <c r="W20" s="114">
        <f t="shared" si="6"/>
        <v>0</v>
      </c>
      <c r="X20" s="116" t="s">
        <v>117</v>
      </c>
    </row>
    <row r="21" spans="1:24" s="104" customFormat="1" ht="11.25">
      <c r="A21" s="102"/>
      <c r="B21" s="103" t="s">
        <v>224</v>
      </c>
      <c r="C21" s="15"/>
      <c r="D21" s="15"/>
      <c r="E21" s="14">
        <f t="shared" si="0"/>
        <v>0</v>
      </c>
      <c r="F21" s="15">
        <v>1233183</v>
      </c>
      <c r="G21" s="15"/>
      <c r="H21" s="14">
        <f t="shared" si="1"/>
        <v>1233183</v>
      </c>
      <c r="I21" s="114">
        <f t="shared" si="7"/>
        <v>0</v>
      </c>
      <c r="J21" s="15">
        <v>323086</v>
      </c>
      <c r="K21" s="15"/>
      <c r="L21" s="14">
        <f t="shared" si="2"/>
        <v>323086</v>
      </c>
      <c r="M21" s="15">
        <v>1738093</v>
      </c>
      <c r="N21" s="15"/>
      <c r="O21" s="14">
        <f t="shared" si="3"/>
        <v>1738093</v>
      </c>
      <c r="P21" s="114">
        <f t="shared" si="8"/>
        <v>0.18588533524960976</v>
      </c>
      <c r="Q21" s="15">
        <f>900000+300000</f>
        <v>1200000</v>
      </c>
      <c r="R21" s="15"/>
      <c r="S21" s="14">
        <f t="shared" si="4"/>
        <v>1200000</v>
      </c>
      <c r="T21" s="15">
        <v>638926.88</v>
      </c>
      <c r="U21" s="15"/>
      <c r="V21" s="14">
        <f t="shared" si="5"/>
        <v>638926.88</v>
      </c>
      <c r="W21" s="114">
        <f t="shared" si="6"/>
        <v>0.5324390666666666</v>
      </c>
      <c r="X21" s="75" t="s">
        <v>6</v>
      </c>
    </row>
    <row r="22" spans="1:24" s="10" customFormat="1" ht="19.5" customHeight="1">
      <c r="A22" s="24">
        <v>2</v>
      </c>
      <c r="B22" s="25" t="s">
        <v>225</v>
      </c>
      <c r="C22" s="9">
        <f>SUM(C23:C27)</f>
        <v>11065474</v>
      </c>
      <c r="D22" s="9">
        <f>SUM(D23:D27)</f>
        <v>2</v>
      </c>
      <c r="E22" s="9">
        <f t="shared" si="0"/>
        <v>11065476</v>
      </c>
      <c r="F22" s="9">
        <f>SUM(F23:F27)</f>
        <v>38860601</v>
      </c>
      <c r="G22" s="9">
        <f>SUM(G23:G27)</f>
        <v>55</v>
      </c>
      <c r="H22" s="9">
        <f t="shared" si="1"/>
        <v>38860656</v>
      </c>
      <c r="I22" s="114">
        <f t="shared" si="7"/>
        <v>0.28474753488464016</v>
      </c>
      <c r="J22" s="9">
        <f>SUM(J23:J27)</f>
        <v>4974811</v>
      </c>
      <c r="K22" s="9">
        <f>SUM(K23:K27)</f>
        <v>0</v>
      </c>
      <c r="L22" s="9">
        <f t="shared" si="2"/>
        <v>4974811</v>
      </c>
      <c r="M22" s="9">
        <f>SUM(M23:M27)</f>
        <v>35531850</v>
      </c>
      <c r="N22" s="9">
        <f>SUM(N23:N27)</f>
        <v>18</v>
      </c>
      <c r="O22" s="9">
        <f t="shared" si="3"/>
        <v>35531868</v>
      </c>
      <c r="P22" s="114">
        <f t="shared" si="8"/>
        <v>0.1400098356776514</v>
      </c>
      <c r="Q22" s="9">
        <f>SUM(Q23:Q27)</f>
        <v>41900000</v>
      </c>
      <c r="R22" s="9">
        <f>SUM(R23:R27)</f>
        <v>0</v>
      </c>
      <c r="S22" s="9">
        <f t="shared" si="4"/>
        <v>41900000</v>
      </c>
      <c r="T22" s="9">
        <f>SUM(T23:T27)</f>
        <v>5719625.05</v>
      </c>
      <c r="U22" s="9">
        <f>SUM(U23:U27)</f>
        <v>0</v>
      </c>
      <c r="V22" s="9">
        <f t="shared" si="5"/>
        <v>5719625.05</v>
      </c>
      <c r="W22" s="114">
        <f t="shared" si="6"/>
        <v>0.1365065644391408</v>
      </c>
      <c r="X22" s="76"/>
    </row>
    <row r="23" spans="1:24" s="16" customFormat="1" ht="11.25">
      <c r="A23" s="48"/>
      <c r="B23" s="18" t="s">
        <v>226</v>
      </c>
      <c r="C23" s="15">
        <v>181023</v>
      </c>
      <c r="D23" s="126"/>
      <c r="E23" s="14">
        <f t="shared" si="0"/>
        <v>181023</v>
      </c>
      <c r="F23" s="15">
        <v>1019489</v>
      </c>
      <c r="G23" s="126"/>
      <c r="H23" s="14">
        <f t="shared" si="1"/>
        <v>1019489</v>
      </c>
      <c r="I23" s="114">
        <f t="shared" si="7"/>
        <v>0.17756248473499958</v>
      </c>
      <c r="J23" s="15">
        <v>193399</v>
      </c>
      <c r="K23" s="126"/>
      <c r="L23" s="14">
        <f t="shared" si="2"/>
        <v>193399</v>
      </c>
      <c r="M23" s="15">
        <v>917648</v>
      </c>
      <c r="N23" s="126"/>
      <c r="O23" s="14">
        <f t="shared" si="3"/>
        <v>917648</v>
      </c>
      <c r="P23" s="114">
        <f t="shared" si="8"/>
        <v>0.21075510435373912</v>
      </c>
      <c r="Q23" s="15">
        <v>900000</v>
      </c>
      <c r="R23" s="126"/>
      <c r="S23" s="14">
        <f t="shared" si="4"/>
        <v>900000</v>
      </c>
      <c r="T23" s="15">
        <v>134045.79</v>
      </c>
      <c r="U23" s="15"/>
      <c r="V23" s="14">
        <f t="shared" si="5"/>
        <v>134045.79</v>
      </c>
      <c r="W23" s="114">
        <f t="shared" si="6"/>
        <v>0.14893976666666667</v>
      </c>
      <c r="X23" s="71" t="s">
        <v>7</v>
      </c>
    </row>
    <row r="24" spans="1:24" s="16" customFormat="1" ht="12" customHeight="1">
      <c r="A24" s="48"/>
      <c r="B24" s="18" t="s">
        <v>227</v>
      </c>
      <c r="C24" s="15">
        <v>1449999</v>
      </c>
      <c r="D24" s="126"/>
      <c r="E24" s="14">
        <f t="shared" si="0"/>
        <v>1449999</v>
      </c>
      <c r="F24" s="15">
        <v>5172311</v>
      </c>
      <c r="G24" s="126"/>
      <c r="H24" s="14">
        <f t="shared" si="1"/>
        <v>5172311</v>
      </c>
      <c r="I24" s="114">
        <f t="shared" si="7"/>
        <v>0.2803387112646552</v>
      </c>
      <c r="J24" s="15">
        <v>1086315</v>
      </c>
      <c r="K24" s="126"/>
      <c r="L24" s="14">
        <f t="shared" si="2"/>
        <v>1086315</v>
      </c>
      <c r="M24" s="15">
        <v>4504550</v>
      </c>
      <c r="N24" s="126"/>
      <c r="O24" s="14">
        <f t="shared" si="3"/>
        <v>4504550</v>
      </c>
      <c r="P24" s="114">
        <f t="shared" si="8"/>
        <v>0.24115949428910768</v>
      </c>
      <c r="Q24" s="15">
        <f>3600000+400000</f>
        <v>4000000</v>
      </c>
      <c r="R24" s="126"/>
      <c r="S24" s="14">
        <f t="shared" si="4"/>
        <v>4000000</v>
      </c>
      <c r="T24" s="15">
        <v>1061504.85</v>
      </c>
      <c r="U24" s="15"/>
      <c r="V24" s="14">
        <f t="shared" si="5"/>
        <v>1061504.85</v>
      </c>
      <c r="W24" s="114">
        <f t="shared" si="6"/>
        <v>0.26537621250000004</v>
      </c>
      <c r="X24" s="71" t="s">
        <v>8</v>
      </c>
    </row>
    <row r="25" spans="1:24" s="16" customFormat="1" ht="12" customHeight="1">
      <c r="A25" s="48"/>
      <c r="B25" s="18" t="s">
        <v>228</v>
      </c>
      <c r="C25" s="15">
        <v>9424015</v>
      </c>
      <c r="D25" s="15"/>
      <c r="E25" s="14">
        <f t="shared" si="0"/>
        <v>9424015</v>
      </c>
      <c r="F25" s="15">
        <v>32624347</v>
      </c>
      <c r="G25" s="126"/>
      <c r="H25" s="14">
        <f t="shared" si="1"/>
        <v>32624347</v>
      </c>
      <c r="I25" s="114">
        <f t="shared" si="7"/>
        <v>0.2888644790346302</v>
      </c>
      <c r="J25" s="15">
        <v>3682328</v>
      </c>
      <c r="K25" s="126"/>
      <c r="L25" s="14">
        <f t="shared" si="2"/>
        <v>3682328</v>
      </c>
      <c r="M25" s="15">
        <v>30063592</v>
      </c>
      <c r="N25" s="126"/>
      <c r="O25" s="14">
        <f t="shared" si="3"/>
        <v>30063592</v>
      </c>
      <c r="P25" s="114">
        <f t="shared" si="8"/>
        <v>0.12248463190958685</v>
      </c>
      <c r="Q25" s="15">
        <v>37000000</v>
      </c>
      <c r="R25" s="126"/>
      <c r="S25" s="14">
        <f t="shared" si="4"/>
        <v>37000000</v>
      </c>
      <c r="T25" s="15">
        <v>4512499.05</v>
      </c>
      <c r="U25" s="15"/>
      <c r="V25" s="14">
        <f t="shared" si="5"/>
        <v>4512499.05</v>
      </c>
      <c r="W25" s="114">
        <f t="shared" si="6"/>
        <v>0.12195943378378378</v>
      </c>
      <c r="X25" s="71" t="s">
        <v>9</v>
      </c>
    </row>
    <row r="26" spans="1:25" s="16" customFormat="1" ht="20.25" customHeight="1">
      <c r="A26" s="48"/>
      <c r="B26" s="18" t="s">
        <v>229</v>
      </c>
      <c r="C26" s="15">
        <v>10437</v>
      </c>
      <c r="D26" s="15">
        <v>2</v>
      </c>
      <c r="E26" s="14">
        <f t="shared" si="0"/>
        <v>10439</v>
      </c>
      <c r="F26" s="15">
        <v>44454</v>
      </c>
      <c r="G26" s="15">
        <v>55</v>
      </c>
      <c r="H26" s="14">
        <f t="shared" si="1"/>
        <v>44509</v>
      </c>
      <c r="I26" s="114">
        <f t="shared" si="7"/>
        <v>0.23453683524680402</v>
      </c>
      <c r="J26" s="15">
        <v>12769</v>
      </c>
      <c r="K26" s="126"/>
      <c r="L26" s="14">
        <f t="shared" si="2"/>
        <v>12769</v>
      </c>
      <c r="M26" s="15">
        <v>45974</v>
      </c>
      <c r="N26" s="15"/>
      <c r="O26" s="14">
        <f t="shared" si="3"/>
        <v>45974</v>
      </c>
      <c r="P26" s="114">
        <f t="shared" si="8"/>
        <v>0.27774394222821597</v>
      </c>
      <c r="Q26" s="126"/>
      <c r="R26" s="126"/>
      <c r="S26" s="14">
        <f t="shared" si="4"/>
        <v>0</v>
      </c>
      <c r="T26" s="15">
        <v>11575.36</v>
      </c>
      <c r="U26" s="15"/>
      <c r="V26" s="14">
        <f t="shared" si="5"/>
        <v>11575.36</v>
      </c>
      <c r="W26" s="114"/>
      <c r="X26" s="75" t="s">
        <v>170</v>
      </c>
      <c r="Y26" s="132"/>
    </row>
    <row r="27" spans="1:25" s="16" customFormat="1" ht="21.75" customHeight="1">
      <c r="A27" s="48"/>
      <c r="B27" s="18" t="s">
        <v>193</v>
      </c>
      <c r="C27" s="126"/>
      <c r="D27" s="126"/>
      <c r="E27" s="14">
        <f t="shared" si="0"/>
        <v>0</v>
      </c>
      <c r="F27" s="126"/>
      <c r="G27" s="126"/>
      <c r="H27" s="14">
        <f t="shared" si="1"/>
        <v>0</v>
      </c>
      <c r="I27" s="114"/>
      <c r="J27" s="126"/>
      <c r="K27" s="126"/>
      <c r="L27" s="14">
        <f t="shared" si="2"/>
        <v>0</v>
      </c>
      <c r="M27" s="15">
        <v>86</v>
      </c>
      <c r="N27" s="15">
        <v>18</v>
      </c>
      <c r="O27" s="14">
        <f t="shared" si="3"/>
        <v>104</v>
      </c>
      <c r="P27" s="114">
        <f t="shared" si="8"/>
        <v>0</v>
      </c>
      <c r="Q27" s="126"/>
      <c r="R27" s="126"/>
      <c r="S27" s="14">
        <f t="shared" si="4"/>
        <v>0</v>
      </c>
      <c r="T27" s="15"/>
      <c r="U27" s="15"/>
      <c r="V27" s="14">
        <f t="shared" si="5"/>
        <v>0</v>
      </c>
      <c r="W27" s="114"/>
      <c r="X27" s="75" t="s">
        <v>194</v>
      </c>
      <c r="Y27" s="132"/>
    </row>
    <row r="28" spans="1:25" s="11" customFormat="1" ht="13.5" customHeight="1">
      <c r="A28" s="24">
        <v>3</v>
      </c>
      <c r="B28" s="26" t="s">
        <v>375</v>
      </c>
      <c r="C28" s="9">
        <f>SUM(C29:C34)</f>
        <v>17055674</v>
      </c>
      <c r="D28" s="9">
        <f>SUM(D29:D34)</f>
        <v>62152</v>
      </c>
      <c r="E28" s="27">
        <f t="shared" si="0"/>
        <v>17117826</v>
      </c>
      <c r="F28" s="9">
        <f>SUM(F29:F34)</f>
        <v>73364354</v>
      </c>
      <c r="G28" s="9">
        <f>SUM(G29:G34)</f>
        <v>147206</v>
      </c>
      <c r="H28" s="27">
        <f t="shared" si="1"/>
        <v>73511560</v>
      </c>
      <c r="I28" s="114">
        <f t="shared" si="7"/>
        <v>0.23285896803169462</v>
      </c>
      <c r="J28" s="9">
        <f>SUM(J29:J34)</f>
        <v>10905430</v>
      </c>
      <c r="K28" s="9">
        <f>SUM(K29:K34)</f>
        <v>13193</v>
      </c>
      <c r="L28" s="27">
        <f t="shared" si="2"/>
        <v>10918623</v>
      </c>
      <c r="M28" s="9">
        <f>SUM(M29:M34)</f>
        <v>52037625</v>
      </c>
      <c r="N28" s="9">
        <f>SUM(N29:N34)</f>
        <v>64218</v>
      </c>
      <c r="O28" s="27">
        <f t="shared" si="3"/>
        <v>52101843</v>
      </c>
      <c r="P28" s="114">
        <f t="shared" si="8"/>
        <v>0.20956308589698064</v>
      </c>
      <c r="Q28" s="9">
        <f>SUM(Q29:Q34)</f>
        <v>64336166</v>
      </c>
      <c r="R28" s="9">
        <f>SUM(R29:R34)</f>
        <v>87440</v>
      </c>
      <c r="S28" s="27">
        <f t="shared" si="4"/>
        <v>64423606</v>
      </c>
      <c r="T28" s="9">
        <f>SUM(T29:T34)</f>
        <v>15319931.469999999</v>
      </c>
      <c r="U28" s="9">
        <f>SUM(U29:U34)</f>
        <v>12055.6</v>
      </c>
      <c r="V28" s="27">
        <f t="shared" si="5"/>
        <v>15331987.069999998</v>
      </c>
      <c r="W28" s="114">
        <f aca="true" t="shared" si="9" ref="W28:W58">V28/S28</f>
        <v>0.2379870985489387</v>
      </c>
      <c r="X28" s="115"/>
      <c r="Y28" s="113"/>
    </row>
    <row r="29" spans="1:25" s="16" customFormat="1" ht="15" customHeight="1">
      <c r="A29" s="48"/>
      <c r="B29" s="18" t="s">
        <v>230</v>
      </c>
      <c r="C29" s="15">
        <v>9077975</v>
      </c>
      <c r="D29" s="126"/>
      <c r="E29" s="14">
        <f t="shared" si="0"/>
        <v>9077975</v>
      </c>
      <c r="F29" s="15">
        <v>45231731</v>
      </c>
      <c r="G29" s="126"/>
      <c r="H29" s="14">
        <f t="shared" si="1"/>
        <v>45231731</v>
      </c>
      <c r="I29" s="114">
        <f t="shared" si="7"/>
        <v>0.20069926132165936</v>
      </c>
      <c r="J29" s="15">
        <v>1518886</v>
      </c>
      <c r="K29" s="126"/>
      <c r="L29" s="14">
        <f t="shared" si="2"/>
        <v>1518886</v>
      </c>
      <c r="M29" s="15">
        <v>19098383</v>
      </c>
      <c r="N29" s="126"/>
      <c r="O29" s="14">
        <f t="shared" si="3"/>
        <v>19098383</v>
      </c>
      <c r="P29" s="114">
        <f t="shared" si="8"/>
        <v>0.07952956017271201</v>
      </c>
      <c r="Q29" s="15">
        <v>30000000</v>
      </c>
      <c r="R29" s="126"/>
      <c r="S29" s="14">
        <f t="shared" si="4"/>
        <v>30000000</v>
      </c>
      <c r="T29" s="15">
        <v>3794325.54</v>
      </c>
      <c r="U29" s="15"/>
      <c r="V29" s="14">
        <f t="shared" si="5"/>
        <v>3794325.54</v>
      </c>
      <c r="W29" s="114">
        <f t="shared" si="9"/>
        <v>0.126477518</v>
      </c>
      <c r="X29" s="154" t="s">
        <v>10</v>
      </c>
      <c r="Y29" s="115"/>
    </row>
    <row r="30" spans="1:25" s="16" customFormat="1" ht="21.75" customHeight="1">
      <c r="A30" s="48"/>
      <c r="B30" s="18" t="s">
        <v>377</v>
      </c>
      <c r="C30" s="15"/>
      <c r="D30" s="126"/>
      <c r="E30" s="14">
        <f t="shared" si="0"/>
        <v>0</v>
      </c>
      <c r="F30" s="15"/>
      <c r="G30" s="126"/>
      <c r="H30" s="14">
        <f t="shared" si="1"/>
        <v>0</v>
      </c>
      <c r="I30" s="114"/>
      <c r="J30" s="15">
        <v>530353</v>
      </c>
      <c r="K30" s="126"/>
      <c r="L30" s="14">
        <f t="shared" si="2"/>
        <v>530353</v>
      </c>
      <c r="M30" s="15">
        <v>3690715</v>
      </c>
      <c r="N30" s="126"/>
      <c r="O30" s="14">
        <f t="shared" si="3"/>
        <v>3690715</v>
      </c>
      <c r="P30" s="114">
        <f t="shared" si="8"/>
        <v>0.14369925610620166</v>
      </c>
      <c r="Q30" s="15">
        <v>2600000</v>
      </c>
      <c r="R30" s="126"/>
      <c r="S30" s="14">
        <f t="shared" si="4"/>
        <v>2600000</v>
      </c>
      <c r="T30" s="15">
        <v>2303361.61</v>
      </c>
      <c r="U30" s="15"/>
      <c r="V30" s="14">
        <f t="shared" si="5"/>
        <v>2303361.61</v>
      </c>
      <c r="W30" s="114">
        <f t="shared" si="9"/>
        <v>0.8859083115384615</v>
      </c>
      <c r="X30" s="154" t="s">
        <v>11</v>
      </c>
      <c r="Y30" s="115"/>
    </row>
    <row r="31" spans="1:25" s="16" customFormat="1" ht="11.25">
      <c r="A31" s="48"/>
      <c r="B31" s="18" t="s">
        <v>231</v>
      </c>
      <c r="C31" s="15">
        <v>1776210</v>
      </c>
      <c r="D31" s="126"/>
      <c r="E31" s="14">
        <f t="shared" si="0"/>
        <v>1776210</v>
      </c>
      <c r="F31" s="15">
        <v>7749408</v>
      </c>
      <c r="G31" s="126"/>
      <c r="H31" s="14">
        <f t="shared" si="1"/>
        <v>7749408</v>
      </c>
      <c r="I31" s="114">
        <f t="shared" si="7"/>
        <v>0.22920589546969267</v>
      </c>
      <c r="J31" s="15">
        <v>1893868</v>
      </c>
      <c r="K31" s="126"/>
      <c r="L31" s="14">
        <f t="shared" si="2"/>
        <v>1893868</v>
      </c>
      <c r="M31" s="15">
        <v>8629033</v>
      </c>
      <c r="N31" s="126"/>
      <c r="O31" s="14">
        <f t="shared" si="3"/>
        <v>8629033</v>
      </c>
      <c r="P31" s="114">
        <f t="shared" si="8"/>
        <v>0.21947627271792797</v>
      </c>
      <c r="Q31" s="15">
        <f>7700000+1000000</f>
        <v>8700000</v>
      </c>
      <c r="R31" s="126"/>
      <c r="S31" s="14">
        <f t="shared" si="4"/>
        <v>8700000</v>
      </c>
      <c r="T31" s="15">
        <v>2587833.52</v>
      </c>
      <c r="U31" s="15"/>
      <c r="V31" s="14">
        <f t="shared" si="5"/>
        <v>2587833.52</v>
      </c>
      <c r="W31" s="114">
        <f t="shared" si="9"/>
        <v>0.2974521287356322</v>
      </c>
      <c r="X31" s="155">
        <v>70005.075</v>
      </c>
      <c r="Y31" s="115"/>
    </row>
    <row r="32" spans="1:25" s="16" customFormat="1" ht="11.25">
      <c r="A32" s="48"/>
      <c r="B32" s="18" t="s">
        <v>232</v>
      </c>
      <c r="C32" s="15">
        <v>1098782</v>
      </c>
      <c r="D32" s="126"/>
      <c r="E32" s="14">
        <f t="shared" si="0"/>
        <v>1098782</v>
      </c>
      <c r="F32" s="15">
        <v>3602329</v>
      </c>
      <c r="G32" s="126"/>
      <c r="H32" s="14">
        <f t="shared" si="1"/>
        <v>3602329</v>
      </c>
      <c r="I32" s="114">
        <f t="shared" si="7"/>
        <v>0.30501989129810186</v>
      </c>
      <c r="J32" s="15">
        <v>892207</v>
      </c>
      <c r="K32" s="126"/>
      <c r="L32" s="14">
        <f t="shared" si="2"/>
        <v>892207</v>
      </c>
      <c r="M32" s="15">
        <v>3400675</v>
      </c>
      <c r="N32" s="126"/>
      <c r="O32" s="14">
        <f t="shared" si="3"/>
        <v>3400675</v>
      </c>
      <c r="P32" s="114">
        <f t="shared" si="8"/>
        <v>0.26236173700809395</v>
      </c>
      <c r="Q32" s="15">
        <f>4500000-400000</f>
        <v>4100000</v>
      </c>
      <c r="R32" s="126"/>
      <c r="S32" s="14">
        <f t="shared" si="4"/>
        <v>4100000</v>
      </c>
      <c r="T32" s="15">
        <v>768194.19</v>
      </c>
      <c r="U32" s="15"/>
      <c r="V32" s="14">
        <f t="shared" si="5"/>
        <v>768194.19</v>
      </c>
      <c r="W32" s="114">
        <f t="shared" si="9"/>
        <v>0.18736443658536583</v>
      </c>
      <c r="X32" s="156" t="s">
        <v>12</v>
      </c>
      <c r="Y32" s="115"/>
    </row>
    <row r="33" spans="1:25" s="16" customFormat="1" ht="11.25">
      <c r="A33" s="48"/>
      <c r="B33" s="18" t="s">
        <v>233</v>
      </c>
      <c r="C33" s="15">
        <v>2314027</v>
      </c>
      <c r="D33" s="126"/>
      <c r="E33" s="14">
        <f t="shared" si="0"/>
        <v>2314027</v>
      </c>
      <c r="F33" s="15">
        <v>5382062</v>
      </c>
      <c r="G33" s="126"/>
      <c r="H33" s="14">
        <f t="shared" si="1"/>
        <v>5382062</v>
      </c>
      <c r="I33" s="114">
        <f t="shared" si="7"/>
        <v>0.4299517545505793</v>
      </c>
      <c r="J33" s="15">
        <v>3214885</v>
      </c>
      <c r="K33" s="126"/>
      <c r="L33" s="14">
        <f t="shared" si="2"/>
        <v>3214885</v>
      </c>
      <c r="M33" s="15">
        <v>4983527</v>
      </c>
      <c r="N33" s="126"/>
      <c r="O33" s="14">
        <f t="shared" si="3"/>
        <v>4983527</v>
      </c>
      <c r="P33" s="114">
        <f t="shared" si="8"/>
        <v>0.6451023542162007</v>
      </c>
      <c r="Q33" s="15">
        <v>5500000</v>
      </c>
      <c r="R33" s="126"/>
      <c r="S33" s="14">
        <f t="shared" si="4"/>
        <v>5500000</v>
      </c>
      <c r="T33" s="15">
        <v>2847601.68</v>
      </c>
      <c r="U33" s="15"/>
      <c r="V33" s="14">
        <f t="shared" si="5"/>
        <v>2847601.68</v>
      </c>
      <c r="W33" s="114">
        <f t="shared" si="9"/>
        <v>0.51774576</v>
      </c>
      <c r="X33" s="156" t="s">
        <v>13</v>
      </c>
      <c r="Y33" s="115"/>
    </row>
    <row r="34" spans="1:25" s="16" customFormat="1" ht="11.25">
      <c r="A34" s="48"/>
      <c r="B34" s="18" t="s">
        <v>219</v>
      </c>
      <c r="C34" s="15">
        <f>SUM(C35:C38)</f>
        <v>2788680</v>
      </c>
      <c r="D34" s="15">
        <f>SUM(D35:D38)</f>
        <v>62152</v>
      </c>
      <c r="E34" s="14">
        <f t="shared" si="0"/>
        <v>2850832</v>
      </c>
      <c r="F34" s="15">
        <f>SUM(F35:F38)</f>
        <v>11398824</v>
      </c>
      <c r="G34" s="15">
        <f>SUM(G35:G38)</f>
        <v>147206</v>
      </c>
      <c r="H34" s="14">
        <f t="shared" si="1"/>
        <v>11546030</v>
      </c>
      <c r="I34" s="114">
        <f t="shared" si="7"/>
        <v>0.24691015006889813</v>
      </c>
      <c r="J34" s="15">
        <f>SUM(J35:J38)</f>
        <v>2855231</v>
      </c>
      <c r="K34" s="15">
        <f>SUM(K35:K38)</f>
        <v>13193</v>
      </c>
      <c r="L34" s="14">
        <f t="shared" si="2"/>
        <v>2868424</v>
      </c>
      <c r="M34" s="15">
        <f>SUM(M35:M38)</f>
        <v>12235292</v>
      </c>
      <c r="N34" s="15">
        <f>SUM(N35:N38)</f>
        <v>64218</v>
      </c>
      <c r="O34" s="14">
        <f t="shared" si="3"/>
        <v>12299510</v>
      </c>
      <c r="P34" s="114">
        <f t="shared" si="8"/>
        <v>0.23321449391073304</v>
      </c>
      <c r="Q34" s="15">
        <f>SUM(Q35:Q38)</f>
        <v>13436166</v>
      </c>
      <c r="R34" s="15">
        <f>SUM(R35:R38)</f>
        <v>87440</v>
      </c>
      <c r="S34" s="14">
        <f t="shared" si="4"/>
        <v>13523606</v>
      </c>
      <c r="T34" s="15">
        <f>SUM(T35:T38)</f>
        <v>3018614.9299999997</v>
      </c>
      <c r="U34" s="15">
        <f>SUM(U35:U38)</f>
        <v>12055.6</v>
      </c>
      <c r="V34" s="14">
        <f t="shared" si="5"/>
        <v>3030670.53</v>
      </c>
      <c r="W34" s="114">
        <f t="shared" si="9"/>
        <v>0.22410224979935084</v>
      </c>
      <c r="X34" s="156"/>
      <c r="Y34" s="115"/>
    </row>
    <row r="35" spans="1:24" s="22" customFormat="1" ht="12.75" customHeight="1">
      <c r="A35" s="51"/>
      <c r="B35" s="19" t="s">
        <v>235</v>
      </c>
      <c r="C35" s="21">
        <v>175800</v>
      </c>
      <c r="D35" s="21">
        <v>25000</v>
      </c>
      <c r="E35" s="20">
        <f t="shared" si="0"/>
        <v>200800</v>
      </c>
      <c r="F35" s="21">
        <v>438116</v>
      </c>
      <c r="G35" s="21">
        <v>500</v>
      </c>
      <c r="H35" s="20">
        <f t="shared" si="1"/>
        <v>438616</v>
      </c>
      <c r="I35" s="114">
        <f t="shared" si="7"/>
        <v>0.4578036368942309</v>
      </c>
      <c r="J35" s="21">
        <v>203537</v>
      </c>
      <c r="K35" s="21"/>
      <c r="L35" s="20">
        <f t="shared" si="2"/>
        <v>203537</v>
      </c>
      <c r="M35" s="21">
        <v>423708</v>
      </c>
      <c r="N35" s="21">
        <v>4727</v>
      </c>
      <c r="O35" s="20">
        <f t="shared" si="3"/>
        <v>428435</v>
      </c>
      <c r="P35" s="114">
        <f t="shared" si="8"/>
        <v>0.47507089756905946</v>
      </c>
      <c r="Q35" s="21">
        <v>460000</v>
      </c>
      <c r="R35" s="21"/>
      <c r="S35" s="20">
        <f t="shared" si="4"/>
        <v>460000</v>
      </c>
      <c r="T35" s="21">
        <v>284955.67</v>
      </c>
      <c r="U35" s="21"/>
      <c r="V35" s="20">
        <f t="shared" si="5"/>
        <v>284955.67</v>
      </c>
      <c r="W35" s="114">
        <f t="shared" si="9"/>
        <v>0.6194688478260869</v>
      </c>
      <c r="X35" s="72" t="s">
        <v>188</v>
      </c>
    </row>
    <row r="36" spans="1:26" s="59" customFormat="1" ht="28.5" customHeight="1">
      <c r="A36" s="57"/>
      <c r="B36" s="58" t="s">
        <v>236</v>
      </c>
      <c r="C36" s="21">
        <v>2573455</v>
      </c>
      <c r="D36" s="21">
        <v>27268</v>
      </c>
      <c r="E36" s="20">
        <f t="shared" si="0"/>
        <v>2600723</v>
      </c>
      <c r="F36" s="21">
        <v>10844730</v>
      </c>
      <c r="G36" s="21">
        <v>102988</v>
      </c>
      <c r="H36" s="20">
        <f t="shared" si="1"/>
        <v>10947718</v>
      </c>
      <c r="I36" s="114">
        <f t="shared" si="7"/>
        <v>0.2375584573881059</v>
      </c>
      <c r="J36" s="21">
        <v>2628954</v>
      </c>
      <c r="K36" s="21">
        <v>2945</v>
      </c>
      <c r="L36" s="20">
        <f t="shared" si="2"/>
        <v>2631899</v>
      </c>
      <c r="M36" s="21">
        <v>11632352</v>
      </c>
      <c r="N36" s="21">
        <v>11628</v>
      </c>
      <c r="O36" s="20">
        <f t="shared" si="3"/>
        <v>11643980</v>
      </c>
      <c r="P36" s="114">
        <f t="shared" si="8"/>
        <v>0.22603087604066652</v>
      </c>
      <c r="Q36" s="21">
        <f>5135929+5812649+1179661+50000+35341+360000+300000</f>
        <v>12873580</v>
      </c>
      <c r="R36" s="21">
        <v>40000</v>
      </c>
      <c r="S36" s="20">
        <f t="shared" si="4"/>
        <v>12913580</v>
      </c>
      <c r="T36" s="21">
        <v>2686867.69</v>
      </c>
      <c r="U36" s="21">
        <v>2089.26</v>
      </c>
      <c r="V36" s="20">
        <f t="shared" si="5"/>
        <v>2688956.9499999997</v>
      </c>
      <c r="W36" s="114">
        <f t="shared" si="9"/>
        <v>0.20822707181122507</v>
      </c>
      <c r="X36" s="222" t="s">
        <v>90</v>
      </c>
      <c r="Y36" s="223"/>
      <c r="Z36" s="223"/>
    </row>
    <row r="37" spans="1:26" s="59" customFormat="1" ht="18.75" customHeight="1" hidden="1">
      <c r="A37" s="57"/>
      <c r="B37" s="58" t="s">
        <v>323</v>
      </c>
      <c r="C37" s="21">
        <v>19515</v>
      </c>
      <c r="D37" s="21"/>
      <c r="E37" s="20"/>
      <c r="F37" s="21">
        <v>33107</v>
      </c>
      <c r="G37" s="21"/>
      <c r="H37" s="20"/>
      <c r="I37" s="114" t="e">
        <f t="shared" si="7"/>
        <v>#DIV/0!</v>
      </c>
      <c r="J37" s="21"/>
      <c r="K37" s="21"/>
      <c r="L37" s="20"/>
      <c r="M37" s="21"/>
      <c r="N37" s="21"/>
      <c r="O37" s="20"/>
      <c r="P37" s="114" t="e">
        <f t="shared" si="8"/>
        <v>#DIV/0!</v>
      </c>
      <c r="Q37" s="21"/>
      <c r="R37" s="21"/>
      <c r="S37" s="20"/>
      <c r="T37" s="21"/>
      <c r="U37" s="21"/>
      <c r="V37" s="20"/>
      <c r="W37" s="114"/>
      <c r="X37" s="181"/>
      <c r="Y37" s="177"/>
      <c r="Z37" s="177"/>
    </row>
    <row r="38" spans="1:28" s="23" customFormat="1" ht="15.75" customHeight="1">
      <c r="A38" s="51"/>
      <c r="B38" s="19" t="s">
        <v>237</v>
      </c>
      <c r="C38" s="21">
        <v>19910</v>
      </c>
      <c r="D38" s="21">
        <v>9884</v>
      </c>
      <c r="E38" s="20">
        <f t="shared" si="0"/>
        <v>29794</v>
      </c>
      <c r="F38" s="21">
        <v>82871</v>
      </c>
      <c r="G38" s="21">
        <v>43718</v>
      </c>
      <c r="H38" s="20">
        <f t="shared" si="1"/>
        <v>126589</v>
      </c>
      <c r="I38" s="114">
        <f t="shared" si="7"/>
        <v>0.2353601023785637</v>
      </c>
      <c r="J38" s="21">
        <v>22740</v>
      </c>
      <c r="K38" s="21">
        <v>10248</v>
      </c>
      <c r="L38" s="20">
        <f t="shared" si="2"/>
        <v>32988</v>
      </c>
      <c r="M38" s="21">
        <v>179232</v>
      </c>
      <c r="N38" s="21">
        <v>47863</v>
      </c>
      <c r="O38" s="20">
        <f t="shared" si="3"/>
        <v>227095</v>
      </c>
      <c r="P38" s="114">
        <f t="shared" si="8"/>
        <v>0.14526079394086175</v>
      </c>
      <c r="Q38" s="21">
        <f>102586</f>
        <v>102586</v>
      </c>
      <c r="R38" s="21">
        <v>47440</v>
      </c>
      <c r="S38" s="20">
        <f t="shared" si="4"/>
        <v>150026</v>
      </c>
      <c r="T38" s="21">
        <v>46791.57</v>
      </c>
      <c r="U38" s="21">
        <v>9966.34</v>
      </c>
      <c r="V38" s="20">
        <f aca="true" t="shared" si="10" ref="V38:V69">SUM(T38:U38)</f>
        <v>56757.91</v>
      </c>
      <c r="W38" s="114">
        <f t="shared" si="9"/>
        <v>0.3783204911148734</v>
      </c>
      <c r="X38" s="86" t="s">
        <v>171</v>
      </c>
      <c r="AB38" s="157"/>
    </row>
    <row r="39" spans="1:24" s="11" customFormat="1" ht="12">
      <c r="A39" s="24">
        <v>4</v>
      </c>
      <c r="B39" s="26" t="s">
        <v>238</v>
      </c>
      <c r="C39" s="9">
        <f>SUM(C40:C63)</f>
        <v>18764270</v>
      </c>
      <c r="D39" s="9">
        <f>SUM(D40:D63)</f>
        <v>1593870</v>
      </c>
      <c r="E39" s="27">
        <f t="shared" si="0"/>
        <v>20358140</v>
      </c>
      <c r="F39" s="9">
        <v>77066890</v>
      </c>
      <c r="G39" s="9">
        <v>4390549</v>
      </c>
      <c r="H39" s="27">
        <f t="shared" si="1"/>
        <v>81457439</v>
      </c>
      <c r="I39" s="114">
        <f t="shared" si="7"/>
        <v>0.24992364417447496</v>
      </c>
      <c r="J39" s="9">
        <v>18803398</v>
      </c>
      <c r="K39" s="9">
        <v>2441108</v>
      </c>
      <c r="L39" s="27">
        <f t="shared" si="2"/>
        <v>21244506</v>
      </c>
      <c r="M39" s="9">
        <v>80569349</v>
      </c>
      <c r="N39" s="9">
        <v>4973563</v>
      </c>
      <c r="O39" s="27">
        <f t="shared" si="3"/>
        <v>85542912</v>
      </c>
      <c r="P39" s="114">
        <f t="shared" si="8"/>
        <v>0.2483491092751203</v>
      </c>
      <c r="Q39" s="9">
        <f>SUM(Q40:Q63)</f>
        <v>74973722</v>
      </c>
      <c r="R39" s="9">
        <f>SUM(R40:R63)</f>
        <v>8246558</v>
      </c>
      <c r="S39" s="27">
        <f t="shared" si="4"/>
        <v>83220280</v>
      </c>
      <c r="T39" s="9">
        <v>17648554.06</v>
      </c>
      <c r="U39" s="9">
        <v>2554561.57</v>
      </c>
      <c r="V39" s="27">
        <f t="shared" si="10"/>
        <v>20203115.63</v>
      </c>
      <c r="W39" s="114">
        <f t="shared" si="9"/>
        <v>0.24276673462285875</v>
      </c>
      <c r="X39" s="77"/>
    </row>
    <row r="40" spans="1:26" s="16" customFormat="1" ht="12" customHeight="1" hidden="1">
      <c r="A40" s="48"/>
      <c r="B40" s="18" t="s">
        <v>239</v>
      </c>
      <c r="C40" s="15">
        <v>16506281</v>
      </c>
      <c r="D40" s="126"/>
      <c r="E40" s="14">
        <f t="shared" si="0"/>
        <v>16506281</v>
      </c>
      <c r="F40" s="15"/>
      <c r="G40" s="126"/>
      <c r="H40" s="14">
        <f t="shared" si="1"/>
        <v>0</v>
      </c>
      <c r="I40" s="114" t="e">
        <f t="shared" si="7"/>
        <v>#DIV/0!</v>
      </c>
      <c r="J40" s="15"/>
      <c r="K40" s="126"/>
      <c r="L40" s="14">
        <f t="shared" si="2"/>
        <v>0</v>
      </c>
      <c r="M40" s="15"/>
      <c r="N40" s="126"/>
      <c r="O40" s="14">
        <f t="shared" si="3"/>
        <v>0</v>
      </c>
      <c r="P40" s="114" t="e">
        <f t="shared" si="8"/>
        <v>#DIV/0!</v>
      </c>
      <c r="Q40" s="15">
        <f>66662613-50000</f>
        <v>66612613</v>
      </c>
      <c r="R40" s="126"/>
      <c r="S40" s="14">
        <f t="shared" si="4"/>
        <v>66612613</v>
      </c>
      <c r="T40" s="15"/>
      <c r="U40" s="15"/>
      <c r="V40" s="14">
        <f t="shared" si="10"/>
        <v>0</v>
      </c>
      <c r="W40" s="114">
        <f t="shared" si="9"/>
        <v>0</v>
      </c>
      <c r="X40" s="71" t="s">
        <v>154</v>
      </c>
      <c r="Z40" s="134"/>
    </row>
    <row r="41" spans="1:24" s="16" customFormat="1" ht="15.75" customHeight="1" hidden="1">
      <c r="A41" s="48"/>
      <c r="B41" s="18" t="s">
        <v>373</v>
      </c>
      <c r="C41" s="15"/>
      <c r="D41" s="126"/>
      <c r="E41" s="14">
        <f t="shared" si="0"/>
        <v>0</v>
      </c>
      <c r="F41" s="15"/>
      <c r="G41" s="126"/>
      <c r="H41" s="14">
        <f t="shared" si="1"/>
        <v>0</v>
      </c>
      <c r="I41" s="114" t="e">
        <f t="shared" si="7"/>
        <v>#DIV/0!</v>
      </c>
      <c r="J41" s="15"/>
      <c r="K41" s="126"/>
      <c r="L41" s="14">
        <f t="shared" si="2"/>
        <v>0</v>
      </c>
      <c r="M41" s="15"/>
      <c r="N41" s="126"/>
      <c r="O41" s="14">
        <f t="shared" si="3"/>
        <v>0</v>
      </c>
      <c r="P41" s="114" t="e">
        <f t="shared" si="8"/>
        <v>#DIV/0!</v>
      </c>
      <c r="Q41" s="15">
        <f>2100000+200000</f>
        <v>2300000</v>
      </c>
      <c r="R41" s="126"/>
      <c r="S41" s="14">
        <f t="shared" si="4"/>
        <v>2300000</v>
      </c>
      <c r="T41" s="15"/>
      <c r="U41" s="15"/>
      <c r="V41" s="14">
        <f t="shared" si="10"/>
        <v>0</v>
      </c>
      <c r="W41" s="114">
        <f t="shared" si="9"/>
        <v>0</v>
      </c>
      <c r="X41" s="71" t="s">
        <v>91</v>
      </c>
    </row>
    <row r="42" spans="1:24" s="16" customFormat="1" ht="35.25" customHeight="1" hidden="1">
      <c r="A42" s="48"/>
      <c r="B42" s="18" t="s">
        <v>150</v>
      </c>
      <c r="C42" s="126"/>
      <c r="D42" s="126"/>
      <c r="E42" s="14">
        <f t="shared" si="0"/>
        <v>0</v>
      </c>
      <c r="F42" s="126"/>
      <c r="G42" s="126"/>
      <c r="H42" s="14">
        <f t="shared" si="1"/>
        <v>0</v>
      </c>
      <c r="I42" s="114" t="e">
        <f t="shared" si="7"/>
        <v>#DIV/0!</v>
      </c>
      <c r="J42" s="126"/>
      <c r="K42" s="126"/>
      <c r="L42" s="14">
        <f t="shared" si="2"/>
        <v>0</v>
      </c>
      <c r="M42" s="126"/>
      <c r="N42" s="126"/>
      <c r="O42" s="14">
        <f t="shared" si="3"/>
        <v>0</v>
      </c>
      <c r="P42" s="114" t="e">
        <f t="shared" si="8"/>
        <v>#DIV/0!</v>
      </c>
      <c r="Q42" s="126">
        <f>2000-2000</f>
        <v>0</v>
      </c>
      <c r="R42" s="126"/>
      <c r="S42" s="14">
        <f t="shared" si="4"/>
        <v>0</v>
      </c>
      <c r="T42" s="15"/>
      <c r="U42" s="15"/>
      <c r="V42" s="14">
        <f t="shared" si="10"/>
        <v>0</v>
      </c>
      <c r="W42" s="114" t="e">
        <f t="shared" si="9"/>
        <v>#DIV/0!</v>
      </c>
      <c r="X42" s="71" t="s">
        <v>164</v>
      </c>
    </row>
    <row r="43" spans="1:24" s="16" customFormat="1" ht="17.25" customHeight="1" hidden="1">
      <c r="A43" s="48"/>
      <c r="B43" s="18" t="s">
        <v>25</v>
      </c>
      <c r="C43" s="126"/>
      <c r="D43" s="15"/>
      <c r="E43" s="14">
        <f t="shared" si="0"/>
        <v>0</v>
      </c>
      <c r="F43" s="126"/>
      <c r="G43" s="15"/>
      <c r="H43" s="14">
        <f t="shared" si="1"/>
        <v>0</v>
      </c>
      <c r="I43" s="114" t="e">
        <f t="shared" si="7"/>
        <v>#DIV/0!</v>
      </c>
      <c r="J43" s="126"/>
      <c r="K43" s="15"/>
      <c r="L43" s="14">
        <f t="shared" si="2"/>
        <v>0</v>
      </c>
      <c r="M43" s="126"/>
      <c r="N43" s="15"/>
      <c r="O43" s="14">
        <f t="shared" si="3"/>
        <v>0</v>
      </c>
      <c r="P43" s="114" t="e">
        <f t="shared" si="8"/>
        <v>#DIV/0!</v>
      </c>
      <c r="Q43" s="126"/>
      <c r="R43" s="15">
        <v>3603768</v>
      </c>
      <c r="S43" s="14">
        <f t="shared" si="4"/>
        <v>3603768</v>
      </c>
      <c r="T43" s="15"/>
      <c r="U43" s="15"/>
      <c r="V43" s="14">
        <f t="shared" si="10"/>
        <v>0</v>
      </c>
      <c r="W43" s="114">
        <f t="shared" si="9"/>
        <v>0</v>
      </c>
      <c r="X43" s="169" t="s">
        <v>26</v>
      </c>
    </row>
    <row r="44" spans="1:24" s="16" customFormat="1" ht="11.25" hidden="1">
      <c r="A44" s="48"/>
      <c r="B44" s="18" t="s">
        <v>86</v>
      </c>
      <c r="C44" s="15"/>
      <c r="D44" s="126"/>
      <c r="E44" s="14">
        <f t="shared" si="0"/>
        <v>0</v>
      </c>
      <c r="F44" s="15"/>
      <c r="G44" s="126"/>
      <c r="H44" s="14">
        <f t="shared" si="1"/>
        <v>0</v>
      </c>
      <c r="I44" s="114" t="e">
        <f t="shared" si="7"/>
        <v>#DIV/0!</v>
      </c>
      <c r="J44" s="15"/>
      <c r="K44" s="126"/>
      <c r="L44" s="14">
        <f t="shared" si="2"/>
        <v>0</v>
      </c>
      <c r="M44" s="15"/>
      <c r="N44" s="126"/>
      <c r="O44" s="14">
        <f t="shared" si="3"/>
        <v>0</v>
      </c>
      <c r="P44" s="114" t="e">
        <f t="shared" si="8"/>
        <v>#DIV/0!</v>
      </c>
      <c r="Q44" s="15">
        <v>300000</v>
      </c>
      <c r="R44" s="126"/>
      <c r="S44" s="14">
        <f t="shared" si="4"/>
        <v>300000</v>
      </c>
      <c r="T44" s="15"/>
      <c r="U44" s="15"/>
      <c r="V44" s="14">
        <f t="shared" si="10"/>
        <v>0</v>
      </c>
      <c r="W44" s="114">
        <f t="shared" si="9"/>
        <v>0</v>
      </c>
      <c r="X44" s="71" t="s">
        <v>141</v>
      </c>
    </row>
    <row r="45" spans="1:24" s="16" customFormat="1" ht="15.75" customHeight="1" hidden="1">
      <c r="A45" s="48"/>
      <c r="B45" s="18" t="s">
        <v>240</v>
      </c>
      <c r="C45" s="15">
        <v>42454</v>
      </c>
      <c r="D45" s="126"/>
      <c r="E45" s="14">
        <f t="shared" si="0"/>
        <v>42454</v>
      </c>
      <c r="F45" s="15"/>
      <c r="G45" s="126"/>
      <c r="H45" s="14">
        <f t="shared" si="1"/>
        <v>0</v>
      </c>
      <c r="I45" s="114" t="e">
        <f t="shared" si="7"/>
        <v>#DIV/0!</v>
      </c>
      <c r="J45" s="15"/>
      <c r="K45" s="126"/>
      <c r="L45" s="14">
        <f t="shared" si="2"/>
        <v>0</v>
      </c>
      <c r="M45" s="15"/>
      <c r="N45" s="126"/>
      <c r="O45" s="14">
        <f t="shared" si="3"/>
        <v>0</v>
      </c>
      <c r="P45" s="114" t="e">
        <f t="shared" si="8"/>
        <v>#DIV/0!</v>
      </c>
      <c r="Q45" s="15">
        <v>277295</v>
      </c>
      <c r="R45" s="126"/>
      <c r="S45" s="14">
        <f t="shared" si="4"/>
        <v>277295</v>
      </c>
      <c r="T45" s="15"/>
      <c r="U45" s="15"/>
      <c r="V45" s="14">
        <f t="shared" si="10"/>
        <v>0</v>
      </c>
      <c r="W45" s="114">
        <f t="shared" si="9"/>
        <v>0</v>
      </c>
      <c r="X45" s="71" t="s">
        <v>14</v>
      </c>
    </row>
    <row r="46" spans="1:26" s="16" customFormat="1" ht="20.25" customHeight="1" hidden="1">
      <c r="A46" s="48"/>
      <c r="B46" s="18" t="s">
        <v>241</v>
      </c>
      <c r="C46" s="15">
        <v>176966</v>
      </c>
      <c r="D46" s="126"/>
      <c r="E46" s="14">
        <f t="shared" si="0"/>
        <v>176966</v>
      </c>
      <c r="F46" s="15"/>
      <c r="G46" s="126"/>
      <c r="H46" s="14">
        <f t="shared" si="1"/>
        <v>0</v>
      </c>
      <c r="I46" s="114" t="e">
        <f t="shared" si="7"/>
        <v>#DIV/0!</v>
      </c>
      <c r="J46" s="15"/>
      <c r="K46" s="126"/>
      <c r="L46" s="14">
        <f t="shared" si="2"/>
        <v>0</v>
      </c>
      <c r="M46" s="15"/>
      <c r="N46" s="126"/>
      <c r="O46" s="14">
        <f t="shared" si="3"/>
        <v>0</v>
      </c>
      <c r="P46" s="114" t="e">
        <f t="shared" si="8"/>
        <v>#DIV/0!</v>
      </c>
      <c r="Q46" s="15">
        <v>871220</v>
      </c>
      <c r="R46" s="126"/>
      <c r="S46" s="14">
        <f t="shared" si="4"/>
        <v>871220</v>
      </c>
      <c r="T46" s="15"/>
      <c r="U46" s="15"/>
      <c r="V46" s="14">
        <f t="shared" si="10"/>
        <v>0</v>
      </c>
      <c r="W46" s="114">
        <f t="shared" si="9"/>
        <v>0</v>
      </c>
      <c r="X46" s="71" t="s">
        <v>15</v>
      </c>
      <c r="Z46" s="121"/>
    </row>
    <row r="47" spans="1:25" s="16" customFormat="1" ht="22.5" customHeight="1" hidden="1">
      <c r="A47" s="48"/>
      <c r="B47" s="18" t="s">
        <v>93</v>
      </c>
      <c r="C47" s="126"/>
      <c r="D47" s="126"/>
      <c r="E47" s="14">
        <f t="shared" si="0"/>
        <v>0</v>
      </c>
      <c r="F47" s="126"/>
      <c r="G47" s="126"/>
      <c r="H47" s="14">
        <f t="shared" si="1"/>
        <v>0</v>
      </c>
      <c r="I47" s="114" t="e">
        <f t="shared" si="7"/>
        <v>#DIV/0!</v>
      </c>
      <c r="J47" s="126"/>
      <c r="K47" s="126"/>
      <c r="L47" s="14">
        <f t="shared" si="2"/>
        <v>0</v>
      </c>
      <c r="M47" s="126"/>
      <c r="N47" s="126"/>
      <c r="O47" s="14">
        <f t="shared" si="3"/>
        <v>0</v>
      </c>
      <c r="P47" s="114" t="e">
        <f t="shared" si="8"/>
        <v>#DIV/0!</v>
      </c>
      <c r="Q47" s="126"/>
      <c r="R47" s="126"/>
      <c r="S47" s="14">
        <f t="shared" si="4"/>
        <v>0</v>
      </c>
      <c r="T47" s="15"/>
      <c r="U47" s="15"/>
      <c r="V47" s="14">
        <f t="shared" si="10"/>
        <v>0</v>
      </c>
      <c r="W47" s="114" t="e">
        <f t="shared" si="9"/>
        <v>#DIV/0!</v>
      </c>
      <c r="X47" s="71" t="s">
        <v>132</v>
      </c>
      <c r="Y47" s="121"/>
    </row>
    <row r="48" spans="1:24" s="16" customFormat="1" ht="13.5" customHeight="1" hidden="1">
      <c r="A48" s="48"/>
      <c r="B48" s="18" t="s">
        <v>242</v>
      </c>
      <c r="C48" s="15">
        <v>168329</v>
      </c>
      <c r="D48" s="126"/>
      <c r="E48" s="14">
        <f t="shared" si="0"/>
        <v>168329</v>
      </c>
      <c r="F48" s="15"/>
      <c r="G48" s="126"/>
      <c r="H48" s="14">
        <f t="shared" si="1"/>
        <v>0</v>
      </c>
      <c r="I48" s="114" t="e">
        <f t="shared" si="7"/>
        <v>#DIV/0!</v>
      </c>
      <c r="J48" s="15"/>
      <c r="K48" s="126"/>
      <c r="L48" s="14">
        <f t="shared" si="2"/>
        <v>0</v>
      </c>
      <c r="M48" s="15"/>
      <c r="N48" s="126"/>
      <c r="O48" s="14">
        <f t="shared" si="3"/>
        <v>0</v>
      </c>
      <c r="P48" s="114" t="e">
        <f t="shared" si="8"/>
        <v>#DIV/0!</v>
      </c>
      <c r="Q48" s="15">
        <v>714308</v>
      </c>
      <c r="R48" s="126"/>
      <c r="S48" s="14">
        <f t="shared" si="4"/>
        <v>714308</v>
      </c>
      <c r="T48" s="15"/>
      <c r="U48" s="15"/>
      <c r="V48" s="14">
        <f t="shared" si="10"/>
        <v>0</v>
      </c>
      <c r="W48" s="114">
        <f t="shared" si="9"/>
        <v>0</v>
      </c>
      <c r="X48" s="71" t="s">
        <v>16</v>
      </c>
    </row>
    <row r="49" spans="1:25" s="16" customFormat="1" ht="14.25" customHeight="1" hidden="1">
      <c r="A49" s="48"/>
      <c r="B49" s="18" t="s">
        <v>363</v>
      </c>
      <c r="C49" s="126"/>
      <c r="D49" s="126"/>
      <c r="E49" s="14">
        <f t="shared" si="0"/>
        <v>0</v>
      </c>
      <c r="F49" s="126"/>
      <c r="G49" s="126"/>
      <c r="H49" s="14">
        <f t="shared" si="1"/>
        <v>0</v>
      </c>
      <c r="I49" s="114" t="e">
        <f t="shared" si="7"/>
        <v>#DIV/0!</v>
      </c>
      <c r="J49" s="126"/>
      <c r="K49" s="126"/>
      <c r="L49" s="14">
        <f t="shared" si="2"/>
        <v>0</v>
      </c>
      <c r="M49" s="126"/>
      <c r="N49" s="126"/>
      <c r="O49" s="14">
        <f t="shared" si="3"/>
        <v>0</v>
      </c>
      <c r="P49" s="114" t="e">
        <f t="shared" si="8"/>
        <v>#DIV/0!</v>
      </c>
      <c r="Q49" s="126"/>
      <c r="R49" s="126"/>
      <c r="S49" s="14">
        <f t="shared" si="4"/>
        <v>0</v>
      </c>
      <c r="T49" s="15"/>
      <c r="U49" s="15"/>
      <c r="V49" s="14">
        <f t="shared" si="10"/>
        <v>0</v>
      </c>
      <c r="W49" s="114" t="e">
        <f t="shared" si="9"/>
        <v>#DIV/0!</v>
      </c>
      <c r="X49" s="71" t="s">
        <v>17</v>
      </c>
      <c r="Y49" s="123"/>
    </row>
    <row r="50" spans="1:24" s="16" customFormat="1" ht="22.5" customHeight="1" hidden="1">
      <c r="A50" s="48"/>
      <c r="B50" s="18" t="s">
        <v>364</v>
      </c>
      <c r="C50" s="140"/>
      <c r="D50" s="126"/>
      <c r="E50" s="14">
        <f>SUM(D50:D50)</f>
        <v>0</v>
      </c>
      <c r="F50" s="140"/>
      <c r="G50" s="126"/>
      <c r="H50" s="14">
        <f>SUM(G50:G50)</f>
        <v>0</v>
      </c>
      <c r="I50" s="114" t="e">
        <f t="shared" si="7"/>
        <v>#DIV/0!</v>
      </c>
      <c r="J50" s="140"/>
      <c r="K50" s="126"/>
      <c r="L50" s="14">
        <f>SUM(K50:K50)</f>
        <v>0</v>
      </c>
      <c r="M50" s="140"/>
      <c r="N50" s="126"/>
      <c r="O50" s="14">
        <f>SUM(N50:N50)</f>
        <v>0</v>
      </c>
      <c r="P50" s="114" t="e">
        <f t="shared" si="8"/>
        <v>#DIV/0!</v>
      </c>
      <c r="Q50" s="140"/>
      <c r="R50" s="126"/>
      <c r="S50" s="14">
        <f>SUM(R50:R50)</f>
        <v>0</v>
      </c>
      <c r="T50" s="15"/>
      <c r="U50" s="15"/>
      <c r="V50" s="14">
        <f t="shared" si="10"/>
        <v>0</v>
      </c>
      <c r="W50" s="114" t="e">
        <f t="shared" si="9"/>
        <v>#DIV/0!</v>
      </c>
      <c r="X50" s="86">
        <v>85201.083</v>
      </c>
    </row>
    <row r="51" spans="1:24" s="16" customFormat="1" ht="15" customHeight="1" hidden="1">
      <c r="A51" s="48"/>
      <c r="B51" s="18" t="s">
        <v>243</v>
      </c>
      <c r="C51" s="126"/>
      <c r="D51" s="15">
        <v>111891</v>
      </c>
      <c r="E51" s="14">
        <f aca="true" t="shared" si="11" ref="E51:E114">SUM(C51:D51)</f>
        <v>111891</v>
      </c>
      <c r="F51" s="126"/>
      <c r="G51" s="15"/>
      <c r="H51" s="14">
        <f aca="true" t="shared" si="12" ref="H51:H114">SUM(F51:G51)</f>
        <v>0</v>
      </c>
      <c r="I51" s="114" t="e">
        <f t="shared" si="7"/>
        <v>#DIV/0!</v>
      </c>
      <c r="J51" s="126"/>
      <c r="K51" s="15"/>
      <c r="L51" s="14">
        <f aca="true" t="shared" si="13" ref="L51:L114">SUM(J51:K51)</f>
        <v>0</v>
      </c>
      <c r="M51" s="126"/>
      <c r="N51" s="15"/>
      <c r="O51" s="14">
        <f aca="true" t="shared" si="14" ref="O51:O114">SUM(M51:N51)</f>
        <v>0</v>
      </c>
      <c r="P51" s="114" t="e">
        <f t="shared" si="8"/>
        <v>#DIV/0!</v>
      </c>
      <c r="Q51" s="126"/>
      <c r="R51" s="15">
        <v>462490</v>
      </c>
      <c r="S51" s="14">
        <f aca="true" t="shared" si="15" ref="S51:S82">SUM(Q51:R51)</f>
        <v>462490</v>
      </c>
      <c r="T51" s="15"/>
      <c r="U51" s="15"/>
      <c r="V51" s="14">
        <f t="shared" si="10"/>
        <v>0</v>
      </c>
      <c r="W51" s="114">
        <f t="shared" si="9"/>
        <v>0</v>
      </c>
      <c r="X51" s="71" t="s">
        <v>172</v>
      </c>
    </row>
    <row r="52" spans="1:25" s="16" customFormat="1" ht="48.75" customHeight="1" hidden="1">
      <c r="A52" s="48"/>
      <c r="B52" s="18" t="s">
        <v>244</v>
      </c>
      <c r="C52" s="15">
        <v>179848</v>
      </c>
      <c r="D52" s="15">
        <v>39085</v>
      </c>
      <c r="E52" s="14">
        <f t="shared" si="11"/>
        <v>218933</v>
      </c>
      <c r="F52" s="15"/>
      <c r="G52" s="15"/>
      <c r="H52" s="14">
        <f t="shared" si="12"/>
        <v>0</v>
      </c>
      <c r="I52" s="114" t="e">
        <f t="shared" si="7"/>
        <v>#DIV/0!</v>
      </c>
      <c r="J52" s="15"/>
      <c r="K52" s="15"/>
      <c r="L52" s="14">
        <f t="shared" si="13"/>
        <v>0</v>
      </c>
      <c r="M52" s="15"/>
      <c r="N52" s="15"/>
      <c r="O52" s="14">
        <f t="shared" si="14"/>
        <v>0</v>
      </c>
      <c r="P52" s="114" t="e">
        <f t="shared" si="8"/>
        <v>#DIV/0!</v>
      </c>
      <c r="Q52" s="15">
        <f>15000+40000+420000+145000</f>
        <v>620000</v>
      </c>
      <c r="R52" s="15">
        <f>54000+50000+100000</f>
        <v>204000</v>
      </c>
      <c r="S52" s="14">
        <f t="shared" si="15"/>
        <v>824000</v>
      </c>
      <c r="T52" s="15"/>
      <c r="U52" s="15"/>
      <c r="V52" s="14">
        <f t="shared" si="10"/>
        <v>0</v>
      </c>
      <c r="W52" s="114">
        <f t="shared" si="9"/>
        <v>0</v>
      </c>
      <c r="X52" s="213" t="s">
        <v>418</v>
      </c>
      <c r="Y52" s="214"/>
    </row>
    <row r="53" spans="1:24" s="16" customFormat="1" ht="11.25" customHeight="1" hidden="1">
      <c r="A53" s="48"/>
      <c r="B53" s="68" t="s">
        <v>381</v>
      </c>
      <c r="C53" s="15"/>
      <c r="D53" s="126"/>
      <c r="E53" s="14">
        <f t="shared" si="11"/>
        <v>0</v>
      </c>
      <c r="F53" s="15"/>
      <c r="G53" s="126"/>
      <c r="H53" s="14">
        <f t="shared" si="12"/>
        <v>0</v>
      </c>
      <c r="I53" s="114" t="e">
        <f t="shared" si="7"/>
        <v>#DIV/0!</v>
      </c>
      <c r="J53" s="15"/>
      <c r="K53" s="126"/>
      <c r="L53" s="14">
        <f t="shared" si="13"/>
        <v>0</v>
      </c>
      <c r="M53" s="15"/>
      <c r="N53" s="126"/>
      <c r="O53" s="14">
        <f t="shared" si="14"/>
        <v>0</v>
      </c>
      <c r="P53" s="114" t="e">
        <f t="shared" si="8"/>
        <v>#DIV/0!</v>
      </c>
      <c r="Q53" s="15">
        <v>63900</v>
      </c>
      <c r="R53" s="126"/>
      <c r="S53" s="14">
        <f t="shared" si="15"/>
        <v>63900</v>
      </c>
      <c r="T53" s="15"/>
      <c r="U53" s="15"/>
      <c r="V53" s="14">
        <f t="shared" si="10"/>
        <v>0</v>
      </c>
      <c r="W53" s="114">
        <f t="shared" si="9"/>
        <v>0</v>
      </c>
      <c r="X53" s="71" t="s">
        <v>19</v>
      </c>
    </row>
    <row r="54" spans="1:24" s="16" customFormat="1" ht="13.5" customHeight="1" hidden="1">
      <c r="A54" s="52"/>
      <c r="B54" s="12" t="s">
        <v>245</v>
      </c>
      <c r="C54" s="126"/>
      <c r="D54" s="15">
        <v>938019</v>
      </c>
      <c r="E54" s="14">
        <f t="shared" si="11"/>
        <v>938019</v>
      </c>
      <c r="F54" s="126"/>
      <c r="G54" s="15"/>
      <c r="H54" s="14">
        <f t="shared" si="12"/>
        <v>0</v>
      </c>
      <c r="I54" s="114" t="e">
        <f t="shared" si="7"/>
        <v>#DIV/0!</v>
      </c>
      <c r="J54" s="126"/>
      <c r="K54" s="15"/>
      <c r="L54" s="14">
        <f t="shared" si="13"/>
        <v>0</v>
      </c>
      <c r="M54" s="126"/>
      <c r="N54" s="15"/>
      <c r="O54" s="14">
        <f t="shared" si="14"/>
        <v>0</v>
      </c>
      <c r="P54" s="114" t="e">
        <f t="shared" si="8"/>
        <v>#DIV/0!</v>
      </c>
      <c r="Q54" s="126"/>
      <c r="R54" s="15">
        <v>1875000</v>
      </c>
      <c r="S54" s="14">
        <f t="shared" si="15"/>
        <v>1875000</v>
      </c>
      <c r="T54" s="15"/>
      <c r="U54" s="15"/>
      <c r="V54" s="14">
        <f t="shared" si="10"/>
        <v>0</v>
      </c>
      <c r="W54" s="114">
        <f t="shared" si="9"/>
        <v>0</v>
      </c>
      <c r="X54" s="71" t="s">
        <v>20</v>
      </c>
    </row>
    <row r="55" spans="1:24" s="16" customFormat="1" ht="21.75" customHeight="1" hidden="1">
      <c r="A55" s="52"/>
      <c r="B55" s="18" t="s">
        <v>246</v>
      </c>
      <c r="C55" s="15">
        <v>14950</v>
      </c>
      <c r="D55" s="15">
        <v>467</v>
      </c>
      <c r="E55" s="14">
        <f t="shared" si="11"/>
        <v>15417</v>
      </c>
      <c r="F55" s="15"/>
      <c r="G55" s="15"/>
      <c r="H55" s="14">
        <f t="shared" si="12"/>
        <v>0</v>
      </c>
      <c r="I55" s="114" t="e">
        <f t="shared" si="7"/>
        <v>#DIV/0!</v>
      </c>
      <c r="J55" s="15"/>
      <c r="K55" s="15"/>
      <c r="L55" s="14">
        <f t="shared" si="13"/>
        <v>0</v>
      </c>
      <c r="M55" s="15"/>
      <c r="N55" s="15"/>
      <c r="O55" s="14">
        <f t="shared" si="14"/>
        <v>0</v>
      </c>
      <c r="P55" s="114" t="e">
        <f t="shared" si="8"/>
        <v>#DIV/0!</v>
      </c>
      <c r="Q55" s="15">
        <f>61366+925+2095</f>
        <v>64386</v>
      </c>
      <c r="R55" s="15">
        <f>1300</f>
        <v>1300</v>
      </c>
      <c r="S55" s="14">
        <f t="shared" si="15"/>
        <v>65686</v>
      </c>
      <c r="T55" s="15"/>
      <c r="U55" s="15"/>
      <c r="V55" s="14">
        <f t="shared" si="10"/>
        <v>0</v>
      </c>
      <c r="W55" s="114">
        <f t="shared" si="9"/>
        <v>0</v>
      </c>
      <c r="X55" s="71" t="s">
        <v>89</v>
      </c>
    </row>
    <row r="56" spans="1:24" s="16" customFormat="1" ht="12.75" customHeight="1" hidden="1">
      <c r="A56" s="48"/>
      <c r="B56" s="18" t="s">
        <v>249</v>
      </c>
      <c r="C56" s="15">
        <v>13610</v>
      </c>
      <c r="D56" s="126"/>
      <c r="E56" s="14">
        <f t="shared" si="11"/>
        <v>13610</v>
      </c>
      <c r="F56" s="15"/>
      <c r="G56" s="126"/>
      <c r="H56" s="14">
        <f t="shared" si="12"/>
        <v>0</v>
      </c>
      <c r="I56" s="114" t="e">
        <f t="shared" si="7"/>
        <v>#DIV/0!</v>
      </c>
      <c r="J56" s="15"/>
      <c r="K56" s="126"/>
      <c r="L56" s="14">
        <f t="shared" si="13"/>
        <v>0</v>
      </c>
      <c r="M56" s="15"/>
      <c r="N56" s="126"/>
      <c r="O56" s="14">
        <f t="shared" si="14"/>
        <v>0</v>
      </c>
      <c r="P56" s="114" t="e">
        <f t="shared" si="8"/>
        <v>#DIV/0!</v>
      </c>
      <c r="Q56" s="15">
        <v>15000</v>
      </c>
      <c r="R56" s="126"/>
      <c r="S56" s="14">
        <f t="shared" si="15"/>
        <v>15000</v>
      </c>
      <c r="T56" s="15"/>
      <c r="U56" s="15"/>
      <c r="V56" s="14">
        <f t="shared" si="10"/>
        <v>0</v>
      </c>
      <c r="W56" s="114">
        <f t="shared" si="9"/>
        <v>0</v>
      </c>
      <c r="X56" s="71" t="s">
        <v>140</v>
      </c>
    </row>
    <row r="57" spans="1:26" s="17" customFormat="1" ht="26.25" customHeight="1" hidden="1">
      <c r="A57" s="52"/>
      <c r="B57" s="18" t="s">
        <v>250</v>
      </c>
      <c r="C57" s="126"/>
      <c r="D57" s="15">
        <v>402467</v>
      </c>
      <c r="E57" s="14">
        <f t="shared" si="11"/>
        <v>402467</v>
      </c>
      <c r="F57" s="126"/>
      <c r="G57" s="15"/>
      <c r="H57" s="14">
        <f t="shared" si="12"/>
        <v>0</v>
      </c>
      <c r="I57" s="114" t="e">
        <f t="shared" si="7"/>
        <v>#DIV/0!</v>
      </c>
      <c r="J57" s="126"/>
      <c r="K57" s="15"/>
      <c r="L57" s="14">
        <f t="shared" si="13"/>
        <v>0</v>
      </c>
      <c r="M57" s="126"/>
      <c r="N57" s="15"/>
      <c r="O57" s="14">
        <f t="shared" si="14"/>
        <v>0</v>
      </c>
      <c r="P57" s="114" t="e">
        <f t="shared" si="8"/>
        <v>#DIV/0!</v>
      </c>
      <c r="Q57" s="126"/>
      <c r="R57" s="15">
        <v>2100000</v>
      </c>
      <c r="S57" s="14">
        <f t="shared" si="15"/>
        <v>2100000</v>
      </c>
      <c r="T57" s="15"/>
      <c r="U57" s="15"/>
      <c r="V57" s="14">
        <f t="shared" si="10"/>
        <v>0</v>
      </c>
      <c r="W57" s="114">
        <f t="shared" si="9"/>
        <v>0</v>
      </c>
      <c r="X57" s="224" t="s">
        <v>152</v>
      </c>
      <c r="Y57" s="225"/>
      <c r="Z57" s="225"/>
    </row>
    <row r="58" spans="1:24" s="17" customFormat="1" ht="33" customHeight="1" hidden="1">
      <c r="A58" s="52"/>
      <c r="B58" s="18" t="s">
        <v>331</v>
      </c>
      <c r="C58" s="126"/>
      <c r="D58" s="126"/>
      <c r="E58" s="14">
        <f t="shared" si="11"/>
        <v>0</v>
      </c>
      <c r="F58" s="126"/>
      <c r="G58" s="126"/>
      <c r="H58" s="14">
        <f t="shared" si="12"/>
        <v>0</v>
      </c>
      <c r="I58" s="114" t="e">
        <f t="shared" si="7"/>
        <v>#DIV/0!</v>
      </c>
      <c r="J58" s="126"/>
      <c r="K58" s="126"/>
      <c r="L58" s="14">
        <f t="shared" si="13"/>
        <v>0</v>
      </c>
      <c r="M58" s="126"/>
      <c r="N58" s="126"/>
      <c r="O58" s="14">
        <f t="shared" si="14"/>
        <v>0</v>
      </c>
      <c r="P58" s="114" t="e">
        <f t="shared" si="8"/>
        <v>#DIV/0!</v>
      </c>
      <c r="Q58" s="126"/>
      <c r="R58" s="126"/>
      <c r="S58" s="14">
        <f t="shared" si="15"/>
        <v>0</v>
      </c>
      <c r="T58" s="15"/>
      <c r="U58" s="15"/>
      <c r="V58" s="14">
        <f t="shared" si="10"/>
        <v>0</v>
      </c>
      <c r="W58" s="114" t="e">
        <f t="shared" si="9"/>
        <v>#DIV/0!</v>
      </c>
      <c r="X58" s="78"/>
    </row>
    <row r="59" spans="1:24" s="16" customFormat="1" ht="45" hidden="1">
      <c r="A59" s="52"/>
      <c r="B59" s="33" t="s">
        <v>317</v>
      </c>
      <c r="C59" s="126"/>
      <c r="D59" s="126"/>
      <c r="E59" s="14">
        <f t="shared" si="11"/>
        <v>0</v>
      </c>
      <c r="F59" s="126"/>
      <c r="G59" s="126"/>
      <c r="H59" s="14">
        <f t="shared" si="12"/>
        <v>0</v>
      </c>
      <c r="I59" s="114" t="e">
        <f t="shared" si="7"/>
        <v>#DIV/0!</v>
      </c>
      <c r="J59" s="126"/>
      <c r="K59" s="126"/>
      <c r="L59" s="14">
        <f t="shared" si="13"/>
        <v>0</v>
      </c>
      <c r="M59" s="126"/>
      <c r="N59" s="126"/>
      <c r="O59" s="14">
        <f t="shared" si="14"/>
        <v>0</v>
      </c>
      <c r="P59" s="114" t="e">
        <f t="shared" si="8"/>
        <v>#DIV/0!</v>
      </c>
      <c r="Q59" s="126"/>
      <c r="R59" s="126"/>
      <c r="S59" s="14">
        <f t="shared" si="15"/>
        <v>0</v>
      </c>
      <c r="T59" s="15"/>
      <c r="U59" s="15"/>
      <c r="V59" s="14">
        <f t="shared" si="10"/>
        <v>0</v>
      </c>
      <c r="W59" s="114"/>
      <c r="X59" s="71" t="s">
        <v>108</v>
      </c>
    </row>
    <row r="60" spans="1:24" s="1" customFormat="1" ht="10.5" customHeight="1" hidden="1">
      <c r="A60" s="53"/>
      <c r="B60" s="28" t="s">
        <v>251</v>
      </c>
      <c r="C60" s="15">
        <v>767841</v>
      </c>
      <c r="D60" s="15">
        <v>449</v>
      </c>
      <c r="E60" s="14">
        <f t="shared" si="11"/>
        <v>768290</v>
      </c>
      <c r="F60" s="15"/>
      <c r="G60" s="126"/>
      <c r="H60" s="14">
        <f t="shared" si="12"/>
        <v>0</v>
      </c>
      <c r="I60" s="114" t="e">
        <f t="shared" si="7"/>
        <v>#DIV/0!</v>
      </c>
      <c r="J60" s="15"/>
      <c r="K60" s="126"/>
      <c r="L60" s="14">
        <f t="shared" si="13"/>
        <v>0</v>
      </c>
      <c r="M60" s="15"/>
      <c r="N60" s="126"/>
      <c r="O60" s="14">
        <f t="shared" si="14"/>
        <v>0</v>
      </c>
      <c r="P60" s="114" t="e">
        <f t="shared" si="8"/>
        <v>#DIV/0!</v>
      </c>
      <c r="Q60" s="15">
        <v>3000000</v>
      </c>
      <c r="R60" s="126"/>
      <c r="S60" s="14">
        <f t="shared" si="15"/>
        <v>3000000</v>
      </c>
      <c r="T60" s="15"/>
      <c r="U60" s="15"/>
      <c r="V60" s="14">
        <f t="shared" si="10"/>
        <v>0</v>
      </c>
      <c r="W60" s="114">
        <f aca="true" t="shared" si="16" ref="W60:W75">V60/S60</f>
        <v>0</v>
      </c>
      <c r="X60" s="76" t="s">
        <v>21</v>
      </c>
    </row>
    <row r="61" spans="1:24" s="1" customFormat="1" ht="22.5" hidden="1">
      <c r="A61" s="53"/>
      <c r="B61" s="18" t="s">
        <v>318</v>
      </c>
      <c r="C61" s="126"/>
      <c r="D61" s="126"/>
      <c r="E61" s="14">
        <f t="shared" si="11"/>
        <v>0</v>
      </c>
      <c r="F61" s="126"/>
      <c r="G61" s="126"/>
      <c r="H61" s="14">
        <f t="shared" si="12"/>
        <v>0</v>
      </c>
      <c r="I61" s="114" t="e">
        <f t="shared" si="7"/>
        <v>#DIV/0!</v>
      </c>
      <c r="J61" s="126"/>
      <c r="K61" s="126"/>
      <c r="L61" s="14">
        <f t="shared" si="13"/>
        <v>0</v>
      </c>
      <c r="M61" s="126"/>
      <c r="N61" s="126"/>
      <c r="O61" s="14">
        <f t="shared" si="14"/>
        <v>0</v>
      </c>
      <c r="P61" s="114" t="e">
        <f t="shared" si="8"/>
        <v>#DIV/0!</v>
      </c>
      <c r="Q61" s="126"/>
      <c r="R61" s="126"/>
      <c r="S61" s="14">
        <f t="shared" si="15"/>
        <v>0</v>
      </c>
      <c r="T61" s="15"/>
      <c r="U61" s="15"/>
      <c r="V61" s="14">
        <f t="shared" si="10"/>
        <v>0</v>
      </c>
      <c r="W61" s="114" t="e">
        <f t="shared" si="16"/>
        <v>#DIV/0!</v>
      </c>
      <c r="X61" s="76"/>
    </row>
    <row r="62" spans="1:24" s="16" customFormat="1" ht="11.25" customHeight="1" hidden="1">
      <c r="A62" s="48"/>
      <c r="B62" s="18" t="s">
        <v>252</v>
      </c>
      <c r="C62" s="126"/>
      <c r="D62" s="126"/>
      <c r="E62" s="14">
        <f t="shared" si="11"/>
        <v>0</v>
      </c>
      <c r="F62" s="126">
        <f>110000-110000</f>
        <v>0</v>
      </c>
      <c r="G62" s="126"/>
      <c r="H62" s="14">
        <f t="shared" si="12"/>
        <v>0</v>
      </c>
      <c r="I62" s="114" t="e">
        <f t="shared" si="7"/>
        <v>#DIV/0!</v>
      </c>
      <c r="J62" s="126">
        <f>110000-110000</f>
        <v>0</v>
      </c>
      <c r="K62" s="126"/>
      <c r="L62" s="14">
        <f t="shared" si="13"/>
        <v>0</v>
      </c>
      <c r="M62" s="126">
        <f>110000-110000</f>
        <v>0</v>
      </c>
      <c r="N62" s="126"/>
      <c r="O62" s="14">
        <f t="shared" si="14"/>
        <v>0</v>
      </c>
      <c r="P62" s="114" t="e">
        <f t="shared" si="8"/>
        <v>#DIV/0!</v>
      </c>
      <c r="Q62" s="126">
        <f>110000-110000</f>
        <v>0</v>
      </c>
      <c r="R62" s="126"/>
      <c r="S62" s="14">
        <f t="shared" si="15"/>
        <v>0</v>
      </c>
      <c r="T62" s="15">
        <f>110000-110000</f>
        <v>0</v>
      </c>
      <c r="U62" s="15"/>
      <c r="V62" s="14">
        <f t="shared" si="10"/>
        <v>0</v>
      </c>
      <c r="W62" s="114" t="e">
        <f t="shared" si="16"/>
        <v>#DIV/0!</v>
      </c>
      <c r="X62" s="71"/>
    </row>
    <row r="63" spans="1:24" s="16" customFormat="1" ht="11.25" hidden="1">
      <c r="A63" s="48"/>
      <c r="B63" s="18" t="s">
        <v>253</v>
      </c>
      <c r="C63" s="15">
        <f>SUM(C64:C73)</f>
        <v>893991</v>
      </c>
      <c r="D63" s="15">
        <f>SUM(D64:D73)</f>
        <v>101492</v>
      </c>
      <c r="E63" s="14">
        <f t="shared" si="11"/>
        <v>995483</v>
      </c>
      <c r="F63" s="15">
        <f>SUM(F64:F73)</f>
        <v>0</v>
      </c>
      <c r="G63" s="15">
        <f>SUM(G64:G73)</f>
        <v>0</v>
      </c>
      <c r="H63" s="14">
        <f t="shared" si="12"/>
        <v>0</v>
      </c>
      <c r="I63" s="114" t="e">
        <f t="shared" si="7"/>
        <v>#DIV/0!</v>
      </c>
      <c r="J63" s="15">
        <f>SUM(J64:J73)</f>
        <v>0</v>
      </c>
      <c r="K63" s="15">
        <f>SUM(K64:K73)</f>
        <v>0</v>
      </c>
      <c r="L63" s="14">
        <f t="shared" si="13"/>
        <v>0</v>
      </c>
      <c r="M63" s="15">
        <f>SUM(M64:M73)</f>
        <v>0</v>
      </c>
      <c r="N63" s="15">
        <f>SUM(N64:N73)</f>
        <v>0</v>
      </c>
      <c r="O63" s="14">
        <f t="shared" si="14"/>
        <v>0</v>
      </c>
      <c r="P63" s="114" t="e">
        <f t="shared" si="8"/>
        <v>#DIV/0!</v>
      </c>
      <c r="Q63" s="15">
        <f>SUM(Q64:Q73)</f>
        <v>135000</v>
      </c>
      <c r="R63" s="15">
        <f>SUM(R64:R73)</f>
        <v>0</v>
      </c>
      <c r="S63" s="14">
        <f t="shared" si="15"/>
        <v>135000</v>
      </c>
      <c r="T63" s="15">
        <f>SUM(T64:T73)</f>
        <v>0</v>
      </c>
      <c r="U63" s="15">
        <f>SUM(U64:U73)</f>
        <v>0</v>
      </c>
      <c r="V63" s="14">
        <f t="shared" si="10"/>
        <v>0</v>
      </c>
      <c r="W63" s="114">
        <f t="shared" si="16"/>
        <v>0</v>
      </c>
      <c r="X63" s="71"/>
    </row>
    <row r="64" spans="1:24" s="59" customFormat="1" ht="12" customHeight="1" hidden="1">
      <c r="A64" s="57"/>
      <c r="B64" s="180" t="s">
        <v>323</v>
      </c>
      <c r="C64" s="21"/>
      <c r="D64" s="161"/>
      <c r="E64" s="20">
        <f t="shared" si="11"/>
        <v>0</v>
      </c>
      <c r="F64" s="21"/>
      <c r="G64" s="161"/>
      <c r="H64" s="20">
        <f t="shared" si="12"/>
        <v>0</v>
      </c>
      <c r="I64" s="114" t="e">
        <f t="shared" si="7"/>
        <v>#DIV/0!</v>
      </c>
      <c r="J64" s="21"/>
      <c r="K64" s="161"/>
      <c r="L64" s="20">
        <f t="shared" si="13"/>
        <v>0</v>
      </c>
      <c r="M64" s="21"/>
      <c r="N64" s="161"/>
      <c r="O64" s="20">
        <f t="shared" si="14"/>
        <v>0</v>
      </c>
      <c r="P64" s="114" t="e">
        <f t="shared" si="8"/>
        <v>#DIV/0!</v>
      </c>
      <c r="Q64" s="21"/>
      <c r="R64" s="161"/>
      <c r="S64" s="20">
        <f t="shared" si="15"/>
        <v>0</v>
      </c>
      <c r="T64" s="21"/>
      <c r="U64" s="21"/>
      <c r="V64" s="20">
        <f t="shared" si="10"/>
        <v>0</v>
      </c>
      <c r="W64" s="114" t="e">
        <f t="shared" si="16"/>
        <v>#DIV/0!</v>
      </c>
      <c r="X64" s="118" t="s">
        <v>149</v>
      </c>
    </row>
    <row r="65" spans="1:24" s="59" customFormat="1" ht="21" customHeight="1" hidden="1">
      <c r="A65" s="57"/>
      <c r="B65" s="58" t="s">
        <v>115</v>
      </c>
      <c r="C65" s="21"/>
      <c r="D65" s="161"/>
      <c r="E65" s="20">
        <f t="shared" si="11"/>
        <v>0</v>
      </c>
      <c r="F65" s="21"/>
      <c r="G65" s="161"/>
      <c r="H65" s="20">
        <f t="shared" si="12"/>
        <v>0</v>
      </c>
      <c r="I65" s="114" t="e">
        <f t="shared" si="7"/>
        <v>#DIV/0!</v>
      </c>
      <c r="J65" s="21"/>
      <c r="K65" s="161"/>
      <c r="L65" s="20">
        <f t="shared" si="13"/>
        <v>0</v>
      </c>
      <c r="M65" s="21"/>
      <c r="N65" s="161"/>
      <c r="O65" s="20">
        <f t="shared" si="14"/>
        <v>0</v>
      </c>
      <c r="P65" s="114" t="e">
        <f t="shared" si="8"/>
        <v>#DIV/0!</v>
      </c>
      <c r="Q65" s="21"/>
      <c r="R65" s="161"/>
      <c r="S65" s="20">
        <f t="shared" si="15"/>
        <v>0</v>
      </c>
      <c r="T65" s="21"/>
      <c r="U65" s="21"/>
      <c r="V65" s="20">
        <f t="shared" si="10"/>
        <v>0</v>
      </c>
      <c r="W65" s="114" t="e">
        <f t="shared" si="16"/>
        <v>#DIV/0!</v>
      </c>
      <c r="X65" s="118" t="s">
        <v>116</v>
      </c>
    </row>
    <row r="66" spans="1:24" s="22" customFormat="1" ht="11.25" customHeight="1" hidden="1">
      <c r="A66" s="51"/>
      <c r="B66" s="19" t="s">
        <v>254</v>
      </c>
      <c r="C66" s="21">
        <v>43662</v>
      </c>
      <c r="D66" s="161"/>
      <c r="E66" s="20">
        <f t="shared" si="11"/>
        <v>43662</v>
      </c>
      <c r="F66" s="21"/>
      <c r="G66" s="161"/>
      <c r="H66" s="20">
        <f t="shared" si="12"/>
        <v>0</v>
      </c>
      <c r="I66" s="114" t="e">
        <f t="shared" si="7"/>
        <v>#DIV/0!</v>
      </c>
      <c r="J66" s="21"/>
      <c r="K66" s="161"/>
      <c r="L66" s="20">
        <f t="shared" si="13"/>
        <v>0</v>
      </c>
      <c r="M66" s="21"/>
      <c r="N66" s="161"/>
      <c r="O66" s="20">
        <f t="shared" si="14"/>
        <v>0</v>
      </c>
      <c r="P66" s="114" t="e">
        <f t="shared" si="8"/>
        <v>#DIV/0!</v>
      </c>
      <c r="Q66" s="21">
        <v>135000</v>
      </c>
      <c r="R66" s="161"/>
      <c r="S66" s="20">
        <f t="shared" si="15"/>
        <v>135000</v>
      </c>
      <c r="T66" s="21"/>
      <c r="U66" s="21"/>
      <c r="V66" s="20">
        <f t="shared" si="10"/>
        <v>0</v>
      </c>
      <c r="W66" s="114">
        <f t="shared" si="16"/>
        <v>0</v>
      </c>
      <c r="X66" s="72" t="s">
        <v>22</v>
      </c>
    </row>
    <row r="67" spans="1:24" s="22" customFormat="1" ht="33.75" hidden="1">
      <c r="A67" s="49"/>
      <c r="B67" s="19" t="s">
        <v>255</v>
      </c>
      <c r="C67" s="161"/>
      <c r="D67" s="161"/>
      <c r="E67" s="20">
        <f t="shared" si="11"/>
        <v>0</v>
      </c>
      <c r="F67" s="161"/>
      <c r="G67" s="161"/>
      <c r="H67" s="20">
        <f t="shared" si="12"/>
        <v>0</v>
      </c>
      <c r="I67" s="114" t="e">
        <f t="shared" si="7"/>
        <v>#DIV/0!</v>
      </c>
      <c r="J67" s="161"/>
      <c r="K67" s="161"/>
      <c r="L67" s="20">
        <f t="shared" si="13"/>
        <v>0</v>
      </c>
      <c r="M67" s="161"/>
      <c r="N67" s="161"/>
      <c r="O67" s="20">
        <f t="shared" si="14"/>
        <v>0</v>
      </c>
      <c r="P67" s="114" t="e">
        <f t="shared" si="8"/>
        <v>#DIV/0!</v>
      </c>
      <c r="Q67" s="161"/>
      <c r="R67" s="161"/>
      <c r="S67" s="20">
        <f t="shared" si="15"/>
        <v>0</v>
      </c>
      <c r="T67" s="21"/>
      <c r="U67" s="21"/>
      <c r="V67" s="20">
        <f t="shared" si="10"/>
        <v>0</v>
      </c>
      <c r="W67" s="114" t="e">
        <f t="shared" si="16"/>
        <v>#DIV/0!</v>
      </c>
      <c r="X67" s="72"/>
    </row>
    <row r="68" spans="1:24" s="22" customFormat="1" ht="22.5" hidden="1">
      <c r="A68" s="49"/>
      <c r="B68" s="19" t="s">
        <v>256</v>
      </c>
      <c r="C68" s="161"/>
      <c r="D68" s="161"/>
      <c r="E68" s="20">
        <f t="shared" si="11"/>
        <v>0</v>
      </c>
      <c r="F68" s="161"/>
      <c r="G68" s="161"/>
      <c r="H68" s="20">
        <f t="shared" si="12"/>
        <v>0</v>
      </c>
      <c r="I68" s="114" t="e">
        <f t="shared" si="7"/>
        <v>#DIV/0!</v>
      </c>
      <c r="J68" s="161"/>
      <c r="K68" s="161"/>
      <c r="L68" s="20">
        <f t="shared" si="13"/>
        <v>0</v>
      </c>
      <c r="M68" s="161"/>
      <c r="N68" s="161"/>
      <c r="O68" s="20">
        <f t="shared" si="14"/>
        <v>0</v>
      </c>
      <c r="P68" s="114" t="e">
        <f t="shared" si="8"/>
        <v>#DIV/0!</v>
      </c>
      <c r="Q68" s="161"/>
      <c r="R68" s="161"/>
      <c r="S68" s="20">
        <f t="shared" si="15"/>
        <v>0</v>
      </c>
      <c r="T68" s="21"/>
      <c r="U68" s="21"/>
      <c r="V68" s="20">
        <f t="shared" si="10"/>
        <v>0</v>
      </c>
      <c r="W68" s="114" t="e">
        <f t="shared" si="16"/>
        <v>#DIV/0!</v>
      </c>
      <c r="X68" s="72"/>
    </row>
    <row r="69" spans="1:24" s="22" customFormat="1" ht="11.25" hidden="1">
      <c r="A69" s="49"/>
      <c r="B69" s="19" t="s">
        <v>257</v>
      </c>
      <c r="C69" s="161"/>
      <c r="D69" s="161"/>
      <c r="E69" s="20">
        <f t="shared" si="11"/>
        <v>0</v>
      </c>
      <c r="F69" s="161"/>
      <c r="G69" s="161"/>
      <c r="H69" s="20">
        <f t="shared" si="12"/>
        <v>0</v>
      </c>
      <c r="I69" s="114" t="e">
        <f t="shared" si="7"/>
        <v>#DIV/0!</v>
      </c>
      <c r="J69" s="161"/>
      <c r="K69" s="161"/>
      <c r="L69" s="20">
        <f t="shared" si="13"/>
        <v>0</v>
      </c>
      <c r="M69" s="161"/>
      <c r="N69" s="161"/>
      <c r="O69" s="20">
        <f t="shared" si="14"/>
        <v>0</v>
      </c>
      <c r="P69" s="114" t="e">
        <f t="shared" si="8"/>
        <v>#DIV/0!</v>
      </c>
      <c r="Q69" s="161"/>
      <c r="R69" s="161"/>
      <c r="S69" s="20">
        <f t="shared" si="15"/>
        <v>0</v>
      </c>
      <c r="T69" s="21"/>
      <c r="U69" s="21"/>
      <c r="V69" s="20">
        <f t="shared" si="10"/>
        <v>0</v>
      </c>
      <c r="W69" s="114" t="e">
        <f t="shared" si="16"/>
        <v>#DIV/0!</v>
      </c>
      <c r="X69" s="72"/>
    </row>
    <row r="70" spans="1:24" s="22" customFormat="1" ht="22.5" hidden="1">
      <c r="A70" s="49"/>
      <c r="B70" s="19" t="s">
        <v>256</v>
      </c>
      <c r="C70" s="161"/>
      <c r="D70" s="161"/>
      <c r="E70" s="20">
        <f t="shared" si="11"/>
        <v>0</v>
      </c>
      <c r="F70" s="161"/>
      <c r="G70" s="161"/>
      <c r="H70" s="20">
        <f t="shared" si="12"/>
        <v>0</v>
      </c>
      <c r="I70" s="114" t="e">
        <f aca="true" t="shared" si="17" ref="I70:I133">E70/H70</f>
        <v>#DIV/0!</v>
      </c>
      <c r="J70" s="161"/>
      <c r="K70" s="161"/>
      <c r="L70" s="20">
        <f t="shared" si="13"/>
        <v>0</v>
      </c>
      <c r="M70" s="161"/>
      <c r="N70" s="161"/>
      <c r="O70" s="20">
        <f t="shared" si="14"/>
        <v>0</v>
      </c>
      <c r="P70" s="114" t="e">
        <f aca="true" t="shared" si="18" ref="P70:P133">L70/O70</f>
        <v>#DIV/0!</v>
      </c>
      <c r="Q70" s="161"/>
      <c r="R70" s="161"/>
      <c r="S70" s="20">
        <f t="shared" si="15"/>
        <v>0</v>
      </c>
      <c r="T70" s="21"/>
      <c r="U70" s="21"/>
      <c r="V70" s="20">
        <f aca="true" t="shared" si="19" ref="V70:V101">SUM(T70:U70)</f>
        <v>0</v>
      </c>
      <c r="W70" s="114" t="e">
        <f t="shared" si="16"/>
        <v>#DIV/0!</v>
      </c>
      <c r="X70" s="72"/>
    </row>
    <row r="71" spans="1:24" s="22" customFormat="1" ht="11.25" hidden="1">
      <c r="A71" s="49"/>
      <c r="B71" s="19" t="s">
        <v>258</v>
      </c>
      <c r="C71" s="161"/>
      <c r="D71" s="161"/>
      <c r="E71" s="20">
        <f t="shared" si="11"/>
        <v>0</v>
      </c>
      <c r="F71" s="161"/>
      <c r="G71" s="161"/>
      <c r="H71" s="20">
        <f t="shared" si="12"/>
        <v>0</v>
      </c>
      <c r="I71" s="114" t="e">
        <f t="shared" si="17"/>
        <v>#DIV/0!</v>
      </c>
      <c r="J71" s="161"/>
      <c r="K71" s="161"/>
      <c r="L71" s="20">
        <f t="shared" si="13"/>
        <v>0</v>
      </c>
      <c r="M71" s="161"/>
      <c r="N71" s="161"/>
      <c r="O71" s="20">
        <f t="shared" si="14"/>
        <v>0</v>
      </c>
      <c r="P71" s="114" t="e">
        <f t="shared" si="18"/>
        <v>#DIV/0!</v>
      </c>
      <c r="Q71" s="161"/>
      <c r="R71" s="161"/>
      <c r="S71" s="20">
        <f t="shared" si="15"/>
        <v>0</v>
      </c>
      <c r="T71" s="21"/>
      <c r="U71" s="21"/>
      <c r="V71" s="20">
        <f t="shared" si="19"/>
        <v>0</v>
      </c>
      <c r="W71" s="114" t="e">
        <f t="shared" si="16"/>
        <v>#DIV/0!</v>
      </c>
      <c r="X71" s="72"/>
    </row>
    <row r="72" spans="1:24" s="22" customFormat="1" ht="14.25" customHeight="1" hidden="1">
      <c r="A72" s="49"/>
      <c r="B72" s="19" t="s">
        <v>259</v>
      </c>
      <c r="C72" s="21">
        <v>549925</v>
      </c>
      <c r="D72" s="21">
        <v>101492</v>
      </c>
      <c r="E72" s="20">
        <f t="shared" si="11"/>
        <v>651417</v>
      </c>
      <c r="F72" s="161"/>
      <c r="G72" s="161"/>
      <c r="H72" s="20">
        <f t="shared" si="12"/>
        <v>0</v>
      </c>
      <c r="I72" s="114" t="e">
        <f t="shared" si="17"/>
        <v>#DIV/0!</v>
      </c>
      <c r="J72" s="161"/>
      <c r="K72" s="161"/>
      <c r="L72" s="20">
        <f t="shared" si="13"/>
        <v>0</v>
      </c>
      <c r="M72" s="161"/>
      <c r="N72" s="161"/>
      <c r="O72" s="20">
        <f t="shared" si="14"/>
        <v>0</v>
      </c>
      <c r="P72" s="114" t="e">
        <f t="shared" si="18"/>
        <v>#DIV/0!</v>
      </c>
      <c r="Q72" s="161"/>
      <c r="R72" s="161"/>
      <c r="S72" s="20">
        <f t="shared" si="15"/>
        <v>0</v>
      </c>
      <c r="T72" s="21"/>
      <c r="U72" s="21"/>
      <c r="V72" s="20">
        <f t="shared" si="19"/>
        <v>0</v>
      </c>
      <c r="W72" s="114" t="e">
        <f t="shared" si="16"/>
        <v>#DIV/0!</v>
      </c>
      <c r="X72" s="72" t="s">
        <v>28</v>
      </c>
    </row>
    <row r="73" spans="1:24" s="22" customFormat="1" ht="34.5" customHeight="1" hidden="1">
      <c r="A73" s="49"/>
      <c r="B73" s="19" t="s">
        <v>111</v>
      </c>
      <c r="C73" s="21">
        <v>300404</v>
      </c>
      <c r="D73" s="161"/>
      <c r="E73" s="20">
        <f t="shared" si="11"/>
        <v>300404</v>
      </c>
      <c r="F73" s="161"/>
      <c r="G73" s="161"/>
      <c r="H73" s="20">
        <f t="shared" si="12"/>
        <v>0</v>
      </c>
      <c r="I73" s="114" t="e">
        <f t="shared" si="17"/>
        <v>#DIV/0!</v>
      </c>
      <c r="J73" s="161"/>
      <c r="K73" s="161"/>
      <c r="L73" s="20">
        <f t="shared" si="13"/>
        <v>0</v>
      </c>
      <c r="M73" s="161"/>
      <c r="N73" s="161"/>
      <c r="O73" s="20">
        <f t="shared" si="14"/>
        <v>0</v>
      </c>
      <c r="P73" s="114" t="e">
        <f t="shared" si="18"/>
        <v>#DIV/0!</v>
      </c>
      <c r="Q73" s="161"/>
      <c r="R73" s="161"/>
      <c r="S73" s="20">
        <f t="shared" si="15"/>
        <v>0</v>
      </c>
      <c r="T73" s="21"/>
      <c r="U73" s="21"/>
      <c r="V73" s="20">
        <f t="shared" si="19"/>
        <v>0</v>
      </c>
      <c r="W73" s="114" t="e">
        <f t="shared" si="16"/>
        <v>#DIV/0!</v>
      </c>
      <c r="X73" s="142" t="s">
        <v>112</v>
      </c>
    </row>
    <row r="74" spans="1:24" s="11" customFormat="1" ht="18.75" customHeight="1">
      <c r="A74" s="24">
        <v>5</v>
      </c>
      <c r="B74" s="26" t="s">
        <v>376</v>
      </c>
      <c r="C74" s="9">
        <f>SUM(C75:C98)</f>
        <v>1082131</v>
      </c>
      <c r="D74" s="9">
        <f>SUM(D75:D98)</f>
        <v>197129</v>
      </c>
      <c r="E74" s="27">
        <f t="shared" si="11"/>
        <v>1279260</v>
      </c>
      <c r="F74" s="9">
        <v>5228327</v>
      </c>
      <c r="G74" s="9">
        <v>964611</v>
      </c>
      <c r="H74" s="27">
        <f t="shared" si="12"/>
        <v>6192938</v>
      </c>
      <c r="I74" s="114">
        <f t="shared" si="17"/>
        <v>0.20656754516192477</v>
      </c>
      <c r="J74" s="9">
        <v>892172</v>
      </c>
      <c r="K74" s="9">
        <v>496345</v>
      </c>
      <c r="L74" s="27">
        <f t="shared" si="13"/>
        <v>1388517</v>
      </c>
      <c r="M74" s="9">
        <v>6554807</v>
      </c>
      <c r="N74" s="9">
        <v>1212760</v>
      </c>
      <c r="O74" s="27">
        <f t="shared" si="14"/>
        <v>7767567</v>
      </c>
      <c r="P74" s="114">
        <f t="shared" si="18"/>
        <v>0.1787582907234659</v>
      </c>
      <c r="Q74" s="9">
        <f>SUM(Q75:Q98)</f>
        <v>7551912</v>
      </c>
      <c r="R74" s="9">
        <f>SUM(R75:R98)</f>
        <v>6611537</v>
      </c>
      <c r="S74" s="27">
        <f t="shared" si="15"/>
        <v>14163449</v>
      </c>
      <c r="T74" s="9">
        <v>1693403.64</v>
      </c>
      <c r="U74" s="9">
        <v>229130.62</v>
      </c>
      <c r="V74" s="27">
        <f t="shared" si="19"/>
        <v>1922534.2599999998</v>
      </c>
      <c r="W74" s="114">
        <f t="shared" si="16"/>
        <v>0.1357391310548723</v>
      </c>
      <c r="X74" s="77" t="s">
        <v>110</v>
      </c>
    </row>
    <row r="75" spans="1:24" s="31" customFormat="1" ht="12.75" customHeight="1" hidden="1">
      <c r="A75" s="53"/>
      <c r="B75" s="29" t="s">
        <v>260</v>
      </c>
      <c r="C75" s="15"/>
      <c r="D75" s="126"/>
      <c r="E75" s="14">
        <f t="shared" si="11"/>
        <v>0</v>
      </c>
      <c r="F75" s="15"/>
      <c r="G75" s="126"/>
      <c r="H75" s="14">
        <f t="shared" si="12"/>
        <v>0</v>
      </c>
      <c r="I75" s="114" t="e">
        <f t="shared" si="17"/>
        <v>#DIV/0!</v>
      </c>
      <c r="J75" s="15"/>
      <c r="K75" s="126"/>
      <c r="L75" s="14">
        <f t="shared" si="13"/>
        <v>0</v>
      </c>
      <c r="M75" s="15"/>
      <c r="N75" s="126"/>
      <c r="O75" s="14">
        <f t="shared" si="14"/>
        <v>0</v>
      </c>
      <c r="P75" s="114" t="e">
        <f t="shared" si="18"/>
        <v>#DIV/0!</v>
      </c>
      <c r="Q75" s="15">
        <v>52000</v>
      </c>
      <c r="R75" s="126"/>
      <c r="S75" s="14">
        <f t="shared" si="15"/>
        <v>52000</v>
      </c>
      <c r="T75" s="15"/>
      <c r="U75" s="15"/>
      <c r="V75" s="14">
        <f t="shared" si="19"/>
        <v>0</v>
      </c>
      <c r="W75" s="114">
        <f t="shared" si="16"/>
        <v>0</v>
      </c>
      <c r="X75" s="81" t="s">
        <v>181</v>
      </c>
    </row>
    <row r="76" spans="1:24" s="6" customFormat="1" ht="45" hidden="1">
      <c r="A76" s="53"/>
      <c r="B76" s="12" t="s">
        <v>338</v>
      </c>
      <c r="C76" s="162"/>
      <c r="D76" s="162"/>
      <c r="E76" s="14">
        <f t="shared" si="11"/>
        <v>0</v>
      </c>
      <c r="F76" s="162"/>
      <c r="G76" s="162"/>
      <c r="H76" s="14">
        <f t="shared" si="12"/>
        <v>0</v>
      </c>
      <c r="I76" s="114" t="e">
        <f t="shared" si="17"/>
        <v>#DIV/0!</v>
      </c>
      <c r="J76" s="162"/>
      <c r="K76" s="162"/>
      <c r="L76" s="14">
        <f t="shared" si="13"/>
        <v>0</v>
      </c>
      <c r="M76" s="162"/>
      <c r="N76" s="162"/>
      <c r="O76" s="14">
        <f t="shared" si="14"/>
        <v>0</v>
      </c>
      <c r="P76" s="114" t="e">
        <f t="shared" si="18"/>
        <v>#DIV/0!</v>
      </c>
      <c r="Q76" s="162"/>
      <c r="R76" s="162"/>
      <c r="S76" s="14">
        <f t="shared" si="15"/>
        <v>0</v>
      </c>
      <c r="T76" s="30"/>
      <c r="U76" s="15"/>
      <c r="V76" s="14">
        <f t="shared" si="19"/>
        <v>0</v>
      </c>
      <c r="W76" s="114"/>
      <c r="X76" s="80" t="s">
        <v>29</v>
      </c>
    </row>
    <row r="77" spans="1:24" s="6" customFormat="1" ht="21.75" customHeight="1" hidden="1">
      <c r="A77" s="53"/>
      <c r="B77" s="12" t="s">
        <v>391</v>
      </c>
      <c r="C77" s="162"/>
      <c r="D77" s="162"/>
      <c r="E77" s="14">
        <f t="shared" si="11"/>
        <v>0</v>
      </c>
      <c r="F77" s="162"/>
      <c r="G77" s="162"/>
      <c r="H77" s="14">
        <f t="shared" si="12"/>
        <v>0</v>
      </c>
      <c r="I77" s="114" t="e">
        <f t="shared" si="17"/>
        <v>#DIV/0!</v>
      </c>
      <c r="J77" s="162"/>
      <c r="K77" s="162"/>
      <c r="L77" s="14">
        <f t="shared" si="13"/>
        <v>0</v>
      </c>
      <c r="M77" s="162"/>
      <c r="N77" s="162"/>
      <c r="O77" s="14">
        <f t="shared" si="14"/>
        <v>0</v>
      </c>
      <c r="P77" s="114" t="e">
        <f t="shared" si="18"/>
        <v>#DIV/0!</v>
      </c>
      <c r="Q77" s="162"/>
      <c r="R77" s="162"/>
      <c r="S77" s="14">
        <f t="shared" si="15"/>
        <v>0</v>
      </c>
      <c r="T77" s="30"/>
      <c r="U77" s="125"/>
      <c r="V77" s="14">
        <f t="shared" si="19"/>
        <v>0</v>
      </c>
      <c r="W77" s="114"/>
      <c r="X77" s="80"/>
    </row>
    <row r="78" spans="1:24" s="2" customFormat="1" ht="12.75" customHeight="1" hidden="1">
      <c r="A78" s="53"/>
      <c r="B78" s="33" t="s">
        <v>261</v>
      </c>
      <c r="C78" s="126"/>
      <c r="D78" s="15">
        <v>4258</v>
      </c>
      <c r="E78" s="14">
        <f t="shared" si="11"/>
        <v>4258</v>
      </c>
      <c r="F78" s="126"/>
      <c r="G78" s="15"/>
      <c r="H78" s="14">
        <f t="shared" si="12"/>
        <v>0</v>
      </c>
      <c r="I78" s="114" t="e">
        <f t="shared" si="17"/>
        <v>#DIV/0!</v>
      </c>
      <c r="J78" s="126"/>
      <c r="K78" s="15"/>
      <c r="L78" s="14">
        <f t="shared" si="13"/>
        <v>0</v>
      </c>
      <c r="M78" s="126"/>
      <c r="N78" s="15"/>
      <c r="O78" s="14">
        <f t="shared" si="14"/>
        <v>0</v>
      </c>
      <c r="P78" s="114" t="e">
        <f t="shared" si="18"/>
        <v>#DIV/0!</v>
      </c>
      <c r="Q78" s="126"/>
      <c r="R78" s="15">
        <v>17680</v>
      </c>
      <c r="S78" s="14">
        <f t="shared" si="15"/>
        <v>17680</v>
      </c>
      <c r="T78" s="15"/>
      <c r="U78" s="15"/>
      <c r="V78" s="14">
        <f t="shared" si="19"/>
        <v>0</v>
      </c>
      <c r="W78" s="114">
        <f>V78/S78</f>
        <v>0</v>
      </c>
      <c r="X78" s="81" t="s">
        <v>30</v>
      </c>
    </row>
    <row r="79" spans="1:24" s="6" customFormat="1" ht="22.5" customHeight="1" hidden="1">
      <c r="A79" s="53"/>
      <c r="B79" s="33" t="s">
        <v>262</v>
      </c>
      <c r="C79" s="126"/>
      <c r="D79" s="15">
        <v>86625</v>
      </c>
      <c r="E79" s="14">
        <f t="shared" si="11"/>
        <v>86625</v>
      </c>
      <c r="F79" s="126"/>
      <c r="G79" s="15"/>
      <c r="H79" s="14">
        <f t="shared" si="12"/>
        <v>0</v>
      </c>
      <c r="I79" s="114" t="e">
        <f t="shared" si="17"/>
        <v>#DIV/0!</v>
      </c>
      <c r="J79" s="126"/>
      <c r="K79" s="15"/>
      <c r="L79" s="14">
        <f t="shared" si="13"/>
        <v>0</v>
      </c>
      <c r="M79" s="126"/>
      <c r="N79" s="15"/>
      <c r="O79" s="14">
        <f t="shared" si="14"/>
        <v>0</v>
      </c>
      <c r="P79" s="114" t="e">
        <f t="shared" si="18"/>
        <v>#DIV/0!</v>
      </c>
      <c r="Q79" s="126"/>
      <c r="R79" s="15">
        <v>394125</v>
      </c>
      <c r="S79" s="14">
        <f t="shared" si="15"/>
        <v>394125</v>
      </c>
      <c r="T79" s="15"/>
      <c r="U79" s="15"/>
      <c r="V79" s="14">
        <f t="shared" si="19"/>
        <v>0</v>
      </c>
      <c r="W79" s="114">
        <f>V79/S79</f>
        <v>0</v>
      </c>
      <c r="X79" s="80" t="s">
        <v>31</v>
      </c>
    </row>
    <row r="80" spans="1:24" s="6" customFormat="1" ht="31.5" customHeight="1" hidden="1">
      <c r="A80" s="53"/>
      <c r="B80" s="33" t="s">
        <v>127</v>
      </c>
      <c r="C80" s="126"/>
      <c r="D80" s="126"/>
      <c r="E80" s="14">
        <f t="shared" si="11"/>
        <v>0</v>
      </c>
      <c r="F80" s="126"/>
      <c r="G80" s="126"/>
      <c r="H80" s="14">
        <f t="shared" si="12"/>
        <v>0</v>
      </c>
      <c r="I80" s="114" t="e">
        <f t="shared" si="17"/>
        <v>#DIV/0!</v>
      </c>
      <c r="J80" s="126"/>
      <c r="K80" s="126"/>
      <c r="L80" s="14">
        <f t="shared" si="13"/>
        <v>0</v>
      </c>
      <c r="M80" s="126"/>
      <c r="N80" s="126"/>
      <c r="O80" s="14">
        <f t="shared" si="14"/>
        <v>0</v>
      </c>
      <c r="P80" s="114" t="e">
        <f t="shared" si="18"/>
        <v>#DIV/0!</v>
      </c>
      <c r="Q80" s="126"/>
      <c r="R80" s="126"/>
      <c r="S80" s="14">
        <f t="shared" si="15"/>
        <v>0</v>
      </c>
      <c r="T80" s="15"/>
      <c r="U80" s="15"/>
      <c r="V80" s="14">
        <f t="shared" si="19"/>
        <v>0</v>
      </c>
      <c r="W80" s="114"/>
      <c r="X80" s="80" t="s">
        <v>128</v>
      </c>
    </row>
    <row r="81" spans="1:24" s="6" customFormat="1" ht="12" customHeight="1" hidden="1">
      <c r="A81" s="53"/>
      <c r="B81" s="33" t="s">
        <v>263</v>
      </c>
      <c r="C81" s="126"/>
      <c r="D81" s="15">
        <v>80933</v>
      </c>
      <c r="E81" s="14">
        <f t="shared" si="11"/>
        <v>80933</v>
      </c>
      <c r="F81" s="126"/>
      <c r="G81" s="15"/>
      <c r="H81" s="14">
        <f t="shared" si="12"/>
        <v>0</v>
      </c>
      <c r="I81" s="114" t="e">
        <f t="shared" si="17"/>
        <v>#DIV/0!</v>
      </c>
      <c r="J81" s="126"/>
      <c r="K81" s="15"/>
      <c r="L81" s="14">
        <f t="shared" si="13"/>
        <v>0</v>
      </c>
      <c r="M81" s="126"/>
      <c r="N81" s="15"/>
      <c r="O81" s="14">
        <f t="shared" si="14"/>
        <v>0</v>
      </c>
      <c r="P81" s="114" t="e">
        <f t="shared" si="18"/>
        <v>#DIV/0!</v>
      </c>
      <c r="Q81" s="126"/>
      <c r="R81" s="15">
        <v>262932</v>
      </c>
      <c r="S81" s="14">
        <f t="shared" si="15"/>
        <v>262932</v>
      </c>
      <c r="T81" s="15"/>
      <c r="U81" s="15"/>
      <c r="V81" s="14">
        <f t="shared" si="19"/>
        <v>0</v>
      </c>
      <c r="W81" s="114">
        <f>V81/S81</f>
        <v>0</v>
      </c>
      <c r="X81" s="80" t="s">
        <v>32</v>
      </c>
    </row>
    <row r="82" spans="1:24" s="16" customFormat="1" ht="33.75" hidden="1">
      <c r="A82" s="52"/>
      <c r="B82" s="12" t="s">
        <v>268</v>
      </c>
      <c r="C82" s="163"/>
      <c r="D82" s="163"/>
      <c r="E82" s="14">
        <f t="shared" si="11"/>
        <v>0</v>
      </c>
      <c r="F82" s="163"/>
      <c r="G82" s="163"/>
      <c r="H82" s="14">
        <f t="shared" si="12"/>
        <v>0</v>
      </c>
      <c r="I82" s="114" t="e">
        <f t="shared" si="17"/>
        <v>#DIV/0!</v>
      </c>
      <c r="J82" s="163"/>
      <c r="K82" s="163"/>
      <c r="L82" s="14">
        <f t="shared" si="13"/>
        <v>0</v>
      </c>
      <c r="M82" s="163"/>
      <c r="N82" s="163"/>
      <c r="O82" s="14">
        <f t="shared" si="14"/>
        <v>0</v>
      </c>
      <c r="P82" s="114" t="e">
        <f t="shared" si="18"/>
        <v>#DIV/0!</v>
      </c>
      <c r="Q82" s="163"/>
      <c r="R82" s="163"/>
      <c r="S82" s="14">
        <f t="shared" si="15"/>
        <v>0</v>
      </c>
      <c r="T82" s="13"/>
      <c r="U82" s="13"/>
      <c r="V82" s="14">
        <f t="shared" si="19"/>
        <v>0</v>
      </c>
      <c r="W82" s="114" t="e">
        <f>V82/S82</f>
        <v>#DIV/0!</v>
      </c>
      <c r="X82" s="71"/>
    </row>
    <row r="83" spans="1:24" s="6" customFormat="1" ht="38.25" customHeight="1" hidden="1">
      <c r="A83" s="53"/>
      <c r="B83" s="33" t="s">
        <v>27</v>
      </c>
      <c r="C83" s="126"/>
      <c r="D83" s="15">
        <v>7788</v>
      </c>
      <c r="E83" s="14">
        <f t="shared" si="11"/>
        <v>7788</v>
      </c>
      <c r="F83" s="126"/>
      <c r="G83" s="15"/>
      <c r="H83" s="14">
        <f t="shared" si="12"/>
        <v>0</v>
      </c>
      <c r="I83" s="114" t="e">
        <f t="shared" si="17"/>
        <v>#DIV/0!</v>
      </c>
      <c r="J83" s="126"/>
      <c r="K83" s="15"/>
      <c r="L83" s="14">
        <f t="shared" si="13"/>
        <v>0</v>
      </c>
      <c r="M83" s="126"/>
      <c r="N83" s="15"/>
      <c r="O83" s="14">
        <f t="shared" si="14"/>
        <v>0</v>
      </c>
      <c r="P83" s="114" t="e">
        <f t="shared" si="18"/>
        <v>#DIV/0!</v>
      </c>
      <c r="Q83" s="126"/>
      <c r="R83" s="15">
        <v>47000</v>
      </c>
      <c r="S83" s="14">
        <f aca="true" t="shared" si="20" ref="S83:S114">SUM(Q83:R83)</f>
        <v>47000</v>
      </c>
      <c r="T83" s="15"/>
      <c r="U83" s="15"/>
      <c r="V83" s="14">
        <f t="shared" si="19"/>
        <v>0</v>
      </c>
      <c r="W83" s="114">
        <f>V83/S83</f>
        <v>0</v>
      </c>
      <c r="X83" s="80" t="s">
        <v>33</v>
      </c>
    </row>
    <row r="84" spans="1:24" s="6" customFormat="1" ht="22.5" hidden="1">
      <c r="A84" s="53"/>
      <c r="B84" s="33" t="s">
        <v>332</v>
      </c>
      <c r="C84" s="126"/>
      <c r="D84" s="126"/>
      <c r="E84" s="14">
        <f t="shared" si="11"/>
        <v>0</v>
      </c>
      <c r="F84" s="126"/>
      <c r="G84" s="126"/>
      <c r="H84" s="14">
        <f t="shared" si="12"/>
        <v>0</v>
      </c>
      <c r="I84" s="114" t="e">
        <f t="shared" si="17"/>
        <v>#DIV/0!</v>
      </c>
      <c r="J84" s="126"/>
      <c r="K84" s="126"/>
      <c r="L84" s="14">
        <f t="shared" si="13"/>
        <v>0</v>
      </c>
      <c r="M84" s="126"/>
      <c r="N84" s="126"/>
      <c r="O84" s="14">
        <f t="shared" si="14"/>
        <v>0</v>
      </c>
      <c r="P84" s="114" t="e">
        <f t="shared" si="18"/>
        <v>#DIV/0!</v>
      </c>
      <c r="Q84" s="126"/>
      <c r="R84" s="126"/>
      <c r="S84" s="14">
        <f t="shared" si="20"/>
        <v>0</v>
      </c>
      <c r="T84" s="15"/>
      <c r="U84" s="15"/>
      <c r="V84" s="14">
        <f t="shared" si="19"/>
        <v>0</v>
      </c>
      <c r="W84" s="114" t="e">
        <f>V84/S84</f>
        <v>#DIV/0!</v>
      </c>
      <c r="X84" s="80"/>
    </row>
    <row r="85" spans="1:24" s="6" customFormat="1" ht="11.25" customHeight="1" hidden="1">
      <c r="A85" s="53"/>
      <c r="B85" s="33" t="s">
        <v>264</v>
      </c>
      <c r="C85" s="164"/>
      <c r="D85" s="15">
        <v>17525</v>
      </c>
      <c r="E85" s="14">
        <f t="shared" si="11"/>
        <v>17525</v>
      </c>
      <c r="F85" s="164"/>
      <c r="G85" s="15"/>
      <c r="H85" s="14">
        <f t="shared" si="12"/>
        <v>0</v>
      </c>
      <c r="I85" s="114" t="e">
        <f t="shared" si="17"/>
        <v>#DIV/0!</v>
      </c>
      <c r="J85" s="164"/>
      <c r="K85" s="15"/>
      <c r="L85" s="14">
        <f t="shared" si="13"/>
        <v>0</v>
      </c>
      <c r="M85" s="164"/>
      <c r="N85" s="15"/>
      <c r="O85" s="14">
        <f t="shared" si="14"/>
        <v>0</v>
      </c>
      <c r="P85" s="114" t="e">
        <f t="shared" si="18"/>
        <v>#DIV/0!</v>
      </c>
      <c r="Q85" s="164"/>
      <c r="R85" s="15">
        <v>39800</v>
      </c>
      <c r="S85" s="14">
        <f t="shared" si="20"/>
        <v>39800</v>
      </c>
      <c r="T85" s="124"/>
      <c r="U85" s="15"/>
      <c r="V85" s="14">
        <f t="shared" si="19"/>
        <v>0</v>
      </c>
      <c r="W85" s="114">
        <f>V85/S85</f>
        <v>0</v>
      </c>
      <c r="X85" s="80" t="s">
        <v>34</v>
      </c>
    </row>
    <row r="86" spans="1:24" s="6" customFormat="1" ht="14.25" customHeight="1" hidden="1">
      <c r="A86" s="53"/>
      <c r="B86" s="33" t="s">
        <v>372</v>
      </c>
      <c r="C86" s="126"/>
      <c r="D86" s="126"/>
      <c r="E86" s="14">
        <f t="shared" si="11"/>
        <v>0</v>
      </c>
      <c r="F86" s="126"/>
      <c r="G86" s="126"/>
      <c r="H86" s="14">
        <f t="shared" si="12"/>
        <v>0</v>
      </c>
      <c r="I86" s="114" t="e">
        <f t="shared" si="17"/>
        <v>#DIV/0!</v>
      </c>
      <c r="J86" s="126"/>
      <c r="K86" s="126"/>
      <c r="L86" s="14">
        <f t="shared" si="13"/>
        <v>0</v>
      </c>
      <c r="M86" s="126"/>
      <c r="N86" s="126"/>
      <c r="O86" s="14">
        <f t="shared" si="14"/>
        <v>0</v>
      </c>
      <c r="P86" s="114" t="e">
        <f t="shared" si="18"/>
        <v>#DIV/0!</v>
      </c>
      <c r="Q86" s="126"/>
      <c r="R86" s="126"/>
      <c r="S86" s="14">
        <f t="shared" si="20"/>
        <v>0</v>
      </c>
      <c r="T86" s="15"/>
      <c r="U86" s="15"/>
      <c r="V86" s="14">
        <f t="shared" si="19"/>
        <v>0</v>
      </c>
      <c r="W86" s="114"/>
      <c r="X86" s="80" t="s">
        <v>209</v>
      </c>
    </row>
    <row r="87" spans="1:24" s="6" customFormat="1" ht="27" customHeight="1" hidden="1">
      <c r="A87" s="53"/>
      <c r="B87" s="33" t="s">
        <v>329</v>
      </c>
      <c r="C87" s="126"/>
      <c r="D87" s="126"/>
      <c r="E87" s="14">
        <f t="shared" si="11"/>
        <v>0</v>
      </c>
      <c r="F87" s="126"/>
      <c r="G87" s="126"/>
      <c r="H87" s="14">
        <f t="shared" si="12"/>
        <v>0</v>
      </c>
      <c r="I87" s="114" t="e">
        <f t="shared" si="17"/>
        <v>#DIV/0!</v>
      </c>
      <c r="J87" s="126"/>
      <c r="K87" s="126"/>
      <c r="L87" s="14">
        <f t="shared" si="13"/>
        <v>0</v>
      </c>
      <c r="M87" s="126"/>
      <c r="N87" s="126"/>
      <c r="O87" s="14">
        <f t="shared" si="14"/>
        <v>0</v>
      </c>
      <c r="P87" s="114" t="e">
        <f t="shared" si="18"/>
        <v>#DIV/0!</v>
      </c>
      <c r="Q87" s="126"/>
      <c r="R87" s="126"/>
      <c r="S87" s="14">
        <f t="shared" si="20"/>
        <v>0</v>
      </c>
      <c r="T87" s="15"/>
      <c r="U87" s="15"/>
      <c r="V87" s="14">
        <f t="shared" si="19"/>
        <v>0</v>
      </c>
      <c r="W87" s="114" t="e">
        <f aca="true" t="shared" si="21" ref="W87:W118">V87/S87</f>
        <v>#DIV/0!</v>
      </c>
      <c r="X87" s="80"/>
    </row>
    <row r="88" spans="1:24" s="6" customFormat="1" ht="39.75" customHeight="1" hidden="1">
      <c r="A88" s="53"/>
      <c r="B88" s="33" t="s">
        <v>325</v>
      </c>
      <c r="C88" s="126"/>
      <c r="D88" s="126"/>
      <c r="E88" s="14">
        <f t="shared" si="11"/>
        <v>0</v>
      </c>
      <c r="F88" s="126"/>
      <c r="G88" s="126"/>
      <c r="H88" s="14">
        <f t="shared" si="12"/>
        <v>0</v>
      </c>
      <c r="I88" s="114" t="e">
        <f t="shared" si="17"/>
        <v>#DIV/0!</v>
      </c>
      <c r="J88" s="126"/>
      <c r="K88" s="126"/>
      <c r="L88" s="14">
        <f t="shared" si="13"/>
        <v>0</v>
      </c>
      <c r="M88" s="126"/>
      <c r="N88" s="126"/>
      <c r="O88" s="14">
        <f t="shared" si="14"/>
        <v>0</v>
      </c>
      <c r="P88" s="114" t="e">
        <f t="shared" si="18"/>
        <v>#DIV/0!</v>
      </c>
      <c r="Q88" s="126"/>
      <c r="R88" s="126"/>
      <c r="S88" s="14">
        <f t="shared" si="20"/>
        <v>0</v>
      </c>
      <c r="T88" s="15"/>
      <c r="U88" s="15"/>
      <c r="V88" s="14">
        <f t="shared" si="19"/>
        <v>0</v>
      </c>
      <c r="W88" s="114" t="e">
        <f t="shared" si="21"/>
        <v>#DIV/0!</v>
      </c>
      <c r="X88" s="80"/>
    </row>
    <row r="89" spans="1:24" s="16" customFormat="1" ht="36" customHeight="1" hidden="1">
      <c r="A89" s="52"/>
      <c r="B89" s="12" t="s">
        <v>265</v>
      </c>
      <c r="C89" s="15">
        <v>1082131</v>
      </c>
      <c r="D89" s="126"/>
      <c r="E89" s="14">
        <f t="shared" si="11"/>
        <v>1082131</v>
      </c>
      <c r="F89" s="15"/>
      <c r="G89" s="126"/>
      <c r="H89" s="14">
        <f t="shared" si="12"/>
        <v>0</v>
      </c>
      <c r="I89" s="114" t="e">
        <f t="shared" si="17"/>
        <v>#DIV/0!</v>
      </c>
      <c r="J89" s="15"/>
      <c r="K89" s="126"/>
      <c r="L89" s="14">
        <f t="shared" si="13"/>
        <v>0</v>
      </c>
      <c r="M89" s="15"/>
      <c r="N89" s="126"/>
      <c r="O89" s="14">
        <f t="shared" si="14"/>
        <v>0</v>
      </c>
      <c r="P89" s="114" t="e">
        <f t="shared" si="18"/>
        <v>#DIV/0!</v>
      </c>
      <c r="Q89" s="15">
        <f>5491028+1072901</f>
        <v>6563929</v>
      </c>
      <c r="R89" s="126"/>
      <c r="S89" s="14">
        <f t="shared" si="20"/>
        <v>6563929</v>
      </c>
      <c r="T89" s="15"/>
      <c r="U89" s="15"/>
      <c r="V89" s="14">
        <f t="shared" si="19"/>
        <v>0</v>
      </c>
      <c r="W89" s="114">
        <f t="shared" si="21"/>
        <v>0</v>
      </c>
      <c r="X89" s="133" t="s">
        <v>142</v>
      </c>
    </row>
    <row r="90" spans="1:24" s="6" customFormat="1" ht="42.75" customHeight="1" hidden="1">
      <c r="A90" s="53"/>
      <c r="B90" s="33" t="s">
        <v>118</v>
      </c>
      <c r="C90" s="162"/>
      <c r="D90" s="162"/>
      <c r="E90" s="14">
        <f t="shared" si="11"/>
        <v>0</v>
      </c>
      <c r="F90" s="162"/>
      <c r="G90" s="162"/>
      <c r="H90" s="14">
        <f t="shared" si="12"/>
        <v>0</v>
      </c>
      <c r="I90" s="114" t="e">
        <f t="shared" si="17"/>
        <v>#DIV/0!</v>
      </c>
      <c r="J90" s="162"/>
      <c r="K90" s="162"/>
      <c r="L90" s="14">
        <f t="shared" si="13"/>
        <v>0</v>
      </c>
      <c r="M90" s="162"/>
      <c r="N90" s="162"/>
      <c r="O90" s="14">
        <f t="shared" si="14"/>
        <v>0</v>
      </c>
      <c r="P90" s="114" t="e">
        <f t="shared" si="18"/>
        <v>#DIV/0!</v>
      </c>
      <c r="Q90" s="162"/>
      <c r="R90" s="162"/>
      <c r="S90" s="14">
        <f t="shared" si="20"/>
        <v>0</v>
      </c>
      <c r="T90" s="30"/>
      <c r="U90" s="30"/>
      <c r="V90" s="14">
        <f t="shared" si="19"/>
        <v>0</v>
      </c>
      <c r="W90" s="114" t="e">
        <f t="shared" si="21"/>
        <v>#DIV/0!</v>
      </c>
      <c r="X90" s="129" t="s">
        <v>119</v>
      </c>
    </row>
    <row r="91" spans="1:24" s="6" customFormat="1" ht="49.5" customHeight="1" hidden="1">
      <c r="A91" s="53"/>
      <c r="B91" s="33" t="s">
        <v>159</v>
      </c>
      <c r="C91" s="162"/>
      <c r="D91" s="162"/>
      <c r="E91" s="14">
        <f t="shared" si="11"/>
        <v>0</v>
      </c>
      <c r="F91" s="162"/>
      <c r="G91" s="162"/>
      <c r="H91" s="14">
        <f t="shared" si="12"/>
        <v>0</v>
      </c>
      <c r="I91" s="114" t="e">
        <f t="shared" si="17"/>
        <v>#DIV/0!</v>
      </c>
      <c r="J91" s="162"/>
      <c r="K91" s="162"/>
      <c r="L91" s="14">
        <f t="shared" si="13"/>
        <v>0</v>
      </c>
      <c r="M91" s="162"/>
      <c r="N91" s="162"/>
      <c r="O91" s="14">
        <f t="shared" si="14"/>
        <v>0</v>
      </c>
      <c r="P91" s="114" t="e">
        <f t="shared" si="18"/>
        <v>#DIV/0!</v>
      </c>
      <c r="Q91" s="162"/>
      <c r="R91" s="162"/>
      <c r="S91" s="14">
        <f t="shared" si="20"/>
        <v>0</v>
      </c>
      <c r="T91" s="30"/>
      <c r="U91" s="30"/>
      <c r="V91" s="14">
        <f t="shared" si="19"/>
        <v>0</v>
      </c>
      <c r="W91" s="114" t="e">
        <f t="shared" si="21"/>
        <v>#DIV/0!</v>
      </c>
      <c r="X91" s="129" t="s">
        <v>165</v>
      </c>
    </row>
    <row r="92" spans="1:24" s="16" customFormat="1" ht="36.75" customHeight="1" hidden="1">
      <c r="A92" s="52"/>
      <c r="B92" s="12" t="s">
        <v>109</v>
      </c>
      <c r="C92" s="126"/>
      <c r="D92" s="15"/>
      <c r="E92" s="14">
        <f t="shared" si="11"/>
        <v>0</v>
      </c>
      <c r="F92" s="126"/>
      <c r="G92" s="15"/>
      <c r="H92" s="14">
        <f t="shared" si="12"/>
        <v>0</v>
      </c>
      <c r="I92" s="114" t="e">
        <f t="shared" si="17"/>
        <v>#DIV/0!</v>
      </c>
      <c r="J92" s="126"/>
      <c r="K92" s="15"/>
      <c r="L92" s="14">
        <f t="shared" si="13"/>
        <v>0</v>
      </c>
      <c r="M92" s="126"/>
      <c r="N92" s="15"/>
      <c r="O92" s="14">
        <f t="shared" si="14"/>
        <v>0</v>
      </c>
      <c r="P92" s="114" t="e">
        <f t="shared" si="18"/>
        <v>#DIV/0!</v>
      </c>
      <c r="Q92" s="126"/>
      <c r="R92" s="15">
        <v>5850000</v>
      </c>
      <c r="S92" s="14">
        <f t="shared" si="20"/>
        <v>5850000</v>
      </c>
      <c r="T92" s="15"/>
      <c r="U92" s="15"/>
      <c r="V92" s="14">
        <f t="shared" si="19"/>
        <v>0</v>
      </c>
      <c r="W92" s="114">
        <f t="shared" si="21"/>
        <v>0</v>
      </c>
      <c r="X92" s="71" t="s">
        <v>107</v>
      </c>
    </row>
    <row r="93" spans="1:24" s="16" customFormat="1" ht="34.5" customHeight="1" hidden="1">
      <c r="A93" s="52"/>
      <c r="B93" s="12" t="s">
        <v>126</v>
      </c>
      <c r="C93" s="126"/>
      <c r="D93" s="126"/>
      <c r="E93" s="14">
        <f t="shared" si="11"/>
        <v>0</v>
      </c>
      <c r="F93" s="126"/>
      <c r="G93" s="126"/>
      <c r="H93" s="14">
        <f t="shared" si="12"/>
        <v>0</v>
      </c>
      <c r="I93" s="114" t="e">
        <f t="shared" si="17"/>
        <v>#DIV/0!</v>
      </c>
      <c r="J93" s="126"/>
      <c r="K93" s="126"/>
      <c r="L93" s="14">
        <f t="shared" si="13"/>
        <v>0</v>
      </c>
      <c r="M93" s="126"/>
      <c r="N93" s="126"/>
      <c r="O93" s="14">
        <f t="shared" si="14"/>
        <v>0</v>
      </c>
      <c r="P93" s="114" t="e">
        <f t="shared" si="18"/>
        <v>#DIV/0!</v>
      </c>
      <c r="Q93" s="126"/>
      <c r="R93" s="126"/>
      <c r="S93" s="14">
        <f t="shared" si="20"/>
        <v>0</v>
      </c>
      <c r="T93" s="15"/>
      <c r="U93" s="15"/>
      <c r="V93" s="14">
        <f t="shared" si="19"/>
        <v>0</v>
      </c>
      <c r="W93" s="114" t="e">
        <f t="shared" si="21"/>
        <v>#DIV/0!</v>
      </c>
      <c r="X93" s="71" t="s">
        <v>195</v>
      </c>
    </row>
    <row r="94" spans="1:24" s="16" customFormat="1" ht="35.25" customHeight="1" hidden="1">
      <c r="A94" s="52"/>
      <c r="B94" s="12" t="s">
        <v>160</v>
      </c>
      <c r="C94" s="126"/>
      <c r="D94" s="126"/>
      <c r="E94" s="14">
        <f t="shared" si="11"/>
        <v>0</v>
      </c>
      <c r="F94" s="126"/>
      <c r="G94" s="126"/>
      <c r="H94" s="14">
        <f t="shared" si="12"/>
        <v>0</v>
      </c>
      <c r="I94" s="114" t="e">
        <f t="shared" si="17"/>
        <v>#DIV/0!</v>
      </c>
      <c r="J94" s="126"/>
      <c r="K94" s="126"/>
      <c r="L94" s="14">
        <f t="shared" si="13"/>
        <v>0</v>
      </c>
      <c r="M94" s="126"/>
      <c r="N94" s="126"/>
      <c r="O94" s="14">
        <f t="shared" si="14"/>
        <v>0</v>
      </c>
      <c r="P94" s="114" t="e">
        <f t="shared" si="18"/>
        <v>#DIV/0!</v>
      </c>
      <c r="Q94" s="126"/>
      <c r="R94" s="126"/>
      <c r="S94" s="14">
        <f t="shared" si="20"/>
        <v>0</v>
      </c>
      <c r="T94" s="15"/>
      <c r="U94" s="15"/>
      <c r="V94" s="14">
        <f t="shared" si="19"/>
        <v>0</v>
      </c>
      <c r="W94" s="114" t="e">
        <f t="shared" si="21"/>
        <v>#DIV/0!</v>
      </c>
      <c r="X94" s="16" t="s">
        <v>161</v>
      </c>
    </row>
    <row r="95" spans="1:24" s="143" customFormat="1" ht="33" customHeight="1" hidden="1">
      <c r="A95" s="53"/>
      <c r="B95" s="172" t="s">
        <v>271</v>
      </c>
      <c r="C95" s="15"/>
      <c r="D95" s="126"/>
      <c r="E95" s="14">
        <f t="shared" si="11"/>
        <v>0</v>
      </c>
      <c r="F95" s="15"/>
      <c r="G95" s="126"/>
      <c r="H95" s="14">
        <f t="shared" si="12"/>
        <v>0</v>
      </c>
      <c r="I95" s="114" t="e">
        <f t="shared" si="17"/>
        <v>#DIV/0!</v>
      </c>
      <c r="J95" s="15"/>
      <c r="K95" s="126"/>
      <c r="L95" s="14">
        <f t="shared" si="13"/>
        <v>0</v>
      </c>
      <c r="M95" s="15"/>
      <c r="N95" s="126"/>
      <c r="O95" s="14">
        <f t="shared" si="14"/>
        <v>0</v>
      </c>
      <c r="P95" s="114" t="e">
        <f t="shared" si="18"/>
        <v>#DIV/0!</v>
      </c>
      <c r="Q95" s="15">
        <v>309657</v>
      </c>
      <c r="R95" s="126"/>
      <c r="S95" s="14">
        <f t="shared" si="20"/>
        <v>309657</v>
      </c>
      <c r="T95" s="15"/>
      <c r="U95" s="15"/>
      <c r="V95" s="14">
        <f t="shared" si="19"/>
        <v>0</v>
      </c>
      <c r="W95" s="114">
        <f t="shared" si="21"/>
        <v>0</v>
      </c>
      <c r="X95" s="120" t="s">
        <v>407</v>
      </c>
    </row>
    <row r="96" spans="1:24" s="16" customFormat="1" ht="24.75" customHeight="1" hidden="1">
      <c r="A96" s="52"/>
      <c r="B96" s="12" t="s">
        <v>393</v>
      </c>
      <c r="C96" s="15"/>
      <c r="D96" s="126"/>
      <c r="E96" s="14">
        <f t="shared" si="11"/>
        <v>0</v>
      </c>
      <c r="F96" s="15"/>
      <c r="G96" s="126"/>
      <c r="H96" s="14">
        <f t="shared" si="12"/>
        <v>0</v>
      </c>
      <c r="I96" s="114" t="e">
        <f t="shared" si="17"/>
        <v>#DIV/0!</v>
      </c>
      <c r="J96" s="15"/>
      <c r="K96" s="126"/>
      <c r="L96" s="14">
        <f t="shared" si="13"/>
        <v>0</v>
      </c>
      <c r="M96" s="15"/>
      <c r="N96" s="126"/>
      <c r="O96" s="14">
        <f t="shared" si="14"/>
        <v>0</v>
      </c>
      <c r="P96" s="114" t="e">
        <f t="shared" si="18"/>
        <v>#DIV/0!</v>
      </c>
      <c r="Q96" s="15">
        <f>976326-350000</f>
        <v>626326</v>
      </c>
      <c r="R96" s="126"/>
      <c r="S96" s="14">
        <f t="shared" si="20"/>
        <v>626326</v>
      </c>
      <c r="T96" s="15"/>
      <c r="U96" s="15"/>
      <c r="V96" s="14">
        <f t="shared" si="19"/>
        <v>0</v>
      </c>
      <c r="W96" s="114">
        <f t="shared" si="21"/>
        <v>0</v>
      </c>
      <c r="X96" s="133" t="s">
        <v>151</v>
      </c>
    </row>
    <row r="97" spans="1:24" s="16" customFormat="1" ht="67.5" hidden="1">
      <c r="A97" s="52"/>
      <c r="B97" s="12" t="s">
        <v>384</v>
      </c>
      <c r="C97" s="126"/>
      <c r="D97" s="126"/>
      <c r="E97" s="14">
        <f t="shared" si="11"/>
        <v>0</v>
      </c>
      <c r="F97" s="126"/>
      <c r="G97" s="126"/>
      <c r="H97" s="14">
        <f t="shared" si="12"/>
        <v>0</v>
      </c>
      <c r="I97" s="114" t="e">
        <f t="shared" si="17"/>
        <v>#DIV/0!</v>
      </c>
      <c r="J97" s="126"/>
      <c r="K97" s="126"/>
      <c r="L97" s="14">
        <f t="shared" si="13"/>
        <v>0</v>
      </c>
      <c r="M97" s="126"/>
      <c r="N97" s="126"/>
      <c r="O97" s="14">
        <f t="shared" si="14"/>
        <v>0</v>
      </c>
      <c r="P97" s="114" t="e">
        <f t="shared" si="18"/>
        <v>#DIV/0!</v>
      </c>
      <c r="Q97" s="126"/>
      <c r="R97" s="126"/>
      <c r="S97" s="14">
        <f t="shared" si="20"/>
        <v>0</v>
      </c>
      <c r="T97" s="15"/>
      <c r="U97" s="15"/>
      <c r="V97" s="14">
        <f t="shared" si="19"/>
        <v>0</v>
      </c>
      <c r="W97" s="114" t="e">
        <f t="shared" si="21"/>
        <v>#DIV/0!</v>
      </c>
      <c r="X97" s="71" t="s">
        <v>35</v>
      </c>
    </row>
    <row r="98" spans="1:24" s="16" customFormat="1" ht="36" customHeight="1" hidden="1">
      <c r="A98" s="52"/>
      <c r="B98" s="12" t="s">
        <v>380</v>
      </c>
      <c r="C98" s="126"/>
      <c r="D98" s="126"/>
      <c r="E98" s="14">
        <f t="shared" si="11"/>
        <v>0</v>
      </c>
      <c r="F98" s="126"/>
      <c r="G98" s="126"/>
      <c r="H98" s="14">
        <f t="shared" si="12"/>
        <v>0</v>
      </c>
      <c r="I98" s="114" t="e">
        <f t="shared" si="17"/>
        <v>#DIV/0!</v>
      </c>
      <c r="J98" s="126"/>
      <c r="K98" s="126"/>
      <c r="L98" s="14">
        <f t="shared" si="13"/>
        <v>0</v>
      </c>
      <c r="M98" s="126"/>
      <c r="N98" s="126"/>
      <c r="O98" s="14">
        <f t="shared" si="14"/>
        <v>0</v>
      </c>
      <c r="P98" s="114" t="e">
        <f t="shared" si="18"/>
        <v>#DIV/0!</v>
      </c>
      <c r="Q98" s="126"/>
      <c r="R98" s="126"/>
      <c r="S98" s="14">
        <f t="shared" si="20"/>
        <v>0</v>
      </c>
      <c r="T98" s="15"/>
      <c r="U98" s="15"/>
      <c r="V98" s="14">
        <f t="shared" si="19"/>
        <v>0</v>
      </c>
      <c r="W98" s="114" t="e">
        <f t="shared" si="21"/>
        <v>#DIV/0!</v>
      </c>
      <c r="X98" s="87" t="s">
        <v>92</v>
      </c>
    </row>
    <row r="99" spans="1:25" s="11" customFormat="1" ht="28.5" customHeight="1">
      <c r="A99" s="24">
        <v>6</v>
      </c>
      <c r="B99" s="26" t="s">
        <v>266</v>
      </c>
      <c r="C99" s="9">
        <f>SUM(C100:C124)</f>
        <v>693532</v>
      </c>
      <c r="D99" s="9">
        <f>SUM(D100:D124)</f>
        <v>44000</v>
      </c>
      <c r="E99" s="27">
        <f t="shared" si="11"/>
        <v>737532</v>
      </c>
      <c r="F99" s="9">
        <v>5637816</v>
      </c>
      <c r="G99" s="9">
        <v>746242</v>
      </c>
      <c r="H99" s="27">
        <f t="shared" si="12"/>
        <v>6384058</v>
      </c>
      <c r="I99" s="114">
        <f t="shared" si="17"/>
        <v>0.11552714589999026</v>
      </c>
      <c r="J99" s="9">
        <v>49796</v>
      </c>
      <c r="K99" s="9">
        <v>75475</v>
      </c>
      <c r="L99" s="27">
        <f t="shared" si="13"/>
        <v>125271</v>
      </c>
      <c r="M99" s="9">
        <v>8859541</v>
      </c>
      <c r="N99" s="9">
        <v>398962</v>
      </c>
      <c r="O99" s="27">
        <f t="shared" si="14"/>
        <v>9258503</v>
      </c>
      <c r="P99" s="114">
        <f t="shared" si="18"/>
        <v>0.013530373106753868</v>
      </c>
      <c r="Q99" s="160">
        <f>SUM(Q100:Q124)</f>
        <v>371159</v>
      </c>
      <c r="R99" s="160">
        <f>SUM(R100:R124)</f>
        <v>351500</v>
      </c>
      <c r="S99" s="27">
        <f t="shared" si="20"/>
        <v>722659</v>
      </c>
      <c r="T99" s="9"/>
      <c r="U99" s="9">
        <v>90000</v>
      </c>
      <c r="V99" s="27">
        <f t="shared" si="19"/>
        <v>90000</v>
      </c>
      <c r="W99" s="114">
        <f t="shared" si="21"/>
        <v>0.12454006661509785</v>
      </c>
      <c r="X99" s="80" t="s">
        <v>36</v>
      </c>
      <c r="Y99" s="119"/>
    </row>
    <row r="100" spans="1:25" s="6" customFormat="1" ht="33.75" customHeight="1" hidden="1">
      <c r="A100" s="53"/>
      <c r="B100" s="33" t="s">
        <v>316</v>
      </c>
      <c r="C100" s="126"/>
      <c r="D100" s="15">
        <v>44000</v>
      </c>
      <c r="E100" s="14">
        <f t="shared" si="11"/>
        <v>44000</v>
      </c>
      <c r="F100" s="126"/>
      <c r="G100" s="15"/>
      <c r="H100" s="14">
        <f t="shared" si="12"/>
        <v>0</v>
      </c>
      <c r="I100" s="114" t="e">
        <f t="shared" si="17"/>
        <v>#DIV/0!</v>
      </c>
      <c r="J100" s="126"/>
      <c r="K100" s="15"/>
      <c r="L100" s="14">
        <f t="shared" si="13"/>
        <v>0</v>
      </c>
      <c r="M100" s="126"/>
      <c r="N100" s="15"/>
      <c r="O100" s="14">
        <f t="shared" si="14"/>
        <v>0</v>
      </c>
      <c r="P100" s="114" t="e">
        <f t="shared" si="18"/>
        <v>#DIV/0!</v>
      </c>
      <c r="Q100" s="126"/>
      <c r="R100" s="15">
        <v>351500</v>
      </c>
      <c r="S100" s="14">
        <f t="shared" si="20"/>
        <v>351500</v>
      </c>
      <c r="T100" s="15"/>
      <c r="U100" s="15"/>
      <c r="V100" s="14">
        <f t="shared" si="19"/>
        <v>0</v>
      </c>
      <c r="W100" s="114">
        <f t="shared" si="21"/>
        <v>0</v>
      </c>
      <c r="X100" s="106" t="s">
        <v>36</v>
      </c>
      <c r="Y100" s="6" t="s">
        <v>89</v>
      </c>
    </row>
    <row r="101" spans="1:24" s="6" customFormat="1" ht="28.5" customHeight="1" hidden="1">
      <c r="A101" s="53"/>
      <c r="B101" s="12" t="s">
        <v>342</v>
      </c>
      <c r="C101" s="15"/>
      <c r="D101" s="15"/>
      <c r="E101" s="14">
        <f t="shared" si="11"/>
        <v>0</v>
      </c>
      <c r="F101" s="15"/>
      <c r="G101" s="15"/>
      <c r="H101" s="14">
        <f t="shared" si="12"/>
        <v>0</v>
      </c>
      <c r="I101" s="114" t="e">
        <f t="shared" si="17"/>
        <v>#DIV/0!</v>
      </c>
      <c r="J101" s="15"/>
      <c r="K101" s="15"/>
      <c r="L101" s="14">
        <f t="shared" si="13"/>
        <v>0</v>
      </c>
      <c r="M101" s="15"/>
      <c r="N101" s="15"/>
      <c r="O101" s="14">
        <f t="shared" si="14"/>
        <v>0</v>
      </c>
      <c r="P101" s="114" t="e">
        <f t="shared" si="18"/>
        <v>#DIV/0!</v>
      </c>
      <c r="Q101" s="15">
        <v>350000</v>
      </c>
      <c r="R101" s="15"/>
      <c r="S101" s="14">
        <f t="shared" si="20"/>
        <v>350000</v>
      </c>
      <c r="T101" s="15"/>
      <c r="U101" s="15"/>
      <c r="V101" s="14">
        <f t="shared" si="19"/>
        <v>0</v>
      </c>
      <c r="W101" s="114">
        <f t="shared" si="21"/>
        <v>0</v>
      </c>
      <c r="X101" s="106"/>
    </row>
    <row r="102" spans="1:24" s="6" customFormat="1" ht="35.25" customHeight="1" hidden="1">
      <c r="A102" s="53"/>
      <c r="B102" s="12" t="s">
        <v>267</v>
      </c>
      <c r="C102" s="126"/>
      <c r="D102" s="126"/>
      <c r="E102" s="14">
        <f t="shared" si="11"/>
        <v>0</v>
      </c>
      <c r="F102" s="126"/>
      <c r="G102" s="126"/>
      <c r="H102" s="14">
        <f t="shared" si="12"/>
        <v>0</v>
      </c>
      <c r="I102" s="114" t="e">
        <f t="shared" si="17"/>
        <v>#DIV/0!</v>
      </c>
      <c r="J102" s="126"/>
      <c r="K102" s="126"/>
      <c r="L102" s="14">
        <f t="shared" si="13"/>
        <v>0</v>
      </c>
      <c r="M102" s="126"/>
      <c r="N102" s="126"/>
      <c r="O102" s="14">
        <f t="shared" si="14"/>
        <v>0</v>
      </c>
      <c r="P102" s="114" t="e">
        <f t="shared" si="18"/>
        <v>#DIV/0!</v>
      </c>
      <c r="Q102" s="126"/>
      <c r="R102" s="126"/>
      <c r="S102" s="14">
        <f t="shared" si="20"/>
        <v>0</v>
      </c>
      <c r="T102" s="15"/>
      <c r="U102" s="15"/>
      <c r="V102" s="14">
        <f>SUM(T102:U102)</f>
        <v>0</v>
      </c>
      <c r="W102" s="114" t="e">
        <f t="shared" si="21"/>
        <v>#DIV/0!</v>
      </c>
      <c r="X102" s="80" t="s">
        <v>37</v>
      </c>
    </row>
    <row r="103" spans="1:24" s="6" customFormat="1" ht="35.25" customHeight="1" hidden="1">
      <c r="A103" s="53"/>
      <c r="B103" s="174" t="s">
        <v>411</v>
      </c>
      <c r="C103" s="173"/>
      <c r="D103" s="175"/>
      <c r="E103" s="14">
        <f t="shared" si="11"/>
        <v>0</v>
      </c>
      <c r="F103" s="173"/>
      <c r="G103" s="175"/>
      <c r="H103" s="14">
        <f t="shared" si="12"/>
        <v>0</v>
      </c>
      <c r="I103" s="114" t="e">
        <f t="shared" si="17"/>
        <v>#DIV/0!</v>
      </c>
      <c r="J103" s="173"/>
      <c r="K103" s="175"/>
      <c r="L103" s="14">
        <f t="shared" si="13"/>
        <v>0</v>
      </c>
      <c r="M103" s="173"/>
      <c r="N103" s="175"/>
      <c r="O103" s="14">
        <f t="shared" si="14"/>
        <v>0</v>
      </c>
      <c r="P103" s="114" t="e">
        <f t="shared" si="18"/>
        <v>#DIV/0!</v>
      </c>
      <c r="Q103" s="173">
        <v>21159</v>
      </c>
      <c r="R103" s="175"/>
      <c r="S103" s="14">
        <f t="shared" si="20"/>
        <v>21159</v>
      </c>
      <c r="T103" s="15"/>
      <c r="U103" s="15"/>
      <c r="V103" s="14"/>
      <c r="W103" s="114">
        <f t="shared" si="21"/>
        <v>0</v>
      </c>
      <c r="X103" s="80" t="s">
        <v>412</v>
      </c>
    </row>
    <row r="104" spans="1:24" s="6" customFormat="1" ht="45.75" customHeight="1" hidden="1">
      <c r="A104" s="53"/>
      <c r="B104" s="12" t="s">
        <v>385</v>
      </c>
      <c r="C104" s="126"/>
      <c r="D104" s="126"/>
      <c r="E104" s="14">
        <f t="shared" si="11"/>
        <v>0</v>
      </c>
      <c r="F104" s="126"/>
      <c r="G104" s="126"/>
      <c r="H104" s="14">
        <f t="shared" si="12"/>
        <v>0</v>
      </c>
      <c r="I104" s="114" t="e">
        <f t="shared" si="17"/>
        <v>#DIV/0!</v>
      </c>
      <c r="J104" s="126"/>
      <c r="K104" s="126"/>
      <c r="L104" s="14">
        <f t="shared" si="13"/>
        <v>0</v>
      </c>
      <c r="M104" s="126"/>
      <c r="N104" s="126"/>
      <c r="O104" s="14">
        <f t="shared" si="14"/>
        <v>0</v>
      </c>
      <c r="P104" s="114" t="e">
        <f t="shared" si="18"/>
        <v>#DIV/0!</v>
      </c>
      <c r="Q104" s="126"/>
      <c r="R104" s="126"/>
      <c r="S104" s="14">
        <f t="shared" si="20"/>
        <v>0</v>
      </c>
      <c r="T104" s="15"/>
      <c r="U104" s="15"/>
      <c r="V104" s="14">
        <f aca="true" t="shared" si="22" ref="V104:V129">SUM(T104:U104)</f>
        <v>0</v>
      </c>
      <c r="W104" s="114" t="e">
        <f t="shared" si="21"/>
        <v>#DIV/0!</v>
      </c>
      <c r="X104" s="106" t="s">
        <v>94</v>
      </c>
    </row>
    <row r="105" spans="1:27" s="6" customFormat="1" ht="23.25" customHeight="1" hidden="1">
      <c r="A105" s="53"/>
      <c r="B105" s="33" t="s">
        <v>125</v>
      </c>
      <c r="C105" s="162"/>
      <c r="D105" s="162"/>
      <c r="E105" s="14">
        <f t="shared" si="11"/>
        <v>0</v>
      </c>
      <c r="F105" s="162"/>
      <c r="G105" s="162"/>
      <c r="H105" s="14">
        <f t="shared" si="12"/>
        <v>0</v>
      </c>
      <c r="I105" s="114" t="e">
        <f t="shared" si="17"/>
        <v>#DIV/0!</v>
      </c>
      <c r="J105" s="162"/>
      <c r="K105" s="162"/>
      <c r="L105" s="14">
        <f t="shared" si="13"/>
        <v>0</v>
      </c>
      <c r="M105" s="162"/>
      <c r="N105" s="162"/>
      <c r="O105" s="14">
        <f t="shared" si="14"/>
        <v>0</v>
      </c>
      <c r="P105" s="114" t="e">
        <f t="shared" si="18"/>
        <v>#DIV/0!</v>
      </c>
      <c r="Q105" s="162"/>
      <c r="R105" s="162"/>
      <c r="S105" s="14">
        <f t="shared" si="20"/>
        <v>0</v>
      </c>
      <c r="T105" s="30"/>
      <c r="U105" s="30"/>
      <c r="V105" s="14">
        <f t="shared" si="22"/>
        <v>0</v>
      </c>
      <c r="W105" s="114" t="e">
        <f t="shared" si="21"/>
        <v>#DIV/0!</v>
      </c>
      <c r="X105" s="130" t="s">
        <v>95</v>
      </c>
      <c r="Y105" s="106"/>
      <c r="Z105" s="106"/>
      <c r="AA105" s="106"/>
    </row>
    <row r="106" spans="1:27" s="6" customFormat="1" ht="24" customHeight="1" hidden="1">
      <c r="A106" s="53"/>
      <c r="B106" s="33" t="s">
        <v>124</v>
      </c>
      <c r="C106" s="162"/>
      <c r="D106" s="162"/>
      <c r="E106" s="14">
        <f t="shared" si="11"/>
        <v>0</v>
      </c>
      <c r="F106" s="162"/>
      <c r="G106" s="162"/>
      <c r="H106" s="14">
        <f t="shared" si="12"/>
        <v>0</v>
      </c>
      <c r="I106" s="114" t="e">
        <f t="shared" si="17"/>
        <v>#DIV/0!</v>
      </c>
      <c r="J106" s="162"/>
      <c r="K106" s="162"/>
      <c r="L106" s="14">
        <f t="shared" si="13"/>
        <v>0</v>
      </c>
      <c r="M106" s="162"/>
      <c r="N106" s="162"/>
      <c r="O106" s="14">
        <f t="shared" si="14"/>
        <v>0</v>
      </c>
      <c r="P106" s="114" t="e">
        <f t="shared" si="18"/>
        <v>#DIV/0!</v>
      </c>
      <c r="Q106" s="162"/>
      <c r="R106" s="162"/>
      <c r="S106" s="14">
        <f t="shared" si="20"/>
        <v>0</v>
      </c>
      <c r="T106" s="30"/>
      <c r="U106" s="30"/>
      <c r="V106" s="14">
        <f t="shared" si="22"/>
        <v>0</v>
      </c>
      <c r="W106" s="114" t="e">
        <f t="shared" si="21"/>
        <v>#DIV/0!</v>
      </c>
      <c r="X106" s="130" t="s">
        <v>136</v>
      </c>
      <c r="Y106" s="106"/>
      <c r="Z106" s="106"/>
      <c r="AA106" s="106"/>
    </row>
    <row r="107" spans="1:24" s="6" customFormat="1" ht="44.25" customHeight="1" hidden="1">
      <c r="A107" s="53"/>
      <c r="B107" s="33" t="s">
        <v>319</v>
      </c>
      <c r="C107" s="162"/>
      <c r="D107" s="162"/>
      <c r="E107" s="14">
        <f t="shared" si="11"/>
        <v>0</v>
      </c>
      <c r="F107" s="162"/>
      <c r="G107" s="162"/>
      <c r="H107" s="14">
        <f t="shared" si="12"/>
        <v>0</v>
      </c>
      <c r="I107" s="114" t="e">
        <f t="shared" si="17"/>
        <v>#DIV/0!</v>
      </c>
      <c r="J107" s="162"/>
      <c r="K107" s="162"/>
      <c r="L107" s="14">
        <f t="shared" si="13"/>
        <v>0</v>
      </c>
      <c r="M107" s="162"/>
      <c r="N107" s="162"/>
      <c r="O107" s="14">
        <f t="shared" si="14"/>
        <v>0</v>
      </c>
      <c r="P107" s="114" t="e">
        <f t="shared" si="18"/>
        <v>#DIV/0!</v>
      </c>
      <c r="Q107" s="162"/>
      <c r="R107" s="162"/>
      <c r="S107" s="14">
        <f t="shared" si="20"/>
        <v>0</v>
      </c>
      <c r="T107" s="30"/>
      <c r="U107" s="30"/>
      <c r="V107" s="14">
        <f t="shared" si="22"/>
        <v>0</v>
      </c>
      <c r="W107" s="114" t="e">
        <f t="shared" si="21"/>
        <v>#DIV/0!</v>
      </c>
      <c r="X107" s="80" t="s">
        <v>39</v>
      </c>
    </row>
    <row r="108" spans="1:24" s="6" customFormat="1" ht="34.5" customHeight="1" hidden="1">
      <c r="A108" s="53"/>
      <c r="B108" s="12" t="s">
        <v>320</v>
      </c>
      <c r="C108" s="162"/>
      <c r="D108" s="162"/>
      <c r="E108" s="14">
        <f t="shared" si="11"/>
        <v>0</v>
      </c>
      <c r="F108" s="162"/>
      <c r="G108" s="162"/>
      <c r="H108" s="14">
        <f t="shared" si="12"/>
        <v>0</v>
      </c>
      <c r="I108" s="114" t="e">
        <f t="shared" si="17"/>
        <v>#DIV/0!</v>
      </c>
      <c r="J108" s="162"/>
      <c r="K108" s="162"/>
      <c r="L108" s="14">
        <f t="shared" si="13"/>
        <v>0</v>
      </c>
      <c r="M108" s="162"/>
      <c r="N108" s="162"/>
      <c r="O108" s="14">
        <f t="shared" si="14"/>
        <v>0</v>
      </c>
      <c r="P108" s="114" t="e">
        <f t="shared" si="18"/>
        <v>#DIV/0!</v>
      </c>
      <c r="Q108" s="162"/>
      <c r="R108" s="162"/>
      <c r="S108" s="14">
        <f t="shared" si="20"/>
        <v>0</v>
      </c>
      <c r="T108" s="30"/>
      <c r="U108" s="30"/>
      <c r="V108" s="14">
        <f t="shared" si="22"/>
        <v>0</v>
      </c>
      <c r="W108" s="114" t="e">
        <f t="shared" si="21"/>
        <v>#DIV/0!</v>
      </c>
      <c r="X108" s="88" t="s">
        <v>38</v>
      </c>
    </row>
    <row r="109" spans="1:24" s="6" customFormat="1" ht="22.5" hidden="1">
      <c r="A109" s="53"/>
      <c r="B109" s="12" t="s">
        <v>341</v>
      </c>
      <c r="C109" s="162"/>
      <c r="D109" s="162"/>
      <c r="E109" s="14">
        <f t="shared" si="11"/>
        <v>0</v>
      </c>
      <c r="F109" s="162"/>
      <c r="G109" s="162"/>
      <c r="H109" s="14">
        <f t="shared" si="12"/>
        <v>0</v>
      </c>
      <c r="I109" s="114" t="e">
        <f t="shared" si="17"/>
        <v>#DIV/0!</v>
      </c>
      <c r="J109" s="162"/>
      <c r="K109" s="162"/>
      <c r="L109" s="14">
        <f t="shared" si="13"/>
        <v>0</v>
      </c>
      <c r="M109" s="162"/>
      <c r="N109" s="162"/>
      <c r="O109" s="14">
        <f t="shared" si="14"/>
        <v>0</v>
      </c>
      <c r="P109" s="114" t="e">
        <f t="shared" si="18"/>
        <v>#DIV/0!</v>
      </c>
      <c r="Q109" s="162"/>
      <c r="R109" s="162"/>
      <c r="S109" s="14">
        <f t="shared" si="20"/>
        <v>0</v>
      </c>
      <c r="T109" s="30"/>
      <c r="U109" s="30"/>
      <c r="V109" s="14">
        <f t="shared" si="22"/>
        <v>0</v>
      </c>
      <c r="W109" s="114" t="e">
        <f t="shared" si="21"/>
        <v>#DIV/0!</v>
      </c>
      <c r="X109" s="80" t="s">
        <v>40</v>
      </c>
    </row>
    <row r="110" spans="1:24" s="6" customFormat="1" ht="22.5" hidden="1">
      <c r="A110" s="53"/>
      <c r="B110" s="12" t="s">
        <v>342</v>
      </c>
      <c r="C110" s="162"/>
      <c r="D110" s="162"/>
      <c r="E110" s="14">
        <f t="shared" si="11"/>
        <v>0</v>
      </c>
      <c r="F110" s="162"/>
      <c r="G110" s="162"/>
      <c r="H110" s="14">
        <f t="shared" si="12"/>
        <v>0</v>
      </c>
      <c r="I110" s="114" t="e">
        <f t="shared" si="17"/>
        <v>#DIV/0!</v>
      </c>
      <c r="J110" s="162"/>
      <c r="K110" s="162"/>
      <c r="L110" s="14">
        <f t="shared" si="13"/>
        <v>0</v>
      </c>
      <c r="M110" s="162"/>
      <c r="N110" s="162"/>
      <c r="O110" s="14">
        <f t="shared" si="14"/>
        <v>0</v>
      </c>
      <c r="P110" s="114" t="e">
        <f t="shared" si="18"/>
        <v>#DIV/0!</v>
      </c>
      <c r="Q110" s="162"/>
      <c r="R110" s="162"/>
      <c r="S110" s="14">
        <f t="shared" si="20"/>
        <v>0</v>
      </c>
      <c r="T110" s="30"/>
      <c r="U110" s="30"/>
      <c r="V110" s="14">
        <f t="shared" si="22"/>
        <v>0</v>
      </c>
      <c r="W110" s="114" t="e">
        <f t="shared" si="21"/>
        <v>#DIV/0!</v>
      </c>
      <c r="X110" s="80" t="s">
        <v>41</v>
      </c>
    </row>
    <row r="111" spans="1:24" s="6" customFormat="1" ht="45" hidden="1">
      <c r="A111" s="53"/>
      <c r="B111" s="12" t="s">
        <v>326</v>
      </c>
      <c r="C111" s="162"/>
      <c r="D111" s="162"/>
      <c r="E111" s="14">
        <f t="shared" si="11"/>
        <v>0</v>
      </c>
      <c r="F111" s="162"/>
      <c r="G111" s="162"/>
      <c r="H111" s="14">
        <f t="shared" si="12"/>
        <v>0</v>
      </c>
      <c r="I111" s="114" t="e">
        <f t="shared" si="17"/>
        <v>#DIV/0!</v>
      </c>
      <c r="J111" s="162"/>
      <c r="K111" s="162"/>
      <c r="L111" s="14">
        <f t="shared" si="13"/>
        <v>0</v>
      </c>
      <c r="M111" s="162"/>
      <c r="N111" s="162"/>
      <c r="O111" s="14">
        <f t="shared" si="14"/>
        <v>0</v>
      </c>
      <c r="P111" s="114" t="e">
        <f t="shared" si="18"/>
        <v>#DIV/0!</v>
      </c>
      <c r="Q111" s="162"/>
      <c r="R111" s="162"/>
      <c r="S111" s="14">
        <f t="shared" si="20"/>
        <v>0</v>
      </c>
      <c r="T111" s="30"/>
      <c r="U111" s="30"/>
      <c r="V111" s="14">
        <f t="shared" si="22"/>
        <v>0</v>
      </c>
      <c r="W111" s="114" t="e">
        <f t="shared" si="21"/>
        <v>#DIV/0!</v>
      </c>
      <c r="X111" s="80" t="s">
        <v>42</v>
      </c>
    </row>
    <row r="112" spans="1:24" s="6" customFormat="1" ht="22.5" customHeight="1" hidden="1">
      <c r="A112" s="53"/>
      <c r="B112" s="12" t="s">
        <v>138</v>
      </c>
      <c r="C112" s="162"/>
      <c r="D112" s="162"/>
      <c r="E112" s="14">
        <f t="shared" si="11"/>
        <v>0</v>
      </c>
      <c r="F112" s="162"/>
      <c r="G112" s="162"/>
      <c r="H112" s="14">
        <f t="shared" si="12"/>
        <v>0</v>
      </c>
      <c r="I112" s="114" t="e">
        <f t="shared" si="17"/>
        <v>#DIV/0!</v>
      </c>
      <c r="J112" s="162"/>
      <c r="K112" s="162"/>
      <c r="L112" s="14">
        <f t="shared" si="13"/>
        <v>0</v>
      </c>
      <c r="M112" s="162"/>
      <c r="N112" s="162"/>
      <c r="O112" s="14">
        <f t="shared" si="14"/>
        <v>0</v>
      </c>
      <c r="P112" s="114" t="e">
        <f t="shared" si="18"/>
        <v>#DIV/0!</v>
      </c>
      <c r="Q112" s="162"/>
      <c r="R112" s="162"/>
      <c r="S112" s="14">
        <f t="shared" si="20"/>
        <v>0</v>
      </c>
      <c r="T112" s="30"/>
      <c r="U112" s="30"/>
      <c r="V112" s="14">
        <f t="shared" si="22"/>
        <v>0</v>
      </c>
      <c r="W112" s="114" t="e">
        <f t="shared" si="21"/>
        <v>#DIV/0!</v>
      </c>
      <c r="X112" s="80" t="s">
        <v>139</v>
      </c>
    </row>
    <row r="113" spans="1:27" s="6" customFormat="1" ht="21" customHeight="1" hidden="1">
      <c r="A113" s="53"/>
      <c r="B113" s="33" t="s">
        <v>336</v>
      </c>
      <c r="C113" s="162"/>
      <c r="D113" s="162"/>
      <c r="E113" s="14">
        <f t="shared" si="11"/>
        <v>0</v>
      </c>
      <c r="F113" s="162"/>
      <c r="G113" s="162"/>
      <c r="H113" s="14">
        <f t="shared" si="12"/>
        <v>0</v>
      </c>
      <c r="I113" s="114" t="e">
        <f t="shared" si="17"/>
        <v>#DIV/0!</v>
      </c>
      <c r="J113" s="162"/>
      <c r="K113" s="162"/>
      <c r="L113" s="14">
        <f t="shared" si="13"/>
        <v>0</v>
      </c>
      <c r="M113" s="162"/>
      <c r="N113" s="162"/>
      <c r="O113" s="14">
        <f t="shared" si="14"/>
        <v>0</v>
      </c>
      <c r="P113" s="114" t="e">
        <f t="shared" si="18"/>
        <v>#DIV/0!</v>
      </c>
      <c r="Q113" s="162"/>
      <c r="R113" s="162"/>
      <c r="S113" s="14">
        <f t="shared" si="20"/>
        <v>0</v>
      </c>
      <c r="T113" s="30"/>
      <c r="U113" s="30"/>
      <c r="V113" s="14">
        <f t="shared" si="22"/>
        <v>0</v>
      </c>
      <c r="W113" s="114" t="e">
        <f t="shared" si="21"/>
        <v>#DIV/0!</v>
      </c>
      <c r="X113" s="106" t="s">
        <v>121</v>
      </c>
      <c r="Y113" s="106"/>
      <c r="Z113" s="106"/>
      <c r="AA113" s="106"/>
    </row>
    <row r="114" spans="1:24" s="6" customFormat="1" ht="48.75" customHeight="1" hidden="1">
      <c r="A114" s="53"/>
      <c r="B114" s="33" t="s">
        <v>357</v>
      </c>
      <c r="C114" s="162"/>
      <c r="D114" s="162"/>
      <c r="E114" s="14">
        <f t="shared" si="11"/>
        <v>0</v>
      </c>
      <c r="F114" s="162"/>
      <c r="G114" s="162"/>
      <c r="H114" s="14">
        <f t="shared" si="12"/>
        <v>0</v>
      </c>
      <c r="I114" s="114" t="e">
        <f t="shared" si="17"/>
        <v>#DIV/0!</v>
      </c>
      <c r="J114" s="162"/>
      <c r="K114" s="162"/>
      <c r="L114" s="14">
        <f t="shared" si="13"/>
        <v>0</v>
      </c>
      <c r="M114" s="162"/>
      <c r="N114" s="162"/>
      <c r="O114" s="14">
        <f t="shared" si="14"/>
        <v>0</v>
      </c>
      <c r="P114" s="114" t="e">
        <f t="shared" si="18"/>
        <v>#DIV/0!</v>
      </c>
      <c r="Q114" s="162"/>
      <c r="R114" s="162"/>
      <c r="S114" s="14">
        <f t="shared" si="20"/>
        <v>0</v>
      </c>
      <c r="T114" s="30"/>
      <c r="U114" s="30"/>
      <c r="V114" s="14">
        <f t="shared" si="22"/>
        <v>0</v>
      </c>
      <c r="W114" s="114" t="e">
        <f t="shared" si="21"/>
        <v>#DIV/0!</v>
      </c>
      <c r="X114" s="71" t="s">
        <v>43</v>
      </c>
    </row>
    <row r="115" spans="1:27" s="6" customFormat="1" ht="11.25" hidden="1">
      <c r="A115" s="53"/>
      <c r="B115" s="33" t="s">
        <v>358</v>
      </c>
      <c r="C115" s="162"/>
      <c r="D115" s="162"/>
      <c r="E115" s="14">
        <f aca="true" t="shared" si="23" ref="E115:E179">SUM(C115:D115)</f>
        <v>0</v>
      </c>
      <c r="F115" s="162"/>
      <c r="G115" s="162"/>
      <c r="H115" s="14">
        <f aca="true" t="shared" si="24" ref="H115:H179">SUM(F115:G115)</f>
        <v>0</v>
      </c>
      <c r="I115" s="114" t="e">
        <f t="shared" si="17"/>
        <v>#DIV/0!</v>
      </c>
      <c r="J115" s="162"/>
      <c r="K115" s="162"/>
      <c r="L115" s="14">
        <f aca="true" t="shared" si="25" ref="L115:L179">SUM(J115:K115)</f>
        <v>0</v>
      </c>
      <c r="M115" s="162"/>
      <c r="N115" s="162"/>
      <c r="O115" s="14">
        <f aca="true" t="shared" si="26" ref="O115:O179">SUM(M115:N115)</f>
        <v>0</v>
      </c>
      <c r="P115" s="114" t="e">
        <f t="shared" si="18"/>
        <v>#DIV/0!</v>
      </c>
      <c r="Q115" s="162"/>
      <c r="R115" s="162"/>
      <c r="S115" s="14">
        <f aca="true" t="shared" si="27" ref="S115:S147">SUM(Q115:R115)</f>
        <v>0</v>
      </c>
      <c r="T115" s="30"/>
      <c r="U115" s="30"/>
      <c r="V115" s="14">
        <f t="shared" si="22"/>
        <v>0</v>
      </c>
      <c r="W115" s="114" t="e">
        <f t="shared" si="21"/>
        <v>#DIV/0!</v>
      </c>
      <c r="X115" s="106"/>
      <c r="Y115" s="106"/>
      <c r="Z115" s="106"/>
      <c r="AA115" s="106"/>
    </row>
    <row r="116" spans="1:24" s="6" customFormat="1" ht="33.75" hidden="1">
      <c r="A116" s="53"/>
      <c r="B116" s="12" t="s">
        <v>339</v>
      </c>
      <c r="C116" s="30">
        <v>1905</v>
      </c>
      <c r="D116" s="162"/>
      <c r="E116" s="14">
        <f t="shared" si="23"/>
        <v>1905</v>
      </c>
      <c r="F116" s="162"/>
      <c r="G116" s="162"/>
      <c r="H116" s="14">
        <f t="shared" si="24"/>
        <v>0</v>
      </c>
      <c r="I116" s="114" t="e">
        <f t="shared" si="17"/>
        <v>#DIV/0!</v>
      </c>
      <c r="J116" s="162"/>
      <c r="K116" s="162"/>
      <c r="L116" s="14">
        <f t="shared" si="25"/>
        <v>0</v>
      </c>
      <c r="M116" s="162"/>
      <c r="N116" s="162"/>
      <c r="O116" s="14">
        <f t="shared" si="26"/>
        <v>0</v>
      </c>
      <c r="P116" s="114" t="e">
        <f t="shared" si="18"/>
        <v>#DIV/0!</v>
      </c>
      <c r="Q116" s="162"/>
      <c r="R116" s="162"/>
      <c r="S116" s="14">
        <f t="shared" si="27"/>
        <v>0</v>
      </c>
      <c r="T116" s="15"/>
      <c r="U116" s="30"/>
      <c r="V116" s="14">
        <f t="shared" si="22"/>
        <v>0</v>
      </c>
      <c r="W116" s="114" t="e">
        <f t="shared" si="21"/>
        <v>#DIV/0!</v>
      </c>
      <c r="X116" s="71" t="s">
        <v>44</v>
      </c>
    </row>
    <row r="117" spans="1:24" s="6" customFormat="1" ht="33.75" customHeight="1" hidden="1">
      <c r="A117" s="53"/>
      <c r="B117" s="33" t="s">
        <v>365</v>
      </c>
      <c r="C117" s="126"/>
      <c r="D117" s="126"/>
      <c r="E117" s="14">
        <f t="shared" si="23"/>
        <v>0</v>
      </c>
      <c r="F117" s="126"/>
      <c r="G117" s="126"/>
      <c r="H117" s="14">
        <f t="shared" si="24"/>
        <v>0</v>
      </c>
      <c r="I117" s="114" t="e">
        <f t="shared" si="17"/>
        <v>#DIV/0!</v>
      </c>
      <c r="J117" s="126"/>
      <c r="K117" s="126"/>
      <c r="L117" s="14">
        <f t="shared" si="25"/>
        <v>0</v>
      </c>
      <c r="M117" s="126"/>
      <c r="N117" s="126"/>
      <c r="O117" s="14">
        <f t="shared" si="26"/>
        <v>0</v>
      </c>
      <c r="P117" s="114" t="e">
        <f t="shared" si="18"/>
        <v>#DIV/0!</v>
      </c>
      <c r="Q117" s="126"/>
      <c r="R117" s="126"/>
      <c r="S117" s="14">
        <f t="shared" si="27"/>
        <v>0</v>
      </c>
      <c r="T117" s="15"/>
      <c r="U117" s="15"/>
      <c r="V117" s="14">
        <f t="shared" si="22"/>
        <v>0</v>
      </c>
      <c r="W117" s="114" t="e">
        <f t="shared" si="21"/>
        <v>#DIV/0!</v>
      </c>
      <c r="X117" s="89" t="s">
        <v>155</v>
      </c>
    </row>
    <row r="118" spans="1:24" s="6" customFormat="1" ht="49.5" customHeight="1" hidden="1">
      <c r="A118" s="53"/>
      <c r="B118" s="33" t="s">
        <v>371</v>
      </c>
      <c r="C118" s="162"/>
      <c r="D118" s="162"/>
      <c r="E118" s="14">
        <f t="shared" si="23"/>
        <v>0</v>
      </c>
      <c r="F118" s="162"/>
      <c r="G118" s="162"/>
      <c r="H118" s="14">
        <f t="shared" si="24"/>
        <v>0</v>
      </c>
      <c r="I118" s="114" t="e">
        <f t="shared" si="17"/>
        <v>#DIV/0!</v>
      </c>
      <c r="J118" s="162"/>
      <c r="K118" s="162"/>
      <c r="L118" s="14">
        <f t="shared" si="25"/>
        <v>0</v>
      </c>
      <c r="M118" s="162"/>
      <c r="N118" s="162"/>
      <c r="O118" s="14">
        <f t="shared" si="26"/>
        <v>0</v>
      </c>
      <c r="P118" s="114" t="e">
        <f t="shared" si="18"/>
        <v>#DIV/0!</v>
      </c>
      <c r="Q118" s="162"/>
      <c r="R118" s="162"/>
      <c r="S118" s="14">
        <f t="shared" si="27"/>
        <v>0</v>
      </c>
      <c r="T118" s="30"/>
      <c r="U118" s="30"/>
      <c r="V118" s="14">
        <f t="shared" si="22"/>
        <v>0</v>
      </c>
      <c r="W118" s="114" t="e">
        <f t="shared" si="21"/>
        <v>#DIV/0!</v>
      </c>
      <c r="X118" s="77" t="s">
        <v>45</v>
      </c>
    </row>
    <row r="119" spans="1:24" s="6" customFormat="1" ht="36" customHeight="1" hidden="1">
      <c r="A119" s="53"/>
      <c r="B119" s="33" t="s">
        <v>386</v>
      </c>
      <c r="C119" s="162"/>
      <c r="D119" s="162"/>
      <c r="E119" s="14">
        <f t="shared" si="23"/>
        <v>0</v>
      </c>
      <c r="F119" s="162"/>
      <c r="G119" s="162"/>
      <c r="H119" s="14">
        <f t="shared" si="24"/>
        <v>0</v>
      </c>
      <c r="I119" s="114" t="e">
        <f t="shared" si="17"/>
        <v>#DIV/0!</v>
      </c>
      <c r="J119" s="162"/>
      <c r="K119" s="162"/>
      <c r="L119" s="14">
        <f t="shared" si="25"/>
        <v>0</v>
      </c>
      <c r="M119" s="162"/>
      <c r="N119" s="162"/>
      <c r="O119" s="14">
        <f t="shared" si="26"/>
        <v>0</v>
      </c>
      <c r="P119" s="114" t="e">
        <f t="shared" si="18"/>
        <v>#DIV/0!</v>
      </c>
      <c r="Q119" s="162"/>
      <c r="R119" s="162"/>
      <c r="S119" s="14">
        <f t="shared" si="27"/>
        <v>0</v>
      </c>
      <c r="T119" s="15"/>
      <c r="U119" s="30"/>
      <c r="V119" s="14">
        <f t="shared" si="22"/>
        <v>0</v>
      </c>
      <c r="W119" s="114" t="e">
        <f aca="true" t="shared" si="28" ref="W119:W152">V119/S119</f>
        <v>#DIV/0!</v>
      </c>
      <c r="X119" s="71" t="s">
        <v>46</v>
      </c>
    </row>
    <row r="120" spans="1:24" s="16" customFormat="1" ht="56.25" hidden="1">
      <c r="A120" s="52"/>
      <c r="B120" s="33" t="s">
        <v>366</v>
      </c>
      <c r="C120" s="126"/>
      <c r="D120" s="126"/>
      <c r="E120" s="14">
        <f t="shared" si="23"/>
        <v>0</v>
      </c>
      <c r="F120" s="126"/>
      <c r="G120" s="126"/>
      <c r="H120" s="14">
        <f t="shared" si="24"/>
        <v>0</v>
      </c>
      <c r="I120" s="114" t="e">
        <f t="shared" si="17"/>
        <v>#DIV/0!</v>
      </c>
      <c r="J120" s="126"/>
      <c r="K120" s="126"/>
      <c r="L120" s="14">
        <f t="shared" si="25"/>
        <v>0</v>
      </c>
      <c r="M120" s="126"/>
      <c r="N120" s="126"/>
      <c r="O120" s="14">
        <f t="shared" si="26"/>
        <v>0</v>
      </c>
      <c r="P120" s="114" t="e">
        <f t="shared" si="18"/>
        <v>#DIV/0!</v>
      </c>
      <c r="Q120" s="126"/>
      <c r="R120" s="126"/>
      <c r="S120" s="14">
        <f t="shared" si="27"/>
        <v>0</v>
      </c>
      <c r="T120" s="15"/>
      <c r="U120" s="15"/>
      <c r="V120" s="14">
        <f t="shared" si="22"/>
        <v>0</v>
      </c>
      <c r="W120" s="114" t="e">
        <f t="shared" si="28"/>
        <v>#DIV/0!</v>
      </c>
      <c r="X120" s="89" t="s">
        <v>45</v>
      </c>
    </row>
    <row r="121" spans="1:24" s="16" customFormat="1" ht="39.75" customHeight="1" hidden="1">
      <c r="A121" s="52"/>
      <c r="B121" s="33" t="s">
        <v>133</v>
      </c>
      <c r="C121" s="126"/>
      <c r="D121" s="126"/>
      <c r="E121" s="14">
        <f t="shared" si="23"/>
        <v>0</v>
      </c>
      <c r="F121" s="126"/>
      <c r="G121" s="126"/>
      <c r="H121" s="14">
        <f t="shared" si="24"/>
        <v>0</v>
      </c>
      <c r="I121" s="114" t="e">
        <f t="shared" si="17"/>
        <v>#DIV/0!</v>
      </c>
      <c r="J121" s="126"/>
      <c r="K121" s="126"/>
      <c r="L121" s="14">
        <f t="shared" si="25"/>
        <v>0</v>
      </c>
      <c r="M121" s="126"/>
      <c r="N121" s="126"/>
      <c r="O121" s="14">
        <f t="shared" si="26"/>
        <v>0</v>
      </c>
      <c r="P121" s="114" t="e">
        <f t="shared" si="18"/>
        <v>#DIV/0!</v>
      </c>
      <c r="Q121" s="126"/>
      <c r="R121" s="126"/>
      <c r="S121" s="14">
        <f t="shared" si="27"/>
        <v>0</v>
      </c>
      <c r="T121" s="15"/>
      <c r="U121" s="15"/>
      <c r="V121" s="14">
        <f t="shared" si="22"/>
        <v>0</v>
      </c>
      <c r="W121" s="114" t="e">
        <f t="shared" si="28"/>
        <v>#DIV/0!</v>
      </c>
      <c r="X121" s="89" t="s">
        <v>134</v>
      </c>
    </row>
    <row r="122" spans="1:24" s="16" customFormat="1" ht="28.5" customHeight="1" hidden="1">
      <c r="A122" s="52"/>
      <c r="B122" s="33" t="s">
        <v>167</v>
      </c>
      <c r="C122" s="126"/>
      <c r="D122" s="126"/>
      <c r="E122" s="14">
        <f t="shared" si="23"/>
        <v>0</v>
      </c>
      <c r="F122" s="126"/>
      <c r="G122" s="126"/>
      <c r="H122" s="14">
        <f t="shared" si="24"/>
        <v>0</v>
      </c>
      <c r="I122" s="114" t="e">
        <f t="shared" si="17"/>
        <v>#DIV/0!</v>
      </c>
      <c r="J122" s="126"/>
      <c r="K122" s="126"/>
      <c r="L122" s="14">
        <f t="shared" si="25"/>
        <v>0</v>
      </c>
      <c r="M122" s="126"/>
      <c r="N122" s="126"/>
      <c r="O122" s="14">
        <f t="shared" si="26"/>
        <v>0</v>
      </c>
      <c r="P122" s="114" t="e">
        <f t="shared" si="18"/>
        <v>#DIV/0!</v>
      </c>
      <c r="Q122" s="126"/>
      <c r="R122" s="126"/>
      <c r="S122" s="14">
        <f t="shared" si="27"/>
        <v>0</v>
      </c>
      <c r="T122" s="15"/>
      <c r="U122" s="15"/>
      <c r="V122" s="14">
        <f t="shared" si="22"/>
        <v>0</v>
      </c>
      <c r="W122" s="114" t="e">
        <f t="shared" si="28"/>
        <v>#DIV/0!</v>
      </c>
      <c r="X122" s="89" t="s">
        <v>166</v>
      </c>
    </row>
    <row r="123" spans="1:24" s="16" customFormat="1" ht="34.5" customHeight="1" hidden="1">
      <c r="A123" s="52"/>
      <c r="B123" s="33" t="s">
        <v>174</v>
      </c>
      <c r="C123" s="126"/>
      <c r="D123" s="126"/>
      <c r="E123" s="14">
        <f t="shared" si="23"/>
        <v>0</v>
      </c>
      <c r="F123" s="126"/>
      <c r="G123" s="126"/>
      <c r="H123" s="14">
        <f t="shared" si="24"/>
        <v>0</v>
      </c>
      <c r="I123" s="114" t="e">
        <f t="shared" si="17"/>
        <v>#DIV/0!</v>
      </c>
      <c r="J123" s="126"/>
      <c r="K123" s="126"/>
      <c r="L123" s="14">
        <f t="shared" si="25"/>
        <v>0</v>
      </c>
      <c r="M123" s="126"/>
      <c r="N123" s="126"/>
      <c r="O123" s="14">
        <f t="shared" si="26"/>
        <v>0</v>
      </c>
      <c r="P123" s="114" t="e">
        <f t="shared" si="18"/>
        <v>#DIV/0!</v>
      </c>
      <c r="Q123" s="126"/>
      <c r="R123" s="126"/>
      <c r="S123" s="14">
        <f t="shared" si="27"/>
        <v>0</v>
      </c>
      <c r="T123" s="15"/>
      <c r="U123" s="15"/>
      <c r="V123" s="14">
        <f t="shared" si="22"/>
        <v>0</v>
      </c>
      <c r="W123" s="114" t="e">
        <f t="shared" si="28"/>
        <v>#DIV/0!</v>
      </c>
      <c r="X123" s="140" t="s">
        <v>178</v>
      </c>
    </row>
    <row r="124" spans="1:24" s="16" customFormat="1" ht="14.25" customHeight="1" hidden="1">
      <c r="A124" s="52"/>
      <c r="B124" s="12" t="s">
        <v>354</v>
      </c>
      <c r="C124" s="15">
        <v>691627</v>
      </c>
      <c r="D124" s="126"/>
      <c r="E124" s="14">
        <f t="shared" si="23"/>
        <v>691627</v>
      </c>
      <c r="F124" s="126"/>
      <c r="G124" s="126"/>
      <c r="H124" s="14">
        <f t="shared" si="24"/>
        <v>0</v>
      </c>
      <c r="I124" s="114" t="e">
        <f t="shared" si="17"/>
        <v>#DIV/0!</v>
      </c>
      <c r="J124" s="126"/>
      <c r="K124" s="126"/>
      <c r="L124" s="14">
        <f t="shared" si="25"/>
        <v>0</v>
      </c>
      <c r="M124" s="126"/>
      <c r="N124" s="126"/>
      <c r="O124" s="14">
        <f t="shared" si="26"/>
        <v>0</v>
      </c>
      <c r="P124" s="114" t="e">
        <f t="shared" si="18"/>
        <v>#DIV/0!</v>
      </c>
      <c r="Q124" s="126"/>
      <c r="R124" s="126"/>
      <c r="S124" s="14">
        <f t="shared" si="27"/>
        <v>0</v>
      </c>
      <c r="T124" s="15"/>
      <c r="U124" s="15"/>
      <c r="V124" s="14">
        <f t="shared" si="22"/>
        <v>0</v>
      </c>
      <c r="W124" s="114" t="e">
        <f t="shared" si="28"/>
        <v>#DIV/0!</v>
      </c>
      <c r="X124" s="16" t="s">
        <v>114</v>
      </c>
    </row>
    <row r="125" spans="1:25" s="11" customFormat="1" ht="25.5" customHeight="1">
      <c r="A125" s="24">
        <v>7</v>
      </c>
      <c r="B125" s="26" t="s">
        <v>269</v>
      </c>
      <c r="C125" s="27">
        <f>SUM(C126:C155)</f>
        <v>84766</v>
      </c>
      <c r="D125" s="27">
        <f>SUM(D126:D155)</f>
        <v>26831265</v>
      </c>
      <c r="E125" s="27">
        <f t="shared" si="23"/>
        <v>26916031</v>
      </c>
      <c r="F125" s="27">
        <f>SUM(F126:F155)</f>
        <v>3402088</v>
      </c>
      <c r="G125" s="27">
        <f>SUM(G126:G155)</f>
        <v>150450133</v>
      </c>
      <c r="H125" s="27">
        <f t="shared" si="24"/>
        <v>153852221</v>
      </c>
      <c r="I125" s="114">
        <f t="shared" si="17"/>
        <v>0.17494730219071716</v>
      </c>
      <c r="J125" s="27">
        <f>SUM(J126:J152)</f>
        <v>17988</v>
      </c>
      <c r="K125" s="27">
        <f>SUM(K126:K152)</f>
        <v>11607618</v>
      </c>
      <c r="L125" s="27">
        <f t="shared" si="25"/>
        <v>11625606</v>
      </c>
      <c r="M125" s="27">
        <f>SUM(M126:M155)</f>
        <v>6082527</v>
      </c>
      <c r="N125" s="27">
        <f>SUM(N126:N155)</f>
        <v>55167459</v>
      </c>
      <c r="O125" s="27">
        <f t="shared" si="26"/>
        <v>61249986</v>
      </c>
      <c r="P125" s="114">
        <f t="shared" si="18"/>
        <v>0.18980585562909352</v>
      </c>
      <c r="Q125" s="27">
        <f>SUM(Q126:Q155)</f>
        <v>5225422</v>
      </c>
      <c r="R125" s="27">
        <f>SUM(R126:R155)</f>
        <v>11381868</v>
      </c>
      <c r="S125" s="27">
        <f t="shared" si="27"/>
        <v>16607290</v>
      </c>
      <c r="T125" s="27">
        <f>SUM(T126:T155)</f>
        <v>230294.53</v>
      </c>
      <c r="U125" s="27">
        <f>SUM(U126:U155)</f>
        <v>843757.5299999999</v>
      </c>
      <c r="V125" s="27">
        <f t="shared" si="22"/>
        <v>1074052.0599999998</v>
      </c>
      <c r="W125" s="114">
        <f t="shared" si="28"/>
        <v>0.0646735295162546</v>
      </c>
      <c r="X125" s="115"/>
      <c r="Y125" s="113" t="s">
        <v>143</v>
      </c>
    </row>
    <row r="126" spans="1:25" s="2" customFormat="1" ht="11.25" customHeight="1">
      <c r="A126" s="53"/>
      <c r="B126" s="28" t="s">
        <v>270</v>
      </c>
      <c r="C126" s="126"/>
      <c r="D126" s="15">
        <v>141551</v>
      </c>
      <c r="E126" s="14">
        <f t="shared" si="23"/>
        <v>141551</v>
      </c>
      <c r="F126" s="126"/>
      <c r="G126" s="15">
        <v>19453671</v>
      </c>
      <c r="H126" s="14">
        <f t="shared" si="24"/>
        <v>19453671</v>
      </c>
      <c r="I126" s="114">
        <f t="shared" si="17"/>
        <v>0.007276313041379183</v>
      </c>
      <c r="J126" s="126"/>
      <c r="K126" s="15">
        <v>11607130</v>
      </c>
      <c r="L126" s="14">
        <f t="shared" si="25"/>
        <v>11607130</v>
      </c>
      <c r="M126" s="126"/>
      <c r="N126" s="15">
        <v>12787034</v>
      </c>
      <c r="O126" s="14">
        <f t="shared" si="26"/>
        <v>12787034</v>
      </c>
      <c r="P126" s="114">
        <f t="shared" si="18"/>
        <v>0.9077265298582924</v>
      </c>
      <c r="Q126" s="126"/>
      <c r="R126" s="15">
        <v>2740426</v>
      </c>
      <c r="S126" s="14">
        <f t="shared" si="27"/>
        <v>2740426</v>
      </c>
      <c r="T126" s="15"/>
      <c r="U126" s="15">
        <v>815015.58</v>
      </c>
      <c r="V126" s="14">
        <f t="shared" si="22"/>
        <v>815015.58</v>
      </c>
      <c r="W126" s="114">
        <f t="shared" si="28"/>
        <v>0.29740470277248865</v>
      </c>
      <c r="X126" s="84" t="s">
        <v>47</v>
      </c>
      <c r="Y126" s="115"/>
    </row>
    <row r="127" spans="1:25" s="2" customFormat="1" ht="13.5" customHeight="1">
      <c r="A127" s="53"/>
      <c r="B127" s="28" t="s">
        <v>122</v>
      </c>
      <c r="C127" s="126"/>
      <c r="D127" s="15">
        <v>26685383</v>
      </c>
      <c r="E127" s="14">
        <f t="shared" si="23"/>
        <v>26685383</v>
      </c>
      <c r="F127" s="126"/>
      <c r="G127" s="15">
        <v>123151386</v>
      </c>
      <c r="H127" s="14">
        <f t="shared" si="24"/>
        <v>123151386</v>
      </c>
      <c r="I127" s="114">
        <f t="shared" si="17"/>
        <v>0.21668763841602237</v>
      </c>
      <c r="J127" s="126"/>
      <c r="K127" s="15"/>
      <c r="L127" s="14">
        <f t="shared" si="25"/>
        <v>0</v>
      </c>
      <c r="M127" s="126"/>
      <c r="N127" s="15">
        <v>38756122</v>
      </c>
      <c r="O127" s="14">
        <f t="shared" si="26"/>
        <v>38756122</v>
      </c>
      <c r="P127" s="114">
        <f t="shared" si="18"/>
        <v>0</v>
      </c>
      <c r="Q127" s="126"/>
      <c r="R127" s="15">
        <v>8493045</v>
      </c>
      <c r="S127" s="14">
        <f t="shared" si="27"/>
        <v>8493045</v>
      </c>
      <c r="T127" s="15"/>
      <c r="U127" s="15"/>
      <c r="V127" s="14">
        <f t="shared" si="22"/>
        <v>0</v>
      </c>
      <c r="W127" s="114">
        <f t="shared" si="28"/>
        <v>0</v>
      </c>
      <c r="X127" s="81" t="s">
        <v>47</v>
      </c>
      <c r="Y127" s="2" t="s">
        <v>144</v>
      </c>
    </row>
    <row r="128" spans="1:24" s="2" customFormat="1" ht="21" customHeight="1">
      <c r="A128" s="53"/>
      <c r="B128" s="28" t="s">
        <v>355</v>
      </c>
      <c r="C128" s="126"/>
      <c r="D128" s="126"/>
      <c r="E128" s="14">
        <f t="shared" si="23"/>
        <v>0</v>
      </c>
      <c r="F128" s="126"/>
      <c r="G128" s="15">
        <v>7315218</v>
      </c>
      <c r="H128" s="14">
        <f t="shared" si="24"/>
        <v>7315218</v>
      </c>
      <c r="I128" s="114">
        <f t="shared" si="17"/>
        <v>0</v>
      </c>
      <c r="J128" s="126"/>
      <c r="K128" s="126"/>
      <c r="L128" s="14">
        <f t="shared" si="25"/>
        <v>0</v>
      </c>
      <c r="M128" s="126"/>
      <c r="N128" s="15">
        <v>3485191</v>
      </c>
      <c r="O128" s="14">
        <f t="shared" si="26"/>
        <v>3485191</v>
      </c>
      <c r="P128" s="114">
        <f t="shared" si="18"/>
        <v>0</v>
      </c>
      <c r="Q128" s="126"/>
      <c r="R128" s="126"/>
      <c r="S128" s="14">
        <f t="shared" si="27"/>
        <v>0</v>
      </c>
      <c r="T128" s="15"/>
      <c r="U128" s="15"/>
      <c r="V128" s="14">
        <f t="shared" si="22"/>
        <v>0</v>
      </c>
      <c r="W128" s="114"/>
      <c r="X128" s="81" t="s">
        <v>48</v>
      </c>
    </row>
    <row r="129" spans="1:24" s="2" customFormat="1" ht="22.5" customHeight="1">
      <c r="A129" s="53"/>
      <c r="B129" s="12" t="s">
        <v>413</v>
      </c>
      <c r="C129" s="15"/>
      <c r="D129" s="126"/>
      <c r="E129" s="14">
        <f t="shared" si="23"/>
        <v>0</v>
      </c>
      <c r="F129" s="15"/>
      <c r="G129" s="126"/>
      <c r="H129" s="14">
        <f t="shared" si="24"/>
        <v>0</v>
      </c>
      <c r="I129" s="114" t="e">
        <f t="shared" si="17"/>
        <v>#DIV/0!</v>
      </c>
      <c r="J129" s="173"/>
      <c r="K129" s="126"/>
      <c r="L129" s="14">
        <f t="shared" si="25"/>
        <v>0</v>
      </c>
      <c r="M129" s="173"/>
      <c r="N129" s="126"/>
      <c r="O129" s="14">
        <f t="shared" si="26"/>
        <v>0</v>
      </c>
      <c r="P129" s="114"/>
      <c r="Q129" s="173">
        <v>898702</v>
      </c>
      <c r="R129" s="126"/>
      <c r="S129" s="14">
        <f t="shared" si="27"/>
        <v>898702</v>
      </c>
      <c r="T129" s="15"/>
      <c r="U129" s="15"/>
      <c r="V129" s="14">
        <f t="shared" si="22"/>
        <v>0</v>
      </c>
      <c r="W129" s="114">
        <f t="shared" si="28"/>
        <v>0</v>
      </c>
      <c r="X129" s="80" t="s">
        <v>417</v>
      </c>
    </row>
    <row r="130" spans="1:24" s="2" customFormat="1" ht="23.25" customHeight="1">
      <c r="A130" s="53"/>
      <c r="B130" s="172" t="s">
        <v>370</v>
      </c>
      <c r="C130" s="175"/>
      <c r="D130" s="175"/>
      <c r="E130" s="182">
        <f t="shared" si="23"/>
        <v>0</v>
      </c>
      <c r="F130" s="173">
        <v>483060</v>
      </c>
      <c r="G130" s="126"/>
      <c r="H130" s="14">
        <f t="shared" si="24"/>
        <v>483060</v>
      </c>
      <c r="I130" s="114">
        <f t="shared" si="17"/>
        <v>0</v>
      </c>
      <c r="J130" s="126"/>
      <c r="K130" s="126"/>
      <c r="L130" s="14">
        <f t="shared" si="25"/>
        <v>0</v>
      </c>
      <c r="M130" s="126"/>
      <c r="N130" s="126"/>
      <c r="O130" s="14">
        <f t="shared" si="26"/>
        <v>0</v>
      </c>
      <c r="P130" s="114"/>
      <c r="Q130" s="126"/>
      <c r="R130" s="126"/>
      <c r="S130" s="14">
        <f t="shared" si="27"/>
        <v>0</v>
      </c>
      <c r="T130" s="15"/>
      <c r="U130" s="15"/>
      <c r="V130" s="14">
        <f aca="true" t="shared" si="29" ref="V130:V171">SUM(T130:U130)</f>
        <v>0</v>
      </c>
      <c r="W130" s="114"/>
      <c r="X130" s="81" t="s">
        <v>49</v>
      </c>
    </row>
    <row r="131" spans="1:24" s="2" customFormat="1" ht="33.75" hidden="1">
      <c r="A131" s="53"/>
      <c r="B131" s="28" t="s">
        <v>272</v>
      </c>
      <c r="C131" s="126"/>
      <c r="D131" s="126"/>
      <c r="E131" s="14">
        <f t="shared" si="23"/>
        <v>0</v>
      </c>
      <c r="F131" s="126"/>
      <c r="G131" s="126"/>
      <c r="H131" s="14">
        <f t="shared" si="24"/>
        <v>0</v>
      </c>
      <c r="I131" s="114" t="e">
        <f t="shared" si="17"/>
        <v>#DIV/0!</v>
      </c>
      <c r="J131" s="126"/>
      <c r="K131" s="126"/>
      <c r="L131" s="14">
        <f t="shared" si="25"/>
        <v>0</v>
      </c>
      <c r="M131" s="126"/>
      <c r="N131" s="126"/>
      <c r="O131" s="14">
        <f t="shared" si="26"/>
        <v>0</v>
      </c>
      <c r="P131" s="114" t="e">
        <f t="shared" si="18"/>
        <v>#DIV/0!</v>
      </c>
      <c r="Q131" s="126"/>
      <c r="R131" s="126"/>
      <c r="S131" s="14">
        <f t="shared" si="27"/>
        <v>0</v>
      </c>
      <c r="T131" s="15"/>
      <c r="U131" s="15"/>
      <c r="V131" s="14">
        <f t="shared" si="29"/>
        <v>0</v>
      </c>
      <c r="W131" s="114" t="e">
        <f t="shared" si="28"/>
        <v>#DIV/0!</v>
      </c>
      <c r="X131" s="81" t="s">
        <v>51</v>
      </c>
    </row>
    <row r="132" spans="1:24" s="2" customFormat="1" ht="35.25" customHeight="1">
      <c r="A132" s="53"/>
      <c r="B132" s="12" t="s">
        <v>337</v>
      </c>
      <c r="C132" s="126"/>
      <c r="D132" s="126"/>
      <c r="E132" s="14">
        <f t="shared" si="23"/>
        <v>0</v>
      </c>
      <c r="F132" s="126"/>
      <c r="G132" s="15">
        <v>214849</v>
      </c>
      <c r="H132" s="14">
        <f t="shared" si="24"/>
        <v>214849</v>
      </c>
      <c r="I132" s="114">
        <f t="shared" si="17"/>
        <v>0</v>
      </c>
      <c r="J132" s="126"/>
      <c r="K132" s="126"/>
      <c r="L132" s="14">
        <f t="shared" si="25"/>
        <v>0</v>
      </c>
      <c r="M132" s="126"/>
      <c r="N132" s="126"/>
      <c r="O132" s="14">
        <f t="shared" si="26"/>
        <v>0</v>
      </c>
      <c r="P132" s="114"/>
      <c r="Q132" s="126"/>
      <c r="R132" s="126"/>
      <c r="S132" s="14">
        <f t="shared" si="27"/>
        <v>0</v>
      </c>
      <c r="T132" s="15"/>
      <c r="U132" s="15"/>
      <c r="V132" s="14">
        <f t="shared" si="29"/>
        <v>0</v>
      </c>
      <c r="W132" s="114"/>
      <c r="X132" s="81" t="s">
        <v>50</v>
      </c>
    </row>
    <row r="133" spans="1:24" s="2" customFormat="1" ht="12.75" customHeight="1" hidden="1">
      <c r="A133" s="53"/>
      <c r="B133" s="12" t="s">
        <v>356</v>
      </c>
      <c r="C133" s="126"/>
      <c r="D133" s="126"/>
      <c r="E133" s="14">
        <f t="shared" si="23"/>
        <v>0</v>
      </c>
      <c r="F133" s="126"/>
      <c r="G133" s="126"/>
      <c r="H133" s="14">
        <f t="shared" si="24"/>
        <v>0</v>
      </c>
      <c r="I133" s="114" t="e">
        <f t="shared" si="17"/>
        <v>#DIV/0!</v>
      </c>
      <c r="J133" s="126"/>
      <c r="K133" s="126"/>
      <c r="L133" s="14">
        <f t="shared" si="25"/>
        <v>0</v>
      </c>
      <c r="M133" s="126"/>
      <c r="N133" s="126"/>
      <c r="O133" s="14">
        <f t="shared" si="26"/>
        <v>0</v>
      </c>
      <c r="P133" s="114" t="e">
        <f t="shared" si="18"/>
        <v>#DIV/0!</v>
      </c>
      <c r="Q133" s="126"/>
      <c r="R133" s="126"/>
      <c r="S133" s="14">
        <f t="shared" si="27"/>
        <v>0</v>
      </c>
      <c r="T133" s="15"/>
      <c r="U133" s="15"/>
      <c r="V133" s="14">
        <f t="shared" si="29"/>
        <v>0</v>
      </c>
      <c r="W133" s="114" t="e">
        <f t="shared" si="28"/>
        <v>#DIV/0!</v>
      </c>
      <c r="X133" s="120" t="s">
        <v>52</v>
      </c>
    </row>
    <row r="134" spans="1:24" s="2" customFormat="1" ht="22.5" customHeight="1">
      <c r="A134" s="53"/>
      <c r="B134" s="33" t="s">
        <v>332</v>
      </c>
      <c r="C134" s="15">
        <v>27</v>
      </c>
      <c r="D134" s="126"/>
      <c r="E134" s="14">
        <f t="shared" si="23"/>
        <v>27</v>
      </c>
      <c r="F134" s="15">
        <v>36</v>
      </c>
      <c r="G134" s="126"/>
      <c r="H134" s="14">
        <f t="shared" si="24"/>
        <v>36</v>
      </c>
      <c r="I134" s="114">
        <f aca="true" t="shared" si="30" ref="I134:I197">E134/H134</f>
        <v>0.75</v>
      </c>
      <c r="J134" s="126"/>
      <c r="K134" s="126"/>
      <c r="L134" s="14">
        <f t="shared" si="25"/>
        <v>0</v>
      </c>
      <c r="M134" s="15">
        <v>245712</v>
      </c>
      <c r="N134" s="126"/>
      <c r="O134" s="14">
        <f t="shared" si="26"/>
        <v>245712</v>
      </c>
      <c r="P134" s="114">
        <f aca="true" t="shared" si="31" ref="P134:P197">L134/O134</f>
        <v>0</v>
      </c>
      <c r="Q134" s="126"/>
      <c r="R134" s="126"/>
      <c r="S134" s="14">
        <f t="shared" si="27"/>
        <v>0</v>
      </c>
      <c r="T134" s="15"/>
      <c r="U134" s="15"/>
      <c r="V134" s="14">
        <f t="shared" si="29"/>
        <v>0</v>
      </c>
      <c r="W134" s="114"/>
      <c r="X134" s="81" t="s">
        <v>210</v>
      </c>
    </row>
    <row r="135" spans="1:24" s="2" customFormat="1" ht="38.25" customHeight="1" hidden="1">
      <c r="A135" s="53"/>
      <c r="B135" s="33" t="s">
        <v>317</v>
      </c>
      <c r="C135" s="15">
        <v>193</v>
      </c>
      <c r="D135" s="15">
        <v>4261</v>
      </c>
      <c r="E135" s="14"/>
      <c r="F135" s="15"/>
      <c r="G135" s="126"/>
      <c r="H135" s="14"/>
      <c r="I135" s="114" t="e">
        <f t="shared" si="30"/>
        <v>#DIV/0!</v>
      </c>
      <c r="J135" s="126"/>
      <c r="K135" s="126"/>
      <c r="L135" s="14"/>
      <c r="M135" s="126"/>
      <c r="N135" s="126"/>
      <c r="O135" s="14"/>
      <c r="P135" s="114" t="e">
        <f t="shared" si="31"/>
        <v>#DIV/0!</v>
      </c>
      <c r="Q135" s="126"/>
      <c r="R135" s="126"/>
      <c r="S135" s="14"/>
      <c r="T135" s="15"/>
      <c r="U135" s="15"/>
      <c r="V135" s="14">
        <f t="shared" si="29"/>
        <v>0</v>
      </c>
      <c r="W135" s="114" t="e">
        <f t="shared" si="28"/>
        <v>#DIV/0!</v>
      </c>
      <c r="X135" s="81"/>
    </row>
    <row r="136" spans="1:24" s="2" customFormat="1" ht="30.75" customHeight="1">
      <c r="A136" s="53"/>
      <c r="B136" s="12" t="s">
        <v>360</v>
      </c>
      <c r="C136" s="15">
        <v>4854</v>
      </c>
      <c r="D136" s="126"/>
      <c r="E136" s="14">
        <f t="shared" si="23"/>
        <v>4854</v>
      </c>
      <c r="F136" s="15">
        <v>4854</v>
      </c>
      <c r="G136" s="126"/>
      <c r="H136" s="14">
        <f t="shared" si="24"/>
        <v>4854</v>
      </c>
      <c r="I136" s="114">
        <f t="shared" si="30"/>
        <v>1</v>
      </c>
      <c r="J136" s="126"/>
      <c r="K136" s="126"/>
      <c r="L136" s="14">
        <f t="shared" si="25"/>
        <v>0</v>
      </c>
      <c r="M136" s="126"/>
      <c r="N136" s="126"/>
      <c r="O136" s="14">
        <f t="shared" si="26"/>
        <v>0</v>
      </c>
      <c r="P136" s="114"/>
      <c r="Q136" s="126"/>
      <c r="R136" s="126"/>
      <c r="S136" s="14">
        <f t="shared" si="27"/>
        <v>0</v>
      </c>
      <c r="T136" s="15"/>
      <c r="U136" s="15"/>
      <c r="V136" s="14">
        <f t="shared" si="29"/>
        <v>0</v>
      </c>
      <c r="W136" s="114"/>
      <c r="X136" s="90" t="s">
        <v>96</v>
      </c>
    </row>
    <row r="137" spans="1:24" s="16" customFormat="1" ht="45">
      <c r="A137" s="52"/>
      <c r="B137" s="12" t="s">
        <v>340</v>
      </c>
      <c r="C137" s="13">
        <v>38473</v>
      </c>
      <c r="D137" s="163"/>
      <c r="E137" s="14">
        <f t="shared" si="23"/>
        <v>38473</v>
      </c>
      <c r="F137" s="13">
        <v>212078</v>
      </c>
      <c r="G137" s="163"/>
      <c r="H137" s="14">
        <f t="shared" si="24"/>
        <v>212078</v>
      </c>
      <c r="I137" s="114">
        <f t="shared" si="30"/>
        <v>0.1814096700270655</v>
      </c>
      <c r="J137" s="163"/>
      <c r="K137" s="163"/>
      <c r="L137" s="14">
        <f t="shared" si="25"/>
        <v>0</v>
      </c>
      <c r="M137" s="163"/>
      <c r="N137" s="163"/>
      <c r="O137" s="14">
        <f t="shared" si="26"/>
        <v>0</v>
      </c>
      <c r="P137" s="114"/>
      <c r="Q137" s="163"/>
      <c r="R137" s="163"/>
      <c r="S137" s="14">
        <f t="shared" si="27"/>
        <v>0</v>
      </c>
      <c r="T137" s="13"/>
      <c r="U137" s="13"/>
      <c r="V137" s="14">
        <f t="shared" si="29"/>
        <v>0</v>
      </c>
      <c r="W137" s="114"/>
      <c r="X137" s="86">
        <v>85395.2708</v>
      </c>
    </row>
    <row r="138" spans="1:24" s="16" customFormat="1" ht="15" customHeight="1">
      <c r="A138" s="52"/>
      <c r="B138" s="12" t="s">
        <v>87</v>
      </c>
      <c r="C138" s="13">
        <v>720</v>
      </c>
      <c r="D138" s="13">
        <v>70</v>
      </c>
      <c r="E138" s="14">
        <f t="shared" si="23"/>
        <v>790</v>
      </c>
      <c r="F138" s="13">
        <v>75918</v>
      </c>
      <c r="G138" s="13">
        <v>146913</v>
      </c>
      <c r="H138" s="14">
        <f t="shared" si="24"/>
        <v>222831</v>
      </c>
      <c r="I138" s="114">
        <f t="shared" si="30"/>
        <v>0.0035452876843886172</v>
      </c>
      <c r="J138" s="13">
        <v>17888</v>
      </c>
      <c r="K138" s="13">
        <v>488</v>
      </c>
      <c r="L138" s="14">
        <f t="shared" si="25"/>
        <v>18376</v>
      </c>
      <c r="M138" s="13">
        <v>333058</v>
      </c>
      <c r="N138" s="13">
        <v>85472</v>
      </c>
      <c r="O138" s="14">
        <f t="shared" si="26"/>
        <v>418530</v>
      </c>
      <c r="P138" s="114">
        <f t="shared" si="31"/>
        <v>0.043906052134852935</v>
      </c>
      <c r="Q138" s="13">
        <v>11414</v>
      </c>
      <c r="R138" s="13">
        <f>11423+11276</f>
        <v>22699</v>
      </c>
      <c r="S138" s="14">
        <f t="shared" si="27"/>
        <v>34113</v>
      </c>
      <c r="T138" s="15">
        <v>3435.53</v>
      </c>
      <c r="U138" s="13">
        <v>273.75</v>
      </c>
      <c r="V138" s="14">
        <f t="shared" si="29"/>
        <v>3709.28</v>
      </c>
      <c r="W138" s="114">
        <f t="shared" si="28"/>
        <v>0.10873508633072436</v>
      </c>
      <c r="X138" s="16" t="s">
        <v>189</v>
      </c>
    </row>
    <row r="139" spans="1:24" s="16" customFormat="1" ht="43.5" customHeight="1">
      <c r="A139" s="52"/>
      <c r="B139" s="12" t="s">
        <v>322</v>
      </c>
      <c r="C139" s="163"/>
      <c r="D139" s="163"/>
      <c r="E139" s="14">
        <f t="shared" si="23"/>
        <v>0</v>
      </c>
      <c r="F139" s="163"/>
      <c r="G139" s="13">
        <v>168096</v>
      </c>
      <c r="H139" s="14">
        <f t="shared" si="24"/>
        <v>168096</v>
      </c>
      <c r="I139" s="114">
        <f t="shared" si="30"/>
        <v>0</v>
      </c>
      <c r="J139" s="163"/>
      <c r="K139" s="163"/>
      <c r="L139" s="14">
        <f t="shared" si="25"/>
        <v>0</v>
      </c>
      <c r="M139" s="163"/>
      <c r="N139" s="163"/>
      <c r="O139" s="14">
        <f t="shared" si="26"/>
        <v>0</v>
      </c>
      <c r="P139" s="114"/>
      <c r="Q139" s="163"/>
      <c r="R139" s="163"/>
      <c r="S139" s="14">
        <f t="shared" si="27"/>
        <v>0</v>
      </c>
      <c r="T139" s="13"/>
      <c r="U139" s="13"/>
      <c r="V139" s="14">
        <f t="shared" si="29"/>
        <v>0</v>
      </c>
      <c r="W139" s="114"/>
      <c r="X139" s="86" t="s">
        <v>97</v>
      </c>
    </row>
    <row r="140" spans="1:24" s="16" customFormat="1" ht="11.25" customHeight="1">
      <c r="A140" s="52"/>
      <c r="B140" s="12" t="s">
        <v>324</v>
      </c>
      <c r="C140" s="163"/>
      <c r="D140" s="163"/>
      <c r="E140" s="14">
        <f t="shared" si="23"/>
        <v>0</v>
      </c>
      <c r="F140" s="13">
        <v>116895</v>
      </c>
      <c r="G140" s="163"/>
      <c r="H140" s="14">
        <f t="shared" si="24"/>
        <v>116895</v>
      </c>
      <c r="I140" s="114">
        <f t="shared" si="30"/>
        <v>0</v>
      </c>
      <c r="J140" s="163"/>
      <c r="K140" s="163"/>
      <c r="L140" s="14">
        <f t="shared" si="25"/>
        <v>0</v>
      </c>
      <c r="M140" s="13">
        <v>4342</v>
      </c>
      <c r="N140" s="163"/>
      <c r="O140" s="14">
        <f t="shared" si="26"/>
        <v>4342</v>
      </c>
      <c r="P140" s="114">
        <f t="shared" si="31"/>
        <v>0</v>
      </c>
      <c r="Q140" s="163"/>
      <c r="R140" s="163"/>
      <c r="S140" s="14">
        <f t="shared" si="27"/>
        <v>0</v>
      </c>
      <c r="T140" s="15"/>
      <c r="U140" s="13"/>
      <c r="V140" s="14">
        <f t="shared" si="29"/>
        <v>0</v>
      </c>
      <c r="W140" s="114"/>
      <c r="X140" s="71" t="s">
        <v>53</v>
      </c>
    </row>
    <row r="141" spans="1:24" s="16" customFormat="1" ht="12" customHeight="1">
      <c r="A141" s="52"/>
      <c r="B141" s="12" t="s">
        <v>334</v>
      </c>
      <c r="C141" s="163"/>
      <c r="D141" s="163"/>
      <c r="E141" s="14">
        <f t="shared" si="23"/>
        <v>0</v>
      </c>
      <c r="F141" s="13">
        <v>743287</v>
      </c>
      <c r="G141" s="163"/>
      <c r="H141" s="14">
        <f t="shared" si="24"/>
        <v>743287</v>
      </c>
      <c r="I141" s="114">
        <f t="shared" si="30"/>
        <v>0</v>
      </c>
      <c r="J141" s="163"/>
      <c r="K141" s="163"/>
      <c r="L141" s="14">
        <f t="shared" si="25"/>
        <v>0</v>
      </c>
      <c r="M141" s="13">
        <v>50779</v>
      </c>
      <c r="N141" s="163"/>
      <c r="O141" s="14">
        <f t="shared" si="26"/>
        <v>50779</v>
      </c>
      <c r="P141" s="114">
        <f t="shared" si="31"/>
        <v>0</v>
      </c>
      <c r="Q141" s="163"/>
      <c r="R141" s="163"/>
      <c r="S141" s="14">
        <f t="shared" si="27"/>
        <v>0</v>
      </c>
      <c r="T141" s="13"/>
      <c r="U141" s="13"/>
      <c r="V141" s="14">
        <f t="shared" si="29"/>
        <v>0</v>
      </c>
      <c r="W141" s="114"/>
      <c r="X141" s="131" t="s">
        <v>54</v>
      </c>
    </row>
    <row r="142" spans="1:24" s="16" customFormat="1" ht="33.75" hidden="1">
      <c r="A142" s="52"/>
      <c r="B142" s="33" t="s">
        <v>319</v>
      </c>
      <c r="C142" s="163"/>
      <c r="D142" s="163"/>
      <c r="E142" s="14">
        <f t="shared" si="23"/>
        <v>0</v>
      </c>
      <c r="F142" s="13"/>
      <c r="G142" s="163"/>
      <c r="H142" s="14">
        <f t="shared" si="24"/>
        <v>0</v>
      </c>
      <c r="I142" s="114" t="e">
        <f t="shared" si="30"/>
        <v>#DIV/0!</v>
      </c>
      <c r="J142" s="163"/>
      <c r="K142" s="163"/>
      <c r="L142" s="14">
        <f t="shared" si="25"/>
        <v>0</v>
      </c>
      <c r="M142" s="163"/>
      <c r="N142" s="163"/>
      <c r="O142" s="14">
        <f t="shared" si="26"/>
        <v>0</v>
      </c>
      <c r="P142" s="114" t="e">
        <f t="shared" si="31"/>
        <v>#DIV/0!</v>
      </c>
      <c r="Q142" s="163"/>
      <c r="R142" s="163"/>
      <c r="S142" s="14">
        <f t="shared" si="27"/>
        <v>0</v>
      </c>
      <c r="T142" s="13"/>
      <c r="U142" s="13"/>
      <c r="V142" s="14">
        <f t="shared" si="29"/>
        <v>0</v>
      </c>
      <c r="W142" s="114" t="e">
        <f t="shared" si="28"/>
        <v>#DIV/0!</v>
      </c>
      <c r="X142" s="81"/>
    </row>
    <row r="143" spans="1:24" s="16" customFormat="1" ht="22.5" hidden="1">
      <c r="A143" s="52"/>
      <c r="B143" s="33" t="s">
        <v>321</v>
      </c>
      <c r="C143" s="163"/>
      <c r="D143" s="163"/>
      <c r="E143" s="14">
        <f t="shared" si="23"/>
        <v>0</v>
      </c>
      <c r="F143" s="13"/>
      <c r="G143" s="163"/>
      <c r="H143" s="14">
        <f t="shared" si="24"/>
        <v>0</v>
      </c>
      <c r="I143" s="114" t="e">
        <f t="shared" si="30"/>
        <v>#DIV/0!</v>
      </c>
      <c r="J143" s="163"/>
      <c r="K143" s="163"/>
      <c r="L143" s="14">
        <f t="shared" si="25"/>
        <v>0</v>
      </c>
      <c r="M143" s="163"/>
      <c r="N143" s="163"/>
      <c r="O143" s="14">
        <f t="shared" si="26"/>
        <v>0</v>
      </c>
      <c r="P143" s="114" t="e">
        <f t="shared" si="31"/>
        <v>#DIV/0!</v>
      </c>
      <c r="Q143" s="163"/>
      <c r="R143" s="163"/>
      <c r="S143" s="14">
        <f t="shared" si="27"/>
        <v>0</v>
      </c>
      <c r="T143" s="13"/>
      <c r="U143" s="13"/>
      <c r="V143" s="14">
        <f t="shared" si="29"/>
        <v>0</v>
      </c>
      <c r="W143" s="114" t="e">
        <f t="shared" si="28"/>
        <v>#DIV/0!</v>
      </c>
      <c r="X143" s="81" t="s">
        <v>55</v>
      </c>
    </row>
    <row r="144" spans="1:24" s="2" customFormat="1" ht="33.75" hidden="1">
      <c r="A144" s="53"/>
      <c r="B144" s="28" t="s">
        <v>273</v>
      </c>
      <c r="C144" s="126"/>
      <c r="D144" s="165"/>
      <c r="E144" s="14">
        <f t="shared" si="23"/>
        <v>0</v>
      </c>
      <c r="F144" s="15"/>
      <c r="G144" s="165"/>
      <c r="H144" s="14">
        <f t="shared" si="24"/>
        <v>0</v>
      </c>
      <c r="I144" s="114" t="e">
        <f t="shared" si="30"/>
        <v>#DIV/0!</v>
      </c>
      <c r="J144" s="126"/>
      <c r="K144" s="165"/>
      <c r="L144" s="14">
        <f t="shared" si="25"/>
        <v>0</v>
      </c>
      <c r="M144" s="126"/>
      <c r="N144" s="165"/>
      <c r="O144" s="14">
        <f t="shared" si="26"/>
        <v>0</v>
      </c>
      <c r="P144" s="114" t="e">
        <f t="shared" si="31"/>
        <v>#DIV/0!</v>
      </c>
      <c r="Q144" s="126"/>
      <c r="R144" s="165"/>
      <c r="S144" s="14">
        <f t="shared" si="27"/>
        <v>0</v>
      </c>
      <c r="T144" s="15"/>
      <c r="U144" s="30"/>
      <c r="V144" s="14">
        <f t="shared" si="29"/>
        <v>0</v>
      </c>
      <c r="W144" s="114" t="e">
        <f t="shared" si="28"/>
        <v>#DIV/0!</v>
      </c>
      <c r="X144" s="81"/>
    </row>
    <row r="145" spans="1:24" s="2" customFormat="1" ht="36" customHeight="1">
      <c r="A145" s="53"/>
      <c r="B145" s="28" t="s">
        <v>328</v>
      </c>
      <c r="C145" s="15">
        <v>40499</v>
      </c>
      <c r="D145" s="165"/>
      <c r="E145" s="14">
        <f t="shared" si="23"/>
        <v>40499</v>
      </c>
      <c r="F145" s="15">
        <v>134658</v>
      </c>
      <c r="G145" s="165"/>
      <c r="H145" s="14">
        <f t="shared" si="24"/>
        <v>134658</v>
      </c>
      <c r="I145" s="114">
        <f t="shared" si="30"/>
        <v>0.30075450400273285</v>
      </c>
      <c r="J145" s="126"/>
      <c r="K145" s="165"/>
      <c r="L145" s="14">
        <f t="shared" si="25"/>
        <v>0</v>
      </c>
      <c r="M145" s="15">
        <v>46616</v>
      </c>
      <c r="N145" s="165"/>
      <c r="O145" s="14">
        <f t="shared" si="26"/>
        <v>46616</v>
      </c>
      <c r="P145" s="114">
        <f t="shared" si="31"/>
        <v>0</v>
      </c>
      <c r="Q145" s="126"/>
      <c r="R145" s="165"/>
      <c r="S145" s="14">
        <f t="shared" si="27"/>
        <v>0</v>
      </c>
      <c r="T145" s="15"/>
      <c r="U145" s="30"/>
      <c r="V145" s="14">
        <f t="shared" si="29"/>
        <v>0</v>
      </c>
      <c r="W145" s="114"/>
      <c r="X145" s="120" t="s">
        <v>135</v>
      </c>
    </row>
    <row r="146" spans="1:24" s="2" customFormat="1" ht="30" customHeight="1">
      <c r="A146" s="53"/>
      <c r="B146" s="28" t="s">
        <v>352</v>
      </c>
      <c r="C146" s="15"/>
      <c r="D146" s="165"/>
      <c r="E146" s="14">
        <f t="shared" si="23"/>
        <v>0</v>
      </c>
      <c r="F146" s="15">
        <v>29853</v>
      </c>
      <c r="G146" s="165"/>
      <c r="H146" s="14">
        <f t="shared" si="24"/>
        <v>29853</v>
      </c>
      <c r="I146" s="114">
        <f t="shared" si="30"/>
        <v>0</v>
      </c>
      <c r="J146" s="15"/>
      <c r="K146" s="165"/>
      <c r="L146" s="14">
        <f t="shared" si="25"/>
        <v>0</v>
      </c>
      <c r="M146" s="15"/>
      <c r="N146" s="165"/>
      <c r="O146" s="14">
        <f t="shared" si="26"/>
        <v>0</v>
      </c>
      <c r="P146" s="114"/>
      <c r="Q146" s="15">
        <v>39456</v>
      </c>
      <c r="R146" s="165"/>
      <c r="S146" s="14">
        <f t="shared" si="27"/>
        <v>39456</v>
      </c>
      <c r="T146" s="15"/>
      <c r="U146" s="30"/>
      <c r="V146" s="14">
        <f t="shared" si="29"/>
        <v>0</v>
      </c>
      <c r="W146" s="114">
        <f t="shared" si="28"/>
        <v>0</v>
      </c>
      <c r="X146" s="81" t="s">
        <v>56</v>
      </c>
    </row>
    <row r="147" spans="1:24" s="2" customFormat="1" ht="11.25" customHeight="1">
      <c r="A147" s="53"/>
      <c r="B147" s="33" t="s">
        <v>358</v>
      </c>
      <c r="C147" s="126"/>
      <c r="D147" s="165"/>
      <c r="E147" s="14">
        <f t="shared" si="23"/>
        <v>0</v>
      </c>
      <c r="F147" s="15">
        <v>25332</v>
      </c>
      <c r="G147" s="165"/>
      <c r="H147" s="14">
        <f t="shared" si="24"/>
        <v>25332</v>
      </c>
      <c r="I147" s="114">
        <f t="shared" si="30"/>
        <v>0</v>
      </c>
      <c r="J147" s="15">
        <v>100</v>
      </c>
      <c r="K147" s="165"/>
      <c r="L147" s="14">
        <f t="shared" si="25"/>
        <v>100</v>
      </c>
      <c r="M147" s="15">
        <v>370047</v>
      </c>
      <c r="N147" s="165"/>
      <c r="O147" s="14">
        <f t="shared" si="26"/>
        <v>370047</v>
      </c>
      <c r="P147" s="114">
        <f t="shared" si="31"/>
        <v>0.0002702359430018349</v>
      </c>
      <c r="Q147" s="126"/>
      <c r="R147" s="165"/>
      <c r="S147" s="14">
        <f t="shared" si="27"/>
        <v>0</v>
      </c>
      <c r="T147" s="15">
        <v>226854.61</v>
      </c>
      <c r="U147" s="30"/>
      <c r="V147" s="14">
        <f t="shared" si="29"/>
        <v>226854.61</v>
      </c>
      <c r="W147" s="114"/>
      <c r="X147" s="137" t="s">
        <v>190</v>
      </c>
    </row>
    <row r="148" spans="1:24" s="2" customFormat="1" ht="45.75" customHeight="1">
      <c r="A148" s="53"/>
      <c r="B148" s="33" t="s">
        <v>362</v>
      </c>
      <c r="C148" s="15"/>
      <c r="D148" s="165"/>
      <c r="E148" s="14">
        <f t="shared" si="23"/>
        <v>0</v>
      </c>
      <c r="F148" s="15">
        <v>714447</v>
      </c>
      <c r="G148" s="165"/>
      <c r="H148" s="14">
        <f t="shared" si="24"/>
        <v>714447</v>
      </c>
      <c r="I148" s="114">
        <f t="shared" si="30"/>
        <v>0</v>
      </c>
      <c r="J148" s="15"/>
      <c r="K148" s="165"/>
      <c r="L148" s="14">
        <f t="shared" si="25"/>
        <v>0</v>
      </c>
      <c r="M148" s="15">
        <v>2822539</v>
      </c>
      <c r="N148" s="165"/>
      <c r="O148" s="14">
        <f t="shared" si="26"/>
        <v>2822539</v>
      </c>
      <c r="P148" s="114">
        <f t="shared" si="31"/>
        <v>0</v>
      </c>
      <c r="Q148" s="15">
        <v>3793884</v>
      </c>
      <c r="R148" s="165"/>
      <c r="S148" s="14">
        <f aca="true" t="shared" si="32" ref="S148:S179">SUM(Q148:R148)</f>
        <v>3793884</v>
      </c>
      <c r="T148" s="15"/>
      <c r="U148" s="30"/>
      <c r="V148" s="14">
        <f t="shared" si="29"/>
        <v>0</v>
      </c>
      <c r="W148" s="114">
        <f t="shared" si="28"/>
        <v>0</v>
      </c>
      <c r="X148" s="81" t="s">
        <v>173</v>
      </c>
    </row>
    <row r="149" spans="1:24" s="2" customFormat="1" ht="32.25" customHeight="1">
      <c r="A149" s="53"/>
      <c r="B149" s="33" t="s">
        <v>162</v>
      </c>
      <c r="C149" s="126"/>
      <c r="D149" s="15"/>
      <c r="E149" s="14">
        <f t="shared" si="23"/>
        <v>0</v>
      </c>
      <c r="F149" s="15"/>
      <c r="G149" s="15"/>
      <c r="H149" s="14">
        <f t="shared" si="24"/>
        <v>0</v>
      </c>
      <c r="I149" s="114"/>
      <c r="J149" s="126"/>
      <c r="K149" s="15"/>
      <c r="L149" s="14">
        <f t="shared" si="25"/>
        <v>0</v>
      </c>
      <c r="M149" s="126"/>
      <c r="N149" s="15">
        <v>53640</v>
      </c>
      <c r="O149" s="14">
        <f t="shared" si="26"/>
        <v>53640</v>
      </c>
      <c r="P149" s="114">
        <f t="shared" si="31"/>
        <v>0</v>
      </c>
      <c r="Q149" s="126"/>
      <c r="R149" s="15">
        <v>55386</v>
      </c>
      <c r="S149" s="14">
        <f t="shared" si="32"/>
        <v>55386</v>
      </c>
      <c r="T149" s="15"/>
      <c r="U149" s="204">
        <v>28468.2</v>
      </c>
      <c r="V149" s="205">
        <f t="shared" si="29"/>
        <v>28468.2</v>
      </c>
      <c r="W149" s="114">
        <f t="shared" si="28"/>
        <v>0.5139963167587477</v>
      </c>
      <c r="X149" s="127" t="s">
        <v>158</v>
      </c>
    </row>
    <row r="150" spans="1:24" s="2" customFormat="1" ht="41.25" customHeight="1">
      <c r="A150" s="53"/>
      <c r="B150" s="33" t="s">
        <v>157</v>
      </c>
      <c r="C150" s="126"/>
      <c r="D150" s="15"/>
      <c r="E150" s="14">
        <f t="shared" si="23"/>
        <v>0</v>
      </c>
      <c r="F150" s="126"/>
      <c r="G150" s="15"/>
      <c r="H150" s="14">
        <f t="shared" si="24"/>
        <v>0</v>
      </c>
      <c r="I150" s="114"/>
      <c r="J150" s="126"/>
      <c r="K150" s="15"/>
      <c r="L150" s="14">
        <f t="shared" si="25"/>
        <v>0</v>
      </c>
      <c r="M150" s="126"/>
      <c r="N150" s="15"/>
      <c r="O150" s="14">
        <f t="shared" si="26"/>
        <v>0</v>
      </c>
      <c r="P150" s="114"/>
      <c r="Q150" s="126"/>
      <c r="R150" s="15">
        <v>70312</v>
      </c>
      <c r="S150" s="14">
        <f t="shared" si="32"/>
        <v>70312</v>
      </c>
      <c r="T150" s="15"/>
      <c r="U150" s="204"/>
      <c r="V150" s="205">
        <f t="shared" si="29"/>
        <v>0</v>
      </c>
      <c r="W150" s="114">
        <f t="shared" si="28"/>
        <v>0</v>
      </c>
      <c r="X150" s="127" t="s">
        <v>158</v>
      </c>
    </row>
    <row r="151" spans="1:24" s="2" customFormat="1" ht="30.75" customHeight="1">
      <c r="A151" s="53"/>
      <c r="B151" s="33" t="s">
        <v>175</v>
      </c>
      <c r="C151" s="126"/>
      <c r="D151" s="126"/>
      <c r="E151" s="14">
        <f t="shared" si="23"/>
        <v>0</v>
      </c>
      <c r="F151" s="126"/>
      <c r="G151" s="126"/>
      <c r="H151" s="14">
        <f t="shared" si="24"/>
        <v>0</v>
      </c>
      <c r="I151" s="114"/>
      <c r="J151" s="126"/>
      <c r="K151" s="126"/>
      <c r="L151" s="14">
        <f t="shared" si="25"/>
        <v>0</v>
      </c>
      <c r="M151" s="15">
        <v>340799</v>
      </c>
      <c r="N151" s="126"/>
      <c r="O151" s="14">
        <f t="shared" si="26"/>
        <v>340799</v>
      </c>
      <c r="P151" s="114">
        <f t="shared" si="31"/>
        <v>0</v>
      </c>
      <c r="Q151" s="126"/>
      <c r="R151" s="126"/>
      <c r="S151" s="14">
        <f t="shared" si="32"/>
        <v>0</v>
      </c>
      <c r="T151" s="15"/>
      <c r="U151" s="30"/>
      <c r="V151" s="14">
        <f t="shared" si="29"/>
        <v>0</v>
      </c>
      <c r="W151" s="114"/>
      <c r="X151" s="127" t="s">
        <v>176</v>
      </c>
    </row>
    <row r="152" spans="1:24" s="2" customFormat="1" ht="36" customHeight="1">
      <c r="A152" s="53"/>
      <c r="B152" s="33" t="s">
        <v>98</v>
      </c>
      <c r="C152" s="15"/>
      <c r="D152" s="126"/>
      <c r="E152" s="14">
        <f t="shared" si="23"/>
        <v>0</v>
      </c>
      <c r="F152" s="15"/>
      <c r="G152" s="126"/>
      <c r="H152" s="14">
        <f t="shared" si="24"/>
        <v>0</v>
      </c>
      <c r="I152" s="114"/>
      <c r="J152" s="15"/>
      <c r="K152" s="126"/>
      <c r="L152" s="14">
        <f t="shared" si="25"/>
        <v>0</v>
      </c>
      <c r="M152" s="15">
        <v>7079</v>
      </c>
      <c r="N152" s="126"/>
      <c r="O152" s="14">
        <f t="shared" si="26"/>
        <v>7079</v>
      </c>
      <c r="P152" s="114">
        <f t="shared" si="31"/>
        <v>0</v>
      </c>
      <c r="Q152" s="15">
        <v>481966</v>
      </c>
      <c r="R152" s="126"/>
      <c r="S152" s="14">
        <f t="shared" si="32"/>
        <v>481966</v>
      </c>
      <c r="T152" s="15">
        <v>4.39</v>
      </c>
      <c r="U152" s="30"/>
      <c r="V152" s="14">
        <f t="shared" si="29"/>
        <v>4.39</v>
      </c>
      <c r="W152" s="114">
        <f t="shared" si="28"/>
        <v>9.108526327583272E-06</v>
      </c>
      <c r="X152" s="127" t="s">
        <v>180</v>
      </c>
    </row>
    <row r="153" spans="1:24" s="145" customFormat="1" ht="22.5">
      <c r="A153" s="53"/>
      <c r="B153" s="172" t="s">
        <v>370</v>
      </c>
      <c r="C153" s="126"/>
      <c r="D153" s="126"/>
      <c r="E153" s="14">
        <f t="shared" si="23"/>
        <v>0</v>
      </c>
      <c r="F153" s="15"/>
      <c r="G153" s="126"/>
      <c r="H153" s="14">
        <f t="shared" si="24"/>
        <v>0</v>
      </c>
      <c r="I153" s="114"/>
      <c r="J153" s="126"/>
      <c r="K153" s="126"/>
      <c r="L153" s="14">
        <f t="shared" si="25"/>
        <v>0</v>
      </c>
      <c r="M153" s="15">
        <v>267229</v>
      </c>
      <c r="N153" s="126"/>
      <c r="O153" s="14">
        <f t="shared" si="26"/>
        <v>267229</v>
      </c>
      <c r="P153" s="114">
        <f t="shared" si="31"/>
        <v>0</v>
      </c>
      <c r="Q153" s="126"/>
      <c r="R153" s="126"/>
      <c r="S153" s="14">
        <f t="shared" si="32"/>
        <v>0</v>
      </c>
      <c r="T153" s="15"/>
      <c r="U153" s="15"/>
      <c r="V153" s="14">
        <f t="shared" si="29"/>
        <v>0</v>
      </c>
      <c r="W153" s="114"/>
      <c r="X153" s="144" t="s">
        <v>113</v>
      </c>
    </row>
    <row r="154" spans="1:24" s="2" customFormat="1" ht="27" customHeight="1">
      <c r="A154" s="53"/>
      <c r="B154" s="28" t="s">
        <v>88</v>
      </c>
      <c r="C154" s="126"/>
      <c r="D154" s="165"/>
      <c r="E154" s="14">
        <f t="shared" si="23"/>
        <v>0</v>
      </c>
      <c r="F154" s="15">
        <v>861670</v>
      </c>
      <c r="G154" s="165"/>
      <c r="H154" s="14">
        <f t="shared" si="24"/>
        <v>861670</v>
      </c>
      <c r="I154" s="114">
        <f t="shared" si="30"/>
        <v>0</v>
      </c>
      <c r="J154" s="126"/>
      <c r="K154" s="165"/>
      <c r="L154" s="14">
        <f t="shared" si="25"/>
        <v>0</v>
      </c>
      <c r="M154" s="15">
        <v>1594327</v>
      </c>
      <c r="N154" s="165"/>
      <c r="O154" s="14">
        <f t="shared" si="26"/>
        <v>1594327</v>
      </c>
      <c r="P154" s="114">
        <f t="shared" si="31"/>
        <v>0</v>
      </c>
      <c r="Q154" s="126"/>
      <c r="R154" s="165"/>
      <c r="S154" s="14">
        <f t="shared" si="32"/>
        <v>0</v>
      </c>
      <c r="T154" s="15"/>
      <c r="U154" s="30"/>
      <c r="V154" s="14">
        <f t="shared" si="29"/>
        <v>0</v>
      </c>
      <c r="W154" s="114"/>
      <c r="X154" s="77" t="s">
        <v>57</v>
      </c>
    </row>
    <row r="155" spans="1:24" s="2" customFormat="1" ht="56.25" hidden="1">
      <c r="A155" s="53"/>
      <c r="B155" s="28" t="s">
        <v>327</v>
      </c>
      <c r="C155" s="126"/>
      <c r="D155" s="126"/>
      <c r="E155" s="14">
        <f t="shared" si="23"/>
        <v>0</v>
      </c>
      <c r="F155" s="126"/>
      <c r="G155" s="126"/>
      <c r="H155" s="14">
        <f t="shared" si="24"/>
        <v>0</v>
      </c>
      <c r="I155" s="114" t="e">
        <f t="shared" si="30"/>
        <v>#DIV/0!</v>
      </c>
      <c r="J155" s="126"/>
      <c r="K155" s="126"/>
      <c r="L155" s="14">
        <f t="shared" si="25"/>
        <v>0</v>
      </c>
      <c r="M155" s="126"/>
      <c r="N155" s="126"/>
      <c r="O155" s="14">
        <f t="shared" si="26"/>
        <v>0</v>
      </c>
      <c r="P155" s="114" t="e">
        <f t="shared" si="31"/>
        <v>#DIV/0!</v>
      </c>
      <c r="Q155" s="126"/>
      <c r="R155" s="126"/>
      <c r="S155" s="14">
        <f t="shared" si="32"/>
        <v>0</v>
      </c>
      <c r="T155" s="15"/>
      <c r="U155" s="15"/>
      <c r="V155" s="14">
        <f t="shared" si="29"/>
        <v>0</v>
      </c>
      <c r="W155" s="114" t="e">
        <f aca="true" t="shared" si="33" ref="W155:W185">V155/S155</f>
        <v>#DIV/0!</v>
      </c>
      <c r="X155" s="81" t="s">
        <v>58</v>
      </c>
    </row>
    <row r="156" spans="1:26" s="11" customFormat="1" ht="22.5" customHeight="1">
      <c r="A156" s="24">
        <v>8</v>
      </c>
      <c r="B156" s="26" t="s">
        <v>274</v>
      </c>
      <c r="C156" s="27">
        <f>SUM(C157:C158)</f>
        <v>43578573</v>
      </c>
      <c r="D156" s="27">
        <f>SUM(D157:D158)</f>
        <v>12064056</v>
      </c>
      <c r="E156" s="27">
        <f t="shared" si="23"/>
        <v>55642629</v>
      </c>
      <c r="F156" s="27">
        <f>SUM(F157:F158)</f>
        <v>228290357</v>
      </c>
      <c r="G156" s="27">
        <f>SUM(G157:G158)</f>
        <v>62919870</v>
      </c>
      <c r="H156" s="27">
        <f t="shared" si="24"/>
        <v>291210227</v>
      </c>
      <c r="I156" s="114">
        <f t="shared" si="30"/>
        <v>0.19107374618405829</v>
      </c>
      <c r="J156" s="27">
        <f>SUM(J157:J158)</f>
        <v>48038812</v>
      </c>
      <c r="K156" s="27">
        <f>SUM(K157:K158)</f>
        <v>13023441</v>
      </c>
      <c r="L156" s="27">
        <f t="shared" si="25"/>
        <v>61062253</v>
      </c>
      <c r="M156" s="27">
        <f>SUM(M157:M158)</f>
        <v>245136873</v>
      </c>
      <c r="N156" s="27">
        <f>SUM(N157:N158)</f>
        <v>67365706</v>
      </c>
      <c r="O156" s="27">
        <f t="shared" si="26"/>
        <v>312502579</v>
      </c>
      <c r="P156" s="114">
        <f t="shared" si="31"/>
        <v>0.19539759702271128</v>
      </c>
      <c r="Q156" s="27">
        <f>SUM(Q157:Q158)</f>
        <v>265956727</v>
      </c>
      <c r="R156" s="27">
        <f>SUM(R157:R158)</f>
        <v>72667578</v>
      </c>
      <c r="S156" s="27">
        <f t="shared" si="32"/>
        <v>338624305</v>
      </c>
      <c r="T156" s="27">
        <f>SUM(T157:T158)</f>
        <v>51496967.92</v>
      </c>
      <c r="U156" s="27">
        <f>SUM(U157:U158)</f>
        <v>13979526.57</v>
      </c>
      <c r="V156" s="27">
        <f t="shared" si="29"/>
        <v>65476494.49</v>
      </c>
      <c r="W156" s="114">
        <f t="shared" si="33"/>
        <v>0.193360291990854</v>
      </c>
      <c r="X156" s="115">
        <f>U154/U6</f>
        <v>0</v>
      </c>
      <c r="Y156" s="114">
        <f>V156/V6</f>
        <v>0.4469240329228382</v>
      </c>
      <c r="Z156" s="11" t="s">
        <v>145</v>
      </c>
    </row>
    <row r="157" spans="1:26" s="2" customFormat="1" ht="21" customHeight="1">
      <c r="A157" s="53"/>
      <c r="B157" s="28" t="s">
        <v>275</v>
      </c>
      <c r="C157" s="15">
        <v>39930819</v>
      </c>
      <c r="D157" s="15">
        <v>11300135</v>
      </c>
      <c r="E157" s="14">
        <f t="shared" si="23"/>
        <v>51230954</v>
      </c>
      <c r="F157" s="15">
        <v>205530889</v>
      </c>
      <c r="G157" s="15">
        <v>58163766</v>
      </c>
      <c r="H157" s="14">
        <f t="shared" si="24"/>
        <v>263694655</v>
      </c>
      <c r="I157" s="114">
        <f t="shared" si="30"/>
        <v>0.1942813516641056</v>
      </c>
      <c r="J157" s="15">
        <v>41703781</v>
      </c>
      <c r="K157" s="15">
        <v>11714544</v>
      </c>
      <c r="L157" s="14">
        <f t="shared" si="25"/>
        <v>53418325</v>
      </c>
      <c r="M157" s="15">
        <v>224303788</v>
      </c>
      <c r="N157" s="15">
        <v>63006680</v>
      </c>
      <c r="O157" s="14">
        <f t="shared" si="26"/>
        <v>287310468</v>
      </c>
      <c r="P157" s="114">
        <f t="shared" si="31"/>
        <v>0.18592543937521971</v>
      </c>
      <c r="Q157" s="15">
        <v>242056727</v>
      </c>
      <c r="R157" s="15">
        <v>67567578</v>
      </c>
      <c r="S157" s="14">
        <f t="shared" si="32"/>
        <v>309624305</v>
      </c>
      <c r="T157" s="15">
        <v>45888510</v>
      </c>
      <c r="U157" s="15">
        <v>12809285</v>
      </c>
      <c r="V157" s="14">
        <f t="shared" si="29"/>
        <v>58697795</v>
      </c>
      <c r="W157" s="114">
        <f t="shared" si="33"/>
        <v>0.1895774784217925</v>
      </c>
      <c r="X157" s="82" t="s">
        <v>137</v>
      </c>
      <c r="Y157" s="114">
        <f>V156/V5</f>
        <v>0.28180272018082986</v>
      </c>
      <c r="Z157" s="2" t="s">
        <v>146</v>
      </c>
    </row>
    <row r="158" spans="1:28" s="2" customFormat="1" ht="22.5" customHeight="1">
      <c r="A158" s="53"/>
      <c r="B158" s="28" t="s">
        <v>156</v>
      </c>
      <c r="C158" s="15">
        <v>3647754</v>
      </c>
      <c r="D158" s="15">
        <v>763921</v>
      </c>
      <c r="E158" s="14">
        <f t="shared" si="23"/>
        <v>4411675</v>
      </c>
      <c r="F158" s="15">
        <v>22759468</v>
      </c>
      <c r="G158" s="15">
        <v>4756104</v>
      </c>
      <c r="H158" s="14">
        <f t="shared" si="24"/>
        <v>27515572</v>
      </c>
      <c r="I158" s="114">
        <f t="shared" si="30"/>
        <v>0.16033375573656983</v>
      </c>
      <c r="J158" s="15">
        <v>6335031</v>
      </c>
      <c r="K158" s="15">
        <v>1308897</v>
      </c>
      <c r="L158" s="14">
        <f t="shared" si="25"/>
        <v>7643928</v>
      </c>
      <c r="M158" s="15">
        <v>20833085</v>
      </c>
      <c r="N158" s="15">
        <v>4359026</v>
      </c>
      <c r="O158" s="14">
        <f t="shared" si="26"/>
        <v>25192111</v>
      </c>
      <c r="P158" s="114">
        <f t="shared" si="31"/>
        <v>0.30342546521805974</v>
      </c>
      <c r="Q158" s="15">
        <v>23900000</v>
      </c>
      <c r="R158" s="15">
        <v>5100000</v>
      </c>
      <c r="S158" s="14">
        <f t="shared" si="32"/>
        <v>29000000</v>
      </c>
      <c r="T158" s="15">
        <v>5608457.92</v>
      </c>
      <c r="U158" s="15">
        <v>1170241.57</v>
      </c>
      <c r="V158" s="14">
        <f t="shared" si="29"/>
        <v>6778699.49</v>
      </c>
      <c r="W158" s="114">
        <f t="shared" si="33"/>
        <v>0.23374825827586207</v>
      </c>
      <c r="X158" s="81" t="s">
        <v>59</v>
      </c>
      <c r="Z158" s="34"/>
      <c r="AA158" s="34"/>
      <c r="AB158" s="115"/>
    </row>
    <row r="159" spans="1:26" s="8" customFormat="1" ht="12" customHeight="1">
      <c r="A159" s="218" t="s">
        <v>276</v>
      </c>
      <c r="B159" s="218"/>
      <c r="C159" s="38">
        <v>29174465</v>
      </c>
      <c r="D159" s="38">
        <v>26389849</v>
      </c>
      <c r="E159" s="38">
        <f t="shared" si="23"/>
        <v>55564314</v>
      </c>
      <c r="F159" s="38">
        <v>76069611</v>
      </c>
      <c r="G159" s="38">
        <v>73121401</v>
      </c>
      <c r="H159" s="38">
        <f t="shared" si="24"/>
        <v>149191012</v>
      </c>
      <c r="I159" s="114">
        <f t="shared" si="30"/>
        <v>0.37243740929916075</v>
      </c>
      <c r="J159" s="38">
        <v>32201990</v>
      </c>
      <c r="K159" s="38">
        <v>31036577</v>
      </c>
      <c r="L159" s="38">
        <f t="shared" si="25"/>
        <v>63238567</v>
      </c>
      <c r="M159" s="38">
        <v>84101765</v>
      </c>
      <c r="N159" s="38">
        <v>85633899</v>
      </c>
      <c r="O159" s="38">
        <f t="shared" si="26"/>
        <v>169735664</v>
      </c>
      <c r="P159" s="114">
        <f t="shared" si="31"/>
        <v>0.3725708876362012</v>
      </c>
      <c r="Q159" s="38">
        <f>SUM(Q160:Q162)</f>
        <v>89623482</v>
      </c>
      <c r="R159" s="38">
        <f>SUM(R160:R162)</f>
        <v>91948462</v>
      </c>
      <c r="S159" s="38">
        <f t="shared" si="32"/>
        <v>181571944</v>
      </c>
      <c r="T159" s="38">
        <v>34470570</v>
      </c>
      <c r="U159" s="38">
        <v>34286211</v>
      </c>
      <c r="V159" s="38">
        <f t="shared" si="29"/>
        <v>68756781</v>
      </c>
      <c r="W159" s="114">
        <f t="shared" si="33"/>
        <v>0.37867513826915905</v>
      </c>
      <c r="X159" s="76"/>
      <c r="Y159" s="114">
        <f>V159/V5</f>
        <v>0.2959206669140909</v>
      </c>
      <c r="Z159" s="8" t="s">
        <v>147</v>
      </c>
    </row>
    <row r="160" spans="1:24" s="1" customFormat="1" ht="14.25" customHeight="1" hidden="1">
      <c r="A160" s="53">
        <v>1</v>
      </c>
      <c r="B160" s="172" t="s">
        <v>277</v>
      </c>
      <c r="C160" s="173"/>
      <c r="D160" s="173"/>
      <c r="E160" s="14">
        <f t="shared" si="23"/>
        <v>0</v>
      </c>
      <c r="F160" s="173"/>
      <c r="G160" s="173"/>
      <c r="H160" s="14">
        <f t="shared" si="24"/>
        <v>0</v>
      </c>
      <c r="I160" s="114" t="e">
        <f t="shared" si="30"/>
        <v>#DIV/0!</v>
      </c>
      <c r="J160" s="173"/>
      <c r="K160" s="173"/>
      <c r="L160" s="14">
        <f t="shared" si="25"/>
        <v>0</v>
      </c>
      <c r="M160" s="173"/>
      <c r="N160" s="173"/>
      <c r="O160" s="14">
        <f t="shared" si="26"/>
        <v>0</v>
      </c>
      <c r="P160" s="114" t="e">
        <f t="shared" si="31"/>
        <v>#DIV/0!</v>
      </c>
      <c r="Q160" s="173">
        <f>80587643+9035839</f>
        <v>89623482</v>
      </c>
      <c r="R160" s="173">
        <f>95772194-11836037</f>
        <v>83936157</v>
      </c>
      <c r="S160" s="14">
        <f t="shared" si="32"/>
        <v>173559639</v>
      </c>
      <c r="T160" s="15"/>
      <c r="U160" s="15"/>
      <c r="V160" s="14">
        <f t="shared" si="29"/>
        <v>0</v>
      </c>
      <c r="W160" s="114">
        <f t="shared" si="33"/>
        <v>0</v>
      </c>
      <c r="X160" s="76" t="s">
        <v>408</v>
      </c>
    </row>
    <row r="161" spans="1:24" s="1" customFormat="1" ht="22.5" customHeight="1" hidden="1">
      <c r="A161" s="53">
        <v>2</v>
      </c>
      <c r="B161" s="28" t="s">
        <v>359</v>
      </c>
      <c r="C161" s="126"/>
      <c r="D161" s="126"/>
      <c r="E161" s="14">
        <f t="shared" si="23"/>
        <v>0</v>
      </c>
      <c r="F161" s="126"/>
      <c r="G161" s="126"/>
      <c r="H161" s="14">
        <f t="shared" si="24"/>
        <v>0</v>
      </c>
      <c r="I161" s="114" t="e">
        <f t="shared" si="30"/>
        <v>#DIV/0!</v>
      </c>
      <c r="J161" s="126"/>
      <c r="K161" s="126"/>
      <c r="L161" s="14">
        <f t="shared" si="25"/>
        <v>0</v>
      </c>
      <c r="M161" s="126"/>
      <c r="N161" s="126"/>
      <c r="O161" s="14">
        <f t="shared" si="26"/>
        <v>0</v>
      </c>
      <c r="P161" s="114" t="e">
        <f t="shared" si="31"/>
        <v>#DIV/0!</v>
      </c>
      <c r="Q161" s="126"/>
      <c r="R161" s="126"/>
      <c r="S161" s="14">
        <f t="shared" si="32"/>
        <v>0</v>
      </c>
      <c r="T161" s="15"/>
      <c r="U161" s="15"/>
      <c r="V161" s="14">
        <f t="shared" si="29"/>
        <v>0</v>
      </c>
      <c r="W161" s="114" t="e">
        <f t="shared" si="33"/>
        <v>#DIV/0!</v>
      </c>
      <c r="X161" s="1" t="s">
        <v>130</v>
      </c>
    </row>
    <row r="162" spans="1:24" s="1" customFormat="1" ht="13.5" customHeight="1" hidden="1">
      <c r="A162" s="53">
        <v>3</v>
      </c>
      <c r="B162" s="32" t="s">
        <v>278</v>
      </c>
      <c r="C162" s="126"/>
      <c r="D162" s="173"/>
      <c r="E162" s="14">
        <f t="shared" si="23"/>
        <v>0</v>
      </c>
      <c r="F162" s="126"/>
      <c r="G162" s="173"/>
      <c r="H162" s="14">
        <f t="shared" si="24"/>
        <v>0</v>
      </c>
      <c r="I162" s="114" t="e">
        <f t="shared" si="30"/>
        <v>#DIV/0!</v>
      </c>
      <c r="J162" s="126"/>
      <c r="K162" s="173"/>
      <c r="L162" s="14">
        <f t="shared" si="25"/>
        <v>0</v>
      </c>
      <c r="M162" s="126"/>
      <c r="N162" s="173"/>
      <c r="O162" s="14">
        <f t="shared" si="26"/>
        <v>0</v>
      </c>
      <c r="P162" s="114" t="e">
        <f t="shared" si="31"/>
        <v>#DIV/0!</v>
      </c>
      <c r="Q162" s="126"/>
      <c r="R162" s="173">
        <f>8015783-3478</f>
        <v>8012305</v>
      </c>
      <c r="S162" s="14">
        <f t="shared" si="32"/>
        <v>8012305</v>
      </c>
      <c r="T162" s="15"/>
      <c r="U162" s="15"/>
      <c r="V162" s="14">
        <f t="shared" si="29"/>
        <v>0</v>
      </c>
      <c r="W162" s="114">
        <f t="shared" si="33"/>
        <v>0</v>
      </c>
      <c r="X162" s="83" t="s">
        <v>409</v>
      </c>
    </row>
    <row r="163" spans="1:25" s="39" customFormat="1" ht="29.25" customHeight="1">
      <c r="A163" s="215" t="s">
        <v>279</v>
      </c>
      <c r="B163" s="215"/>
      <c r="C163" s="37">
        <f>C164+C196+C203</f>
        <v>12867424</v>
      </c>
      <c r="D163" s="37">
        <f>D164+D196+D203</f>
        <v>4498828</v>
      </c>
      <c r="E163" s="38">
        <f t="shared" si="23"/>
        <v>17366252</v>
      </c>
      <c r="F163" s="37">
        <f>F164+F196+F203</f>
        <v>47234220</v>
      </c>
      <c r="G163" s="37">
        <f>G164+G196+G203</f>
        <v>14517296</v>
      </c>
      <c r="H163" s="38">
        <f t="shared" si="24"/>
        <v>61751516</v>
      </c>
      <c r="I163" s="114">
        <f t="shared" si="30"/>
        <v>0.2812279458855715</v>
      </c>
      <c r="J163" s="37">
        <f>J164+J196+J203</f>
        <v>15771860</v>
      </c>
      <c r="K163" s="37">
        <f>K164+K196+K203</f>
        <v>5005366</v>
      </c>
      <c r="L163" s="38">
        <f t="shared" si="25"/>
        <v>20777226</v>
      </c>
      <c r="M163" s="37">
        <f>M164+M196+M203</f>
        <v>47162404</v>
      </c>
      <c r="N163" s="37">
        <f>N164+N196+N203</f>
        <v>17332008</v>
      </c>
      <c r="O163" s="38">
        <f t="shared" si="26"/>
        <v>64494412</v>
      </c>
      <c r="P163" s="114">
        <f t="shared" si="31"/>
        <v>0.32215544503297433</v>
      </c>
      <c r="Q163" s="37">
        <f>Q164+Q196+Q203</f>
        <v>49771150</v>
      </c>
      <c r="R163" s="37">
        <f>R164+R196+R203</f>
        <v>16603870</v>
      </c>
      <c r="S163" s="38">
        <f t="shared" si="32"/>
        <v>66375020</v>
      </c>
      <c r="T163" s="37">
        <f>T164+T196+T203</f>
        <v>12098723</v>
      </c>
      <c r="U163" s="37">
        <f>U164+U196+U203</f>
        <v>4988440</v>
      </c>
      <c r="V163" s="38">
        <f t="shared" si="29"/>
        <v>17087163</v>
      </c>
      <c r="W163" s="114">
        <f t="shared" si="33"/>
        <v>0.25743363994466595</v>
      </c>
      <c r="X163" s="76" t="s">
        <v>63</v>
      </c>
      <c r="Y163" s="114">
        <f>V163/V5</f>
        <v>0.07354103256564293</v>
      </c>
    </row>
    <row r="164" spans="1:24" s="41" customFormat="1" ht="12">
      <c r="A164" s="55">
        <v>1</v>
      </c>
      <c r="B164" s="40" t="s">
        <v>280</v>
      </c>
      <c r="C164" s="9">
        <v>12043674</v>
      </c>
      <c r="D164" s="9">
        <v>4129157</v>
      </c>
      <c r="E164" s="27">
        <f t="shared" si="23"/>
        <v>16172831</v>
      </c>
      <c r="F164" s="9">
        <v>42721788</v>
      </c>
      <c r="G164" s="9">
        <v>12996397</v>
      </c>
      <c r="H164" s="27">
        <f t="shared" si="24"/>
        <v>55718185</v>
      </c>
      <c r="I164" s="114">
        <f t="shared" si="30"/>
        <v>0.2902612674838565</v>
      </c>
      <c r="J164" s="9">
        <v>14778860</v>
      </c>
      <c r="K164" s="9">
        <v>4659626</v>
      </c>
      <c r="L164" s="27">
        <f t="shared" si="25"/>
        <v>19438486</v>
      </c>
      <c r="M164" s="9">
        <v>40828639</v>
      </c>
      <c r="N164" s="9">
        <v>15516386</v>
      </c>
      <c r="O164" s="27">
        <f t="shared" si="26"/>
        <v>56345025</v>
      </c>
      <c r="P164" s="114">
        <f t="shared" si="31"/>
        <v>0.344990280863306</v>
      </c>
      <c r="Q164" s="9">
        <f>SUM(Q165:Q170,Q181:Q195)</f>
        <v>46925015</v>
      </c>
      <c r="R164" s="9">
        <f>SUM(R165:R170,R181:R195)</f>
        <v>15552910</v>
      </c>
      <c r="S164" s="27">
        <f t="shared" si="32"/>
        <v>62477925</v>
      </c>
      <c r="T164" s="9">
        <v>11141095</v>
      </c>
      <c r="U164" s="9">
        <v>4606280</v>
      </c>
      <c r="V164" s="27">
        <f t="shared" si="29"/>
        <v>15747375</v>
      </c>
      <c r="W164" s="114">
        <f t="shared" si="33"/>
        <v>0.2520470230085266</v>
      </c>
      <c r="X164" s="69" t="s">
        <v>61</v>
      </c>
    </row>
    <row r="165" spans="1:25" s="1" customFormat="1" ht="23.25" customHeight="1" hidden="1">
      <c r="A165" s="53"/>
      <c r="B165" s="170" t="s">
        <v>400</v>
      </c>
      <c r="C165" s="126"/>
      <c r="D165" s="15"/>
      <c r="E165" s="14">
        <f t="shared" si="23"/>
        <v>0</v>
      </c>
      <c r="F165" s="126"/>
      <c r="G165" s="15"/>
      <c r="H165" s="14">
        <f t="shared" si="24"/>
        <v>0</v>
      </c>
      <c r="I165" s="114" t="e">
        <f t="shared" si="30"/>
        <v>#DIV/0!</v>
      </c>
      <c r="J165" s="126"/>
      <c r="K165" s="15"/>
      <c r="L165" s="14">
        <f t="shared" si="25"/>
        <v>0</v>
      </c>
      <c r="M165" s="126"/>
      <c r="N165" s="15"/>
      <c r="O165" s="14">
        <f t="shared" si="26"/>
        <v>0</v>
      </c>
      <c r="P165" s="114" t="e">
        <f t="shared" si="31"/>
        <v>#DIV/0!</v>
      </c>
      <c r="Q165" s="126"/>
      <c r="R165" s="15">
        <v>773000</v>
      </c>
      <c r="S165" s="14">
        <f t="shared" si="32"/>
        <v>773000</v>
      </c>
      <c r="T165" s="15"/>
      <c r="U165" s="15"/>
      <c r="V165" s="14">
        <f t="shared" si="29"/>
        <v>0</v>
      </c>
      <c r="W165" s="114">
        <f t="shared" si="33"/>
        <v>0</v>
      </c>
      <c r="X165" s="81" t="s">
        <v>196</v>
      </c>
      <c r="Y165" s="1">
        <f>40828639.22-T164</f>
        <v>29687544.22</v>
      </c>
    </row>
    <row r="166" spans="1:24" s="1" customFormat="1" ht="22.5" hidden="1">
      <c r="A166" s="53"/>
      <c r="B166" s="42" t="s">
        <v>333</v>
      </c>
      <c r="C166" s="126"/>
      <c r="D166" s="126"/>
      <c r="E166" s="14">
        <f t="shared" si="23"/>
        <v>0</v>
      </c>
      <c r="F166" s="126"/>
      <c r="G166" s="126"/>
      <c r="H166" s="14">
        <f t="shared" si="24"/>
        <v>0</v>
      </c>
      <c r="I166" s="114" t="e">
        <f t="shared" si="30"/>
        <v>#DIV/0!</v>
      </c>
      <c r="J166" s="126"/>
      <c r="K166" s="126"/>
      <c r="L166" s="14">
        <f t="shared" si="25"/>
        <v>0</v>
      </c>
      <c r="M166" s="126"/>
      <c r="N166" s="126"/>
      <c r="O166" s="14">
        <f t="shared" si="26"/>
        <v>0</v>
      </c>
      <c r="P166" s="114" t="e">
        <f t="shared" si="31"/>
        <v>#DIV/0!</v>
      </c>
      <c r="Q166" s="126"/>
      <c r="R166" s="126"/>
      <c r="S166" s="14">
        <f t="shared" si="32"/>
        <v>0</v>
      </c>
      <c r="T166" s="15"/>
      <c r="U166" s="15"/>
      <c r="V166" s="14">
        <f t="shared" si="29"/>
        <v>0</v>
      </c>
      <c r="W166" s="114" t="e">
        <f t="shared" si="33"/>
        <v>#DIV/0!</v>
      </c>
      <c r="X166" s="81"/>
    </row>
    <row r="167" spans="1:24" s="1" customFormat="1" ht="22.5" hidden="1">
      <c r="A167" s="53"/>
      <c r="B167" s="42" t="s">
        <v>343</v>
      </c>
      <c r="C167" s="126"/>
      <c r="D167" s="126"/>
      <c r="E167" s="14">
        <f t="shared" si="23"/>
        <v>0</v>
      </c>
      <c r="F167" s="126"/>
      <c r="G167" s="126"/>
      <c r="H167" s="14">
        <f t="shared" si="24"/>
        <v>0</v>
      </c>
      <c r="I167" s="114" t="e">
        <f t="shared" si="30"/>
        <v>#DIV/0!</v>
      </c>
      <c r="J167" s="126"/>
      <c r="K167" s="126"/>
      <c r="L167" s="14">
        <f t="shared" si="25"/>
        <v>0</v>
      </c>
      <c r="M167" s="126"/>
      <c r="N167" s="126"/>
      <c r="O167" s="14">
        <f t="shared" si="26"/>
        <v>0</v>
      </c>
      <c r="P167" s="114" t="e">
        <f t="shared" si="31"/>
        <v>#DIV/0!</v>
      </c>
      <c r="Q167" s="126"/>
      <c r="R167" s="126"/>
      <c r="S167" s="14">
        <f t="shared" si="32"/>
        <v>0</v>
      </c>
      <c r="T167" s="15"/>
      <c r="U167" s="15"/>
      <c r="V167" s="14">
        <f t="shared" si="29"/>
        <v>0</v>
      </c>
      <c r="W167" s="114" t="e">
        <f t="shared" si="33"/>
        <v>#DIV/0!</v>
      </c>
      <c r="X167" s="80"/>
    </row>
    <row r="168" spans="1:25" s="2" customFormat="1" ht="21.75" customHeight="1" hidden="1">
      <c r="A168" s="53"/>
      <c r="B168" s="28" t="s">
        <v>382</v>
      </c>
      <c r="C168" s="126"/>
      <c r="D168" s="15"/>
      <c r="E168" s="14">
        <f t="shared" si="23"/>
        <v>0</v>
      </c>
      <c r="F168" s="126"/>
      <c r="G168" s="15"/>
      <c r="H168" s="14">
        <f t="shared" si="24"/>
        <v>0</v>
      </c>
      <c r="I168" s="114" t="e">
        <f t="shared" si="30"/>
        <v>#DIV/0!</v>
      </c>
      <c r="J168" s="126"/>
      <c r="K168" s="15"/>
      <c r="L168" s="14">
        <f t="shared" si="25"/>
        <v>0</v>
      </c>
      <c r="M168" s="126"/>
      <c r="N168" s="15"/>
      <c r="O168" s="14">
        <f t="shared" si="26"/>
        <v>0</v>
      </c>
      <c r="P168" s="114" t="e">
        <f t="shared" si="31"/>
        <v>#DIV/0!</v>
      </c>
      <c r="Q168" s="126"/>
      <c r="R168" s="15">
        <v>11397000</v>
      </c>
      <c r="S168" s="14">
        <f t="shared" si="32"/>
        <v>11397000</v>
      </c>
      <c r="T168" s="15"/>
      <c r="U168" s="15"/>
      <c r="V168" s="14">
        <f t="shared" si="29"/>
        <v>0</v>
      </c>
      <c r="W168" s="114">
        <f t="shared" si="33"/>
        <v>0</v>
      </c>
      <c r="X168" s="80" t="s">
        <v>64</v>
      </c>
      <c r="Y168" s="114">
        <f>V168/V163</f>
        <v>0</v>
      </c>
    </row>
    <row r="169" spans="1:24" s="2" customFormat="1" ht="21.75" customHeight="1" hidden="1">
      <c r="A169" s="53"/>
      <c r="B169" s="28" t="s">
        <v>383</v>
      </c>
      <c r="C169" s="126"/>
      <c r="D169" s="15"/>
      <c r="E169" s="14">
        <f t="shared" si="23"/>
        <v>0</v>
      </c>
      <c r="F169" s="126"/>
      <c r="G169" s="15"/>
      <c r="H169" s="14">
        <f t="shared" si="24"/>
        <v>0</v>
      </c>
      <c r="I169" s="114" t="e">
        <f t="shared" si="30"/>
        <v>#DIV/0!</v>
      </c>
      <c r="J169" s="126"/>
      <c r="K169" s="15"/>
      <c r="L169" s="14">
        <f t="shared" si="25"/>
        <v>0</v>
      </c>
      <c r="M169" s="126"/>
      <c r="N169" s="15"/>
      <c r="O169" s="14">
        <f t="shared" si="26"/>
        <v>0</v>
      </c>
      <c r="P169" s="114" t="e">
        <f t="shared" si="31"/>
        <v>#DIV/0!</v>
      </c>
      <c r="Q169" s="126"/>
      <c r="R169" s="15">
        <v>300000</v>
      </c>
      <c r="S169" s="14">
        <f t="shared" si="32"/>
        <v>300000</v>
      </c>
      <c r="T169" s="15"/>
      <c r="U169" s="15"/>
      <c r="V169" s="14">
        <f t="shared" si="29"/>
        <v>0</v>
      </c>
      <c r="W169" s="114">
        <f t="shared" si="33"/>
        <v>0</v>
      </c>
      <c r="X169" s="80" t="s">
        <v>65</v>
      </c>
    </row>
    <row r="170" spans="1:25" s="2" customFormat="1" ht="12" customHeight="1" hidden="1">
      <c r="A170" s="53"/>
      <c r="B170" s="28" t="s">
        <v>281</v>
      </c>
      <c r="C170" s="15">
        <f>SUM(C171:C180)</f>
        <v>0</v>
      </c>
      <c r="D170" s="15">
        <f>SUM(D171:D180)</f>
        <v>0</v>
      </c>
      <c r="E170" s="14">
        <f t="shared" si="23"/>
        <v>0</v>
      </c>
      <c r="F170" s="15">
        <f>SUM(F171:F180)</f>
        <v>0</v>
      </c>
      <c r="G170" s="15">
        <f>SUM(G171:G180)</f>
        <v>0</v>
      </c>
      <c r="H170" s="14">
        <f t="shared" si="24"/>
        <v>0</v>
      </c>
      <c r="I170" s="114" t="e">
        <f t="shared" si="30"/>
        <v>#DIV/0!</v>
      </c>
      <c r="J170" s="15">
        <f>SUM(J171:J180)</f>
        <v>0</v>
      </c>
      <c r="K170" s="15">
        <f>SUM(K171:K180)</f>
        <v>0</v>
      </c>
      <c r="L170" s="14">
        <f t="shared" si="25"/>
        <v>0</v>
      </c>
      <c r="M170" s="15">
        <f>SUM(M171:M180)</f>
        <v>0</v>
      </c>
      <c r="N170" s="15">
        <f>SUM(N171:N180)</f>
        <v>0</v>
      </c>
      <c r="O170" s="14">
        <f t="shared" si="26"/>
        <v>0</v>
      </c>
      <c r="P170" s="114" t="e">
        <f t="shared" si="31"/>
        <v>#DIV/0!</v>
      </c>
      <c r="Q170" s="15">
        <f>SUM(Q171:Q180)</f>
        <v>45495130</v>
      </c>
      <c r="R170" s="15">
        <f>SUM(R171:R180)</f>
        <v>697500</v>
      </c>
      <c r="S170" s="14">
        <f t="shared" si="32"/>
        <v>46192630</v>
      </c>
      <c r="T170" s="15">
        <f>SUM(T171:T180)</f>
        <v>0</v>
      </c>
      <c r="U170" s="15">
        <f>SUM(U171:U180)</f>
        <v>0</v>
      </c>
      <c r="V170" s="14">
        <f t="shared" si="29"/>
        <v>0</v>
      </c>
      <c r="W170" s="114">
        <f t="shared" si="33"/>
        <v>0</v>
      </c>
      <c r="X170" s="80" t="s">
        <v>85</v>
      </c>
      <c r="Y170" s="114">
        <f>V170/V163</f>
        <v>0</v>
      </c>
    </row>
    <row r="171" spans="1:24" s="6" customFormat="1" ht="11.25" hidden="1">
      <c r="A171" s="50"/>
      <c r="B171" s="44" t="s">
        <v>282</v>
      </c>
      <c r="C171" s="21"/>
      <c r="D171" s="21"/>
      <c r="E171" s="20">
        <f t="shared" si="23"/>
        <v>0</v>
      </c>
      <c r="F171" s="21"/>
      <c r="G171" s="21"/>
      <c r="H171" s="20">
        <f t="shared" si="24"/>
        <v>0</v>
      </c>
      <c r="I171" s="114" t="e">
        <f t="shared" si="30"/>
        <v>#DIV/0!</v>
      </c>
      <c r="J171" s="21"/>
      <c r="K171" s="21"/>
      <c r="L171" s="20">
        <f t="shared" si="25"/>
        <v>0</v>
      </c>
      <c r="M171" s="21"/>
      <c r="N171" s="21"/>
      <c r="O171" s="20">
        <f t="shared" si="26"/>
        <v>0</v>
      </c>
      <c r="P171" s="114" t="e">
        <f t="shared" si="31"/>
        <v>#DIV/0!</v>
      </c>
      <c r="Q171" s="21">
        <v>1449000</v>
      </c>
      <c r="R171" s="21">
        <v>354000</v>
      </c>
      <c r="S171" s="20">
        <f t="shared" si="32"/>
        <v>1803000</v>
      </c>
      <c r="T171" s="21"/>
      <c r="U171" s="21"/>
      <c r="V171" s="20">
        <f t="shared" si="29"/>
        <v>0</v>
      </c>
      <c r="W171" s="114">
        <f t="shared" si="33"/>
        <v>0</v>
      </c>
      <c r="X171" s="80" t="s">
        <v>66</v>
      </c>
    </row>
    <row r="172" spans="1:24" s="6" customFormat="1" ht="33.75" hidden="1">
      <c r="A172" s="50"/>
      <c r="B172" s="44" t="s">
        <v>401</v>
      </c>
      <c r="C172" s="21"/>
      <c r="D172" s="21"/>
      <c r="E172" s="20">
        <f t="shared" si="23"/>
        <v>0</v>
      </c>
      <c r="F172" s="21"/>
      <c r="G172" s="21"/>
      <c r="H172" s="20">
        <f t="shared" si="24"/>
        <v>0</v>
      </c>
      <c r="I172" s="114" t="e">
        <f t="shared" si="30"/>
        <v>#DIV/0!</v>
      </c>
      <c r="J172" s="21"/>
      <c r="K172" s="21"/>
      <c r="L172" s="20">
        <f t="shared" si="25"/>
        <v>0</v>
      </c>
      <c r="M172" s="21"/>
      <c r="N172" s="21"/>
      <c r="O172" s="20">
        <f t="shared" si="26"/>
        <v>0</v>
      </c>
      <c r="P172" s="114" t="e">
        <f t="shared" si="31"/>
        <v>#DIV/0!</v>
      </c>
      <c r="Q172" s="21"/>
      <c r="R172" s="21">
        <v>43500</v>
      </c>
      <c r="S172" s="20">
        <f t="shared" si="32"/>
        <v>43500</v>
      </c>
      <c r="T172" s="21"/>
      <c r="U172" s="21"/>
      <c r="V172" s="20"/>
      <c r="W172" s="114">
        <f t="shared" si="33"/>
        <v>0</v>
      </c>
      <c r="X172" s="80" t="s">
        <v>402</v>
      </c>
    </row>
    <row r="173" spans="1:24" s="6" customFormat="1" ht="11.25" hidden="1">
      <c r="A173" s="50"/>
      <c r="B173" s="44" t="s">
        <v>283</v>
      </c>
      <c r="C173" s="21"/>
      <c r="D173" s="161"/>
      <c r="E173" s="20">
        <f t="shared" si="23"/>
        <v>0</v>
      </c>
      <c r="F173" s="21"/>
      <c r="G173" s="161"/>
      <c r="H173" s="20">
        <f t="shared" si="24"/>
        <v>0</v>
      </c>
      <c r="I173" s="114" t="e">
        <f t="shared" si="30"/>
        <v>#DIV/0!</v>
      </c>
      <c r="J173" s="21"/>
      <c r="K173" s="161"/>
      <c r="L173" s="20">
        <f t="shared" si="25"/>
        <v>0</v>
      </c>
      <c r="M173" s="21"/>
      <c r="N173" s="161"/>
      <c r="O173" s="20">
        <f t="shared" si="26"/>
        <v>0</v>
      </c>
      <c r="P173" s="114" t="e">
        <f t="shared" si="31"/>
        <v>#DIV/0!</v>
      </c>
      <c r="Q173" s="21">
        <v>475000</v>
      </c>
      <c r="R173" s="161"/>
      <c r="S173" s="20">
        <f t="shared" si="32"/>
        <v>475000</v>
      </c>
      <c r="T173" s="21"/>
      <c r="U173" s="21"/>
      <c r="V173" s="20">
        <f aca="true" t="shared" si="34" ref="V173:V204">SUM(T173:U173)</f>
        <v>0</v>
      </c>
      <c r="W173" s="114">
        <f t="shared" si="33"/>
        <v>0</v>
      </c>
      <c r="X173" s="80" t="s">
        <v>200</v>
      </c>
    </row>
    <row r="174" spans="1:24" s="6" customFormat="1" ht="11.25" hidden="1">
      <c r="A174" s="50"/>
      <c r="B174" s="44" t="s">
        <v>284</v>
      </c>
      <c r="C174" s="21"/>
      <c r="D174" s="161"/>
      <c r="E174" s="20">
        <f t="shared" si="23"/>
        <v>0</v>
      </c>
      <c r="F174" s="21"/>
      <c r="G174" s="161"/>
      <c r="H174" s="20">
        <f t="shared" si="24"/>
        <v>0</v>
      </c>
      <c r="I174" s="114" t="e">
        <f t="shared" si="30"/>
        <v>#DIV/0!</v>
      </c>
      <c r="J174" s="21"/>
      <c r="K174" s="161"/>
      <c r="L174" s="20">
        <f t="shared" si="25"/>
        <v>0</v>
      </c>
      <c r="M174" s="21"/>
      <c r="N174" s="161"/>
      <c r="O174" s="20">
        <f t="shared" si="26"/>
        <v>0</v>
      </c>
      <c r="P174" s="114" t="e">
        <f t="shared" si="31"/>
        <v>#DIV/0!</v>
      </c>
      <c r="Q174" s="21">
        <v>4743000</v>
      </c>
      <c r="R174" s="161"/>
      <c r="S174" s="20">
        <f t="shared" si="32"/>
        <v>4743000</v>
      </c>
      <c r="T174" s="21"/>
      <c r="U174" s="21"/>
      <c r="V174" s="20">
        <f t="shared" si="34"/>
        <v>0</v>
      </c>
      <c r="W174" s="114">
        <f t="shared" si="33"/>
        <v>0</v>
      </c>
      <c r="X174" s="80" t="s">
        <v>201</v>
      </c>
    </row>
    <row r="175" spans="1:24" s="6" customFormat="1" ht="16.5" customHeight="1" hidden="1">
      <c r="A175" s="50"/>
      <c r="B175" s="44" t="s">
        <v>202</v>
      </c>
      <c r="C175" s="161"/>
      <c r="D175" s="161"/>
      <c r="E175" s="20">
        <f t="shared" si="23"/>
        <v>0</v>
      </c>
      <c r="F175" s="161"/>
      <c r="G175" s="161"/>
      <c r="H175" s="20">
        <f t="shared" si="24"/>
        <v>0</v>
      </c>
      <c r="I175" s="114" t="e">
        <f t="shared" si="30"/>
        <v>#DIV/0!</v>
      </c>
      <c r="J175" s="161"/>
      <c r="K175" s="161"/>
      <c r="L175" s="20">
        <f t="shared" si="25"/>
        <v>0</v>
      </c>
      <c r="M175" s="161"/>
      <c r="N175" s="161"/>
      <c r="O175" s="20">
        <f t="shared" si="26"/>
        <v>0</v>
      </c>
      <c r="P175" s="114" t="e">
        <f t="shared" si="31"/>
        <v>#DIV/0!</v>
      </c>
      <c r="Q175" s="161"/>
      <c r="R175" s="161"/>
      <c r="S175" s="20">
        <f t="shared" si="32"/>
        <v>0</v>
      </c>
      <c r="T175" s="21"/>
      <c r="U175" s="21"/>
      <c r="V175" s="20">
        <f t="shared" si="34"/>
        <v>0</v>
      </c>
      <c r="W175" s="114" t="e">
        <f t="shared" si="33"/>
        <v>#DIV/0!</v>
      </c>
      <c r="X175" s="136" t="s">
        <v>203</v>
      </c>
    </row>
    <row r="176" spans="1:24" s="6" customFormat="1" ht="11.25" hidden="1">
      <c r="A176" s="50"/>
      <c r="B176" s="44" t="s">
        <v>285</v>
      </c>
      <c r="C176" s="21"/>
      <c r="D176" s="161"/>
      <c r="E176" s="20">
        <f t="shared" si="23"/>
        <v>0</v>
      </c>
      <c r="F176" s="21"/>
      <c r="G176" s="161"/>
      <c r="H176" s="20">
        <f t="shared" si="24"/>
        <v>0</v>
      </c>
      <c r="I176" s="114" t="e">
        <f t="shared" si="30"/>
        <v>#DIV/0!</v>
      </c>
      <c r="J176" s="21"/>
      <c r="K176" s="161"/>
      <c r="L176" s="20">
        <f t="shared" si="25"/>
        <v>0</v>
      </c>
      <c r="M176" s="21"/>
      <c r="N176" s="161"/>
      <c r="O176" s="20">
        <f t="shared" si="26"/>
        <v>0</v>
      </c>
      <c r="P176" s="114" t="e">
        <f t="shared" si="31"/>
        <v>#DIV/0!</v>
      </c>
      <c r="Q176" s="21">
        <v>38288130</v>
      </c>
      <c r="R176" s="161"/>
      <c r="S176" s="20">
        <f t="shared" si="32"/>
        <v>38288130</v>
      </c>
      <c r="T176" s="21"/>
      <c r="U176" s="21"/>
      <c r="V176" s="20">
        <f t="shared" si="34"/>
        <v>0</v>
      </c>
      <c r="W176" s="114">
        <f t="shared" si="33"/>
        <v>0</v>
      </c>
      <c r="X176" s="81" t="s">
        <v>163</v>
      </c>
    </row>
    <row r="177" spans="1:24" s="6" customFormat="1" ht="21.75" customHeight="1" hidden="1">
      <c r="A177" s="50"/>
      <c r="B177" s="44" t="s">
        <v>353</v>
      </c>
      <c r="C177" s="161"/>
      <c r="D177" s="161"/>
      <c r="E177" s="20">
        <f t="shared" si="23"/>
        <v>0</v>
      </c>
      <c r="F177" s="161"/>
      <c r="G177" s="161"/>
      <c r="H177" s="20">
        <f t="shared" si="24"/>
        <v>0</v>
      </c>
      <c r="I177" s="114" t="e">
        <f t="shared" si="30"/>
        <v>#DIV/0!</v>
      </c>
      <c r="J177" s="161"/>
      <c r="K177" s="161"/>
      <c r="L177" s="20">
        <f t="shared" si="25"/>
        <v>0</v>
      </c>
      <c r="M177" s="161"/>
      <c r="N177" s="161"/>
      <c r="O177" s="20">
        <f t="shared" si="26"/>
        <v>0</v>
      </c>
      <c r="P177" s="114" t="e">
        <f t="shared" si="31"/>
        <v>#DIV/0!</v>
      </c>
      <c r="Q177" s="161"/>
      <c r="R177" s="161"/>
      <c r="S177" s="20">
        <f t="shared" si="32"/>
        <v>0</v>
      </c>
      <c r="T177" s="21"/>
      <c r="U177" s="21"/>
      <c r="V177" s="20">
        <f t="shared" si="34"/>
        <v>0</v>
      </c>
      <c r="W177" s="114" t="e">
        <f t="shared" si="33"/>
        <v>#DIV/0!</v>
      </c>
      <c r="X177" s="81" t="s">
        <v>67</v>
      </c>
    </row>
    <row r="178" spans="1:24" s="6" customFormat="1" ht="11.25" hidden="1">
      <c r="A178" s="50"/>
      <c r="B178" s="44" t="s">
        <v>286</v>
      </c>
      <c r="C178" s="21"/>
      <c r="D178" s="161"/>
      <c r="E178" s="20">
        <f t="shared" si="23"/>
        <v>0</v>
      </c>
      <c r="F178" s="21"/>
      <c r="G178" s="161"/>
      <c r="H178" s="20">
        <f t="shared" si="24"/>
        <v>0</v>
      </c>
      <c r="I178" s="114" t="e">
        <f t="shared" si="30"/>
        <v>#DIV/0!</v>
      </c>
      <c r="J178" s="21"/>
      <c r="K178" s="161"/>
      <c r="L178" s="20">
        <f t="shared" si="25"/>
        <v>0</v>
      </c>
      <c r="M178" s="21"/>
      <c r="N178" s="161"/>
      <c r="O178" s="20">
        <f t="shared" si="26"/>
        <v>0</v>
      </c>
      <c r="P178" s="114" t="e">
        <f t="shared" si="31"/>
        <v>#DIV/0!</v>
      </c>
      <c r="Q178" s="21">
        <v>540000</v>
      </c>
      <c r="R178" s="161"/>
      <c r="S178" s="20">
        <f t="shared" si="32"/>
        <v>540000</v>
      </c>
      <c r="T178" s="21"/>
      <c r="U178" s="21"/>
      <c r="V178" s="20">
        <f t="shared" si="34"/>
        <v>0</v>
      </c>
      <c r="W178" s="114">
        <f t="shared" si="33"/>
        <v>0</v>
      </c>
      <c r="X178" s="81" t="s">
        <v>68</v>
      </c>
    </row>
    <row r="179" spans="1:24" s="6" customFormat="1" ht="33.75" hidden="1">
      <c r="A179" s="50"/>
      <c r="B179" s="44" t="s">
        <v>344</v>
      </c>
      <c r="C179" s="161"/>
      <c r="D179" s="161"/>
      <c r="E179" s="20">
        <f t="shared" si="23"/>
        <v>0</v>
      </c>
      <c r="F179" s="161"/>
      <c r="G179" s="161"/>
      <c r="H179" s="20">
        <f t="shared" si="24"/>
        <v>0</v>
      </c>
      <c r="I179" s="114" t="e">
        <f t="shared" si="30"/>
        <v>#DIV/0!</v>
      </c>
      <c r="J179" s="161"/>
      <c r="K179" s="161"/>
      <c r="L179" s="20">
        <f t="shared" si="25"/>
        <v>0</v>
      </c>
      <c r="M179" s="161"/>
      <c r="N179" s="161"/>
      <c r="O179" s="20">
        <f t="shared" si="26"/>
        <v>0</v>
      </c>
      <c r="P179" s="114" t="e">
        <f t="shared" si="31"/>
        <v>#DIV/0!</v>
      </c>
      <c r="Q179" s="161"/>
      <c r="R179" s="161"/>
      <c r="S179" s="20">
        <f t="shared" si="32"/>
        <v>0</v>
      </c>
      <c r="T179" s="21"/>
      <c r="U179" s="21"/>
      <c r="V179" s="20">
        <f t="shared" si="34"/>
        <v>0</v>
      </c>
      <c r="W179" s="114" t="e">
        <f t="shared" si="33"/>
        <v>#DIV/0!</v>
      </c>
      <c r="X179" s="81"/>
    </row>
    <row r="180" spans="1:24" s="6" customFormat="1" ht="12.75" customHeight="1" hidden="1">
      <c r="A180" s="50"/>
      <c r="B180" s="44" t="s">
        <v>287</v>
      </c>
      <c r="C180" s="161"/>
      <c r="D180" s="21"/>
      <c r="E180" s="20">
        <f aca="true" t="shared" si="35" ref="E180:E236">SUM(C180:D180)</f>
        <v>0</v>
      </c>
      <c r="F180" s="161"/>
      <c r="G180" s="21"/>
      <c r="H180" s="20">
        <f aca="true" t="shared" si="36" ref="H180:H236">SUM(F180:G180)</f>
        <v>0</v>
      </c>
      <c r="I180" s="114" t="e">
        <f t="shared" si="30"/>
        <v>#DIV/0!</v>
      </c>
      <c r="J180" s="161"/>
      <c r="K180" s="21"/>
      <c r="L180" s="20">
        <f aca="true" t="shared" si="37" ref="L180:L236">SUM(J180:K180)</f>
        <v>0</v>
      </c>
      <c r="M180" s="161"/>
      <c r="N180" s="21"/>
      <c r="O180" s="20">
        <f aca="true" t="shared" si="38" ref="O180:O236">SUM(M180:N180)</f>
        <v>0</v>
      </c>
      <c r="P180" s="114" t="e">
        <f t="shared" si="31"/>
        <v>#DIV/0!</v>
      </c>
      <c r="Q180" s="161"/>
      <c r="R180" s="21">
        <v>300000</v>
      </c>
      <c r="S180" s="20">
        <f aca="true" t="shared" si="39" ref="S180:S211">SUM(Q180:R180)</f>
        <v>300000</v>
      </c>
      <c r="T180" s="21"/>
      <c r="U180" s="21"/>
      <c r="V180" s="20">
        <f t="shared" si="34"/>
        <v>0</v>
      </c>
      <c r="W180" s="114">
        <f t="shared" si="33"/>
        <v>0</v>
      </c>
      <c r="X180" s="81" t="s">
        <v>69</v>
      </c>
    </row>
    <row r="181" spans="1:24" s="2" customFormat="1" ht="12" customHeight="1" hidden="1">
      <c r="A181" s="53"/>
      <c r="B181" s="28" t="s">
        <v>288</v>
      </c>
      <c r="C181" s="126"/>
      <c r="D181" s="15"/>
      <c r="E181" s="14">
        <f t="shared" si="35"/>
        <v>0</v>
      </c>
      <c r="F181" s="126"/>
      <c r="G181" s="15"/>
      <c r="H181" s="14">
        <f t="shared" si="36"/>
        <v>0</v>
      </c>
      <c r="I181" s="114" t="e">
        <f t="shared" si="30"/>
        <v>#DIV/0!</v>
      </c>
      <c r="J181" s="126"/>
      <c r="K181" s="15"/>
      <c r="L181" s="14">
        <f t="shared" si="37"/>
        <v>0</v>
      </c>
      <c r="M181" s="126"/>
      <c r="N181" s="15"/>
      <c r="O181" s="14">
        <f t="shared" si="38"/>
        <v>0</v>
      </c>
      <c r="P181" s="114" t="e">
        <f t="shared" si="31"/>
        <v>#DIV/0!</v>
      </c>
      <c r="Q181" s="126"/>
      <c r="R181" s="15">
        <v>1386810</v>
      </c>
      <c r="S181" s="14">
        <f t="shared" si="39"/>
        <v>1386810</v>
      </c>
      <c r="T181" s="15"/>
      <c r="U181" s="15"/>
      <c r="V181" s="14">
        <f t="shared" si="34"/>
        <v>0</v>
      </c>
      <c r="W181" s="114">
        <f t="shared" si="33"/>
        <v>0</v>
      </c>
      <c r="X181" s="81" t="s">
        <v>70</v>
      </c>
    </row>
    <row r="182" spans="1:24" s="2" customFormat="1" ht="21" customHeight="1" hidden="1">
      <c r="A182" s="53"/>
      <c r="B182" s="28" t="s">
        <v>330</v>
      </c>
      <c r="C182" s="15"/>
      <c r="D182" s="126"/>
      <c r="E182" s="14">
        <f t="shared" si="35"/>
        <v>0</v>
      </c>
      <c r="F182" s="15"/>
      <c r="G182" s="126"/>
      <c r="H182" s="14">
        <f t="shared" si="36"/>
        <v>0</v>
      </c>
      <c r="I182" s="114" t="e">
        <f t="shared" si="30"/>
        <v>#DIV/0!</v>
      </c>
      <c r="J182" s="15"/>
      <c r="K182" s="126"/>
      <c r="L182" s="14">
        <f t="shared" si="37"/>
        <v>0</v>
      </c>
      <c r="M182" s="15"/>
      <c r="N182" s="126"/>
      <c r="O182" s="14">
        <f t="shared" si="38"/>
        <v>0</v>
      </c>
      <c r="P182" s="114" t="e">
        <f t="shared" si="31"/>
        <v>#DIV/0!</v>
      </c>
      <c r="Q182" s="15">
        <v>28700</v>
      </c>
      <c r="R182" s="126"/>
      <c r="S182" s="14">
        <f t="shared" si="39"/>
        <v>28700</v>
      </c>
      <c r="T182" s="15"/>
      <c r="U182" s="15"/>
      <c r="V182" s="14">
        <f t="shared" si="34"/>
        <v>0</v>
      </c>
      <c r="W182" s="114">
        <f t="shared" si="33"/>
        <v>0</v>
      </c>
      <c r="X182" s="81" t="s">
        <v>71</v>
      </c>
    </row>
    <row r="183" spans="1:24" s="2" customFormat="1" ht="35.25" customHeight="1" hidden="1">
      <c r="A183" s="53"/>
      <c r="B183" s="28" t="s">
        <v>345</v>
      </c>
      <c r="C183" s="126"/>
      <c r="D183" s="126"/>
      <c r="E183" s="14">
        <f t="shared" si="35"/>
        <v>0</v>
      </c>
      <c r="F183" s="126"/>
      <c r="G183" s="126"/>
      <c r="H183" s="14">
        <f t="shared" si="36"/>
        <v>0</v>
      </c>
      <c r="I183" s="114" t="e">
        <f t="shared" si="30"/>
        <v>#DIV/0!</v>
      </c>
      <c r="J183" s="126"/>
      <c r="K183" s="126"/>
      <c r="L183" s="14">
        <f t="shared" si="37"/>
        <v>0</v>
      </c>
      <c r="M183" s="126"/>
      <c r="N183" s="126"/>
      <c r="O183" s="14">
        <f t="shared" si="38"/>
        <v>0</v>
      </c>
      <c r="P183" s="114" t="e">
        <f t="shared" si="31"/>
        <v>#DIV/0!</v>
      </c>
      <c r="Q183" s="126"/>
      <c r="R183" s="126"/>
      <c r="S183" s="14">
        <f t="shared" si="39"/>
        <v>0</v>
      </c>
      <c r="T183" s="15"/>
      <c r="U183" s="15"/>
      <c r="V183" s="14">
        <f t="shared" si="34"/>
        <v>0</v>
      </c>
      <c r="W183" s="114" t="e">
        <f t="shared" si="33"/>
        <v>#DIV/0!</v>
      </c>
      <c r="X183" s="84" t="s">
        <v>207</v>
      </c>
    </row>
    <row r="184" spans="1:24" s="2" customFormat="1" ht="22.5" customHeight="1" hidden="1">
      <c r="A184" s="53"/>
      <c r="B184" s="28" t="s">
        <v>335</v>
      </c>
      <c r="C184" s="15"/>
      <c r="D184" s="15"/>
      <c r="E184" s="14">
        <f t="shared" si="35"/>
        <v>0</v>
      </c>
      <c r="F184" s="15"/>
      <c r="G184" s="15"/>
      <c r="H184" s="14">
        <f t="shared" si="36"/>
        <v>0</v>
      </c>
      <c r="I184" s="114" t="e">
        <f t="shared" si="30"/>
        <v>#DIV/0!</v>
      </c>
      <c r="J184" s="15"/>
      <c r="K184" s="15"/>
      <c r="L184" s="14">
        <f t="shared" si="37"/>
        <v>0</v>
      </c>
      <c r="M184" s="15"/>
      <c r="N184" s="15"/>
      <c r="O184" s="14">
        <f t="shared" si="38"/>
        <v>0</v>
      </c>
      <c r="P184" s="114" t="e">
        <f t="shared" si="31"/>
        <v>#DIV/0!</v>
      </c>
      <c r="Q184" s="15">
        <v>1361000</v>
      </c>
      <c r="R184" s="15">
        <v>598000</v>
      </c>
      <c r="S184" s="14">
        <f t="shared" si="39"/>
        <v>1959000</v>
      </c>
      <c r="T184" s="15"/>
      <c r="U184" s="15"/>
      <c r="V184" s="14">
        <f t="shared" si="34"/>
        <v>0</v>
      </c>
      <c r="W184" s="114">
        <f t="shared" si="33"/>
        <v>0</v>
      </c>
      <c r="X184" s="84" t="s">
        <v>72</v>
      </c>
    </row>
    <row r="185" spans="1:24" s="2" customFormat="1" ht="21.75" customHeight="1" hidden="1">
      <c r="A185" s="53"/>
      <c r="B185" s="33" t="s">
        <v>206</v>
      </c>
      <c r="C185" s="126"/>
      <c r="D185" s="126"/>
      <c r="E185" s="14">
        <f t="shared" si="35"/>
        <v>0</v>
      </c>
      <c r="F185" s="126"/>
      <c r="G185" s="126"/>
      <c r="H185" s="14">
        <f t="shared" si="36"/>
        <v>0</v>
      </c>
      <c r="I185" s="114" t="e">
        <f t="shared" si="30"/>
        <v>#DIV/0!</v>
      </c>
      <c r="J185" s="126"/>
      <c r="K185" s="126"/>
      <c r="L185" s="14">
        <f t="shared" si="37"/>
        <v>0</v>
      </c>
      <c r="M185" s="126"/>
      <c r="N185" s="126"/>
      <c r="O185" s="14">
        <f t="shared" si="38"/>
        <v>0</v>
      </c>
      <c r="P185" s="114" t="e">
        <f t="shared" si="31"/>
        <v>#DIV/0!</v>
      </c>
      <c r="Q185" s="126"/>
      <c r="R185" s="126"/>
      <c r="S185" s="14">
        <f t="shared" si="39"/>
        <v>0</v>
      </c>
      <c r="T185" s="15"/>
      <c r="U185" s="15"/>
      <c r="V185" s="14">
        <f t="shared" si="34"/>
        <v>0</v>
      </c>
      <c r="W185" s="114" t="e">
        <f t="shared" si="33"/>
        <v>#DIV/0!</v>
      </c>
      <c r="X185" s="81" t="s">
        <v>208</v>
      </c>
    </row>
    <row r="186" spans="1:24" s="2" customFormat="1" ht="11.25" hidden="1">
      <c r="A186" s="53"/>
      <c r="B186" s="28" t="s">
        <v>289</v>
      </c>
      <c r="C186" s="126"/>
      <c r="D186" s="126"/>
      <c r="E186" s="14">
        <f t="shared" si="35"/>
        <v>0</v>
      </c>
      <c r="F186" s="126"/>
      <c r="G186" s="126"/>
      <c r="H186" s="14">
        <f t="shared" si="36"/>
        <v>0</v>
      </c>
      <c r="I186" s="114" t="e">
        <f t="shared" si="30"/>
        <v>#DIV/0!</v>
      </c>
      <c r="J186" s="126"/>
      <c r="K186" s="126"/>
      <c r="L186" s="14">
        <f t="shared" si="37"/>
        <v>0</v>
      </c>
      <c r="M186" s="126"/>
      <c r="N186" s="126"/>
      <c r="O186" s="14">
        <f t="shared" si="38"/>
        <v>0</v>
      </c>
      <c r="P186" s="114" t="e">
        <f t="shared" si="31"/>
        <v>#DIV/0!</v>
      </c>
      <c r="Q186" s="126"/>
      <c r="R186" s="126"/>
      <c r="S186" s="14">
        <f t="shared" si="39"/>
        <v>0</v>
      </c>
      <c r="T186" s="15"/>
      <c r="U186" s="15"/>
      <c r="V186" s="14">
        <f t="shared" si="34"/>
        <v>0</v>
      </c>
      <c r="W186" s="114" t="e">
        <f aca="true" t="shared" si="40" ref="W186:W217">V186/S186</f>
        <v>#DIV/0!</v>
      </c>
      <c r="X186" s="81"/>
    </row>
    <row r="187" spans="1:24" s="2" customFormat="1" ht="11.25" hidden="1">
      <c r="A187" s="53"/>
      <c r="B187" s="28" t="s">
        <v>346</v>
      </c>
      <c r="C187" s="126"/>
      <c r="D187" s="126"/>
      <c r="E187" s="14">
        <f t="shared" si="35"/>
        <v>0</v>
      </c>
      <c r="F187" s="126"/>
      <c r="G187" s="126"/>
      <c r="H187" s="14">
        <f t="shared" si="36"/>
        <v>0</v>
      </c>
      <c r="I187" s="114" t="e">
        <f t="shared" si="30"/>
        <v>#DIV/0!</v>
      </c>
      <c r="J187" s="126"/>
      <c r="K187" s="126"/>
      <c r="L187" s="14">
        <f t="shared" si="37"/>
        <v>0</v>
      </c>
      <c r="M187" s="126"/>
      <c r="N187" s="126"/>
      <c r="O187" s="14">
        <f t="shared" si="38"/>
        <v>0</v>
      </c>
      <c r="P187" s="114" t="e">
        <f t="shared" si="31"/>
        <v>#DIV/0!</v>
      </c>
      <c r="Q187" s="126"/>
      <c r="R187" s="126"/>
      <c r="S187" s="14">
        <f t="shared" si="39"/>
        <v>0</v>
      </c>
      <c r="T187" s="15"/>
      <c r="U187" s="15"/>
      <c r="V187" s="14">
        <f t="shared" si="34"/>
        <v>0</v>
      </c>
      <c r="W187" s="114" t="e">
        <f t="shared" si="40"/>
        <v>#DIV/0!</v>
      </c>
      <c r="X187" s="81"/>
    </row>
    <row r="188" spans="1:24" s="2" customFormat="1" ht="11.25" hidden="1">
      <c r="A188" s="53"/>
      <c r="B188" s="28" t="s">
        <v>290</v>
      </c>
      <c r="C188" s="126"/>
      <c r="D188" s="126"/>
      <c r="E188" s="14">
        <f t="shared" si="35"/>
        <v>0</v>
      </c>
      <c r="F188" s="126"/>
      <c r="G188" s="126"/>
      <c r="H188" s="14">
        <f t="shared" si="36"/>
        <v>0</v>
      </c>
      <c r="I188" s="114" t="e">
        <f t="shared" si="30"/>
        <v>#DIV/0!</v>
      </c>
      <c r="J188" s="126"/>
      <c r="K188" s="126"/>
      <c r="L188" s="14">
        <f t="shared" si="37"/>
        <v>0</v>
      </c>
      <c r="M188" s="126"/>
      <c r="N188" s="126"/>
      <c r="O188" s="14">
        <f t="shared" si="38"/>
        <v>0</v>
      </c>
      <c r="P188" s="114" t="e">
        <f t="shared" si="31"/>
        <v>#DIV/0!</v>
      </c>
      <c r="Q188" s="126"/>
      <c r="R188" s="126"/>
      <c r="S188" s="14">
        <f t="shared" si="39"/>
        <v>0</v>
      </c>
      <c r="T188" s="15"/>
      <c r="U188" s="15"/>
      <c r="V188" s="14">
        <f t="shared" si="34"/>
        <v>0</v>
      </c>
      <c r="W188" s="114" t="e">
        <f t="shared" si="40"/>
        <v>#DIV/0!</v>
      </c>
      <c r="X188" s="81" t="s">
        <v>73</v>
      </c>
    </row>
    <row r="189" spans="1:24" s="2" customFormat="1" ht="19.5" customHeight="1" hidden="1">
      <c r="A189" s="53"/>
      <c r="B189" s="28" t="s">
        <v>291</v>
      </c>
      <c r="C189" s="126"/>
      <c r="D189" s="126"/>
      <c r="E189" s="14">
        <f t="shared" si="35"/>
        <v>0</v>
      </c>
      <c r="F189" s="126"/>
      <c r="G189" s="126"/>
      <c r="H189" s="14">
        <f t="shared" si="36"/>
        <v>0</v>
      </c>
      <c r="I189" s="114" t="e">
        <f t="shared" si="30"/>
        <v>#DIV/0!</v>
      </c>
      <c r="J189" s="126"/>
      <c r="K189" s="126"/>
      <c r="L189" s="14">
        <f t="shared" si="37"/>
        <v>0</v>
      </c>
      <c r="M189" s="126"/>
      <c r="N189" s="126"/>
      <c r="O189" s="14">
        <f t="shared" si="38"/>
        <v>0</v>
      </c>
      <c r="P189" s="114" t="e">
        <f t="shared" si="31"/>
        <v>#DIV/0!</v>
      </c>
      <c r="Q189" s="126"/>
      <c r="R189" s="126"/>
      <c r="S189" s="14">
        <f t="shared" si="39"/>
        <v>0</v>
      </c>
      <c r="T189" s="15"/>
      <c r="U189" s="15"/>
      <c r="V189" s="14">
        <f t="shared" si="34"/>
        <v>0</v>
      </c>
      <c r="W189" s="114" t="e">
        <f t="shared" si="40"/>
        <v>#DIV/0!</v>
      </c>
      <c r="X189" s="79"/>
    </row>
    <row r="190" spans="1:24" s="34" customFormat="1" ht="12" customHeight="1" hidden="1">
      <c r="A190" s="53"/>
      <c r="B190" s="28" t="s">
        <v>292</v>
      </c>
      <c r="C190" s="15"/>
      <c r="D190" s="15"/>
      <c r="E190" s="14">
        <f t="shared" si="35"/>
        <v>0</v>
      </c>
      <c r="F190" s="15"/>
      <c r="G190" s="15"/>
      <c r="H190" s="14">
        <f t="shared" si="36"/>
        <v>0</v>
      </c>
      <c r="I190" s="114" t="e">
        <f t="shared" si="30"/>
        <v>#DIV/0!</v>
      </c>
      <c r="J190" s="15"/>
      <c r="K190" s="15"/>
      <c r="L190" s="14">
        <f t="shared" si="37"/>
        <v>0</v>
      </c>
      <c r="M190" s="15"/>
      <c r="N190" s="15"/>
      <c r="O190" s="14">
        <f t="shared" si="38"/>
        <v>0</v>
      </c>
      <c r="P190" s="114" t="e">
        <f t="shared" si="31"/>
        <v>#DIV/0!</v>
      </c>
      <c r="Q190" s="15">
        <v>40185</v>
      </c>
      <c r="R190" s="15"/>
      <c r="S190" s="14">
        <f t="shared" si="39"/>
        <v>40185</v>
      </c>
      <c r="T190" s="15"/>
      <c r="U190" s="15"/>
      <c r="V190" s="14">
        <f t="shared" si="34"/>
        <v>0</v>
      </c>
      <c r="W190" s="114">
        <f t="shared" si="40"/>
        <v>0</v>
      </c>
      <c r="X190" s="79" t="s">
        <v>74</v>
      </c>
    </row>
    <row r="191" spans="1:24" s="34" customFormat="1" ht="22.5" hidden="1">
      <c r="A191" s="53"/>
      <c r="B191" s="28" t="s">
        <v>293</v>
      </c>
      <c r="C191" s="15"/>
      <c r="D191" s="15"/>
      <c r="E191" s="14">
        <f t="shared" si="35"/>
        <v>0</v>
      </c>
      <c r="F191" s="15"/>
      <c r="G191" s="15"/>
      <c r="H191" s="14">
        <f t="shared" si="36"/>
        <v>0</v>
      </c>
      <c r="I191" s="114" t="e">
        <f t="shared" si="30"/>
        <v>#DIV/0!</v>
      </c>
      <c r="J191" s="15"/>
      <c r="K191" s="15"/>
      <c r="L191" s="14">
        <f t="shared" si="37"/>
        <v>0</v>
      </c>
      <c r="M191" s="15"/>
      <c r="N191" s="15"/>
      <c r="O191" s="14">
        <f t="shared" si="38"/>
        <v>0</v>
      </c>
      <c r="P191" s="114" t="e">
        <f t="shared" si="31"/>
        <v>#DIV/0!</v>
      </c>
      <c r="Q191" s="15"/>
      <c r="R191" s="15"/>
      <c r="S191" s="14">
        <f t="shared" si="39"/>
        <v>0</v>
      </c>
      <c r="T191" s="15"/>
      <c r="U191" s="15"/>
      <c r="V191" s="14">
        <f t="shared" si="34"/>
        <v>0</v>
      </c>
      <c r="W191" s="114" t="e">
        <f t="shared" si="40"/>
        <v>#DIV/0!</v>
      </c>
      <c r="X191" s="85"/>
    </row>
    <row r="192" spans="1:24" s="2" customFormat="1" ht="11.25" customHeight="1" hidden="1">
      <c r="A192" s="56"/>
      <c r="B192" s="43" t="s">
        <v>294</v>
      </c>
      <c r="C192" s="15"/>
      <c r="D192" s="15"/>
      <c r="E192" s="14">
        <f t="shared" si="35"/>
        <v>0</v>
      </c>
      <c r="F192" s="15"/>
      <c r="G192" s="15"/>
      <c r="H192" s="14">
        <f t="shared" si="36"/>
        <v>0</v>
      </c>
      <c r="I192" s="114" t="e">
        <f t="shared" si="30"/>
        <v>#DIV/0!</v>
      </c>
      <c r="J192" s="15"/>
      <c r="K192" s="15"/>
      <c r="L192" s="14">
        <f t="shared" si="37"/>
        <v>0</v>
      </c>
      <c r="M192" s="15"/>
      <c r="N192" s="15"/>
      <c r="O192" s="14">
        <f t="shared" si="38"/>
        <v>0</v>
      </c>
      <c r="P192" s="114" t="e">
        <f t="shared" si="31"/>
        <v>#DIV/0!</v>
      </c>
      <c r="Q192" s="15"/>
      <c r="R192" s="15">
        <v>100000</v>
      </c>
      <c r="S192" s="14">
        <f t="shared" si="39"/>
        <v>100000</v>
      </c>
      <c r="T192" s="15"/>
      <c r="U192" s="15"/>
      <c r="V192" s="14">
        <f t="shared" si="34"/>
        <v>0</v>
      </c>
      <c r="W192" s="114">
        <f t="shared" si="40"/>
        <v>0</v>
      </c>
      <c r="X192" s="85" t="s">
        <v>75</v>
      </c>
    </row>
    <row r="193" spans="1:24" s="2" customFormat="1" ht="12" customHeight="1" hidden="1">
      <c r="A193" s="56"/>
      <c r="B193" s="43" t="s">
        <v>295</v>
      </c>
      <c r="C193" s="15"/>
      <c r="D193" s="15"/>
      <c r="E193" s="14">
        <f t="shared" si="35"/>
        <v>0</v>
      </c>
      <c r="F193" s="15"/>
      <c r="G193" s="15"/>
      <c r="H193" s="14">
        <f t="shared" si="36"/>
        <v>0</v>
      </c>
      <c r="I193" s="114" t="e">
        <f t="shared" si="30"/>
        <v>#DIV/0!</v>
      </c>
      <c r="J193" s="15"/>
      <c r="K193" s="15"/>
      <c r="L193" s="14">
        <f t="shared" si="37"/>
        <v>0</v>
      </c>
      <c r="M193" s="15"/>
      <c r="N193" s="15"/>
      <c r="O193" s="14">
        <f t="shared" si="38"/>
        <v>0</v>
      </c>
      <c r="P193" s="114" t="e">
        <f t="shared" si="31"/>
        <v>#DIV/0!</v>
      </c>
      <c r="Q193" s="15"/>
      <c r="R193" s="15">
        <v>69000</v>
      </c>
      <c r="S193" s="14">
        <f t="shared" si="39"/>
        <v>69000</v>
      </c>
      <c r="T193" s="15"/>
      <c r="U193" s="15"/>
      <c r="V193" s="14">
        <f t="shared" si="34"/>
        <v>0</v>
      </c>
      <c r="W193" s="114">
        <f t="shared" si="40"/>
        <v>0</v>
      </c>
      <c r="X193" s="85" t="s">
        <v>76</v>
      </c>
    </row>
    <row r="194" spans="1:24" s="2" customFormat="1" ht="14.25" customHeight="1" hidden="1">
      <c r="A194" s="56"/>
      <c r="B194" s="43" t="s">
        <v>296</v>
      </c>
      <c r="C194" s="15"/>
      <c r="D194" s="15"/>
      <c r="E194" s="14">
        <f t="shared" si="35"/>
        <v>0</v>
      </c>
      <c r="F194" s="15"/>
      <c r="G194" s="15"/>
      <c r="H194" s="14">
        <f t="shared" si="36"/>
        <v>0</v>
      </c>
      <c r="I194" s="114" t="e">
        <f t="shared" si="30"/>
        <v>#DIV/0!</v>
      </c>
      <c r="J194" s="15"/>
      <c r="K194" s="15"/>
      <c r="L194" s="14">
        <f t="shared" si="37"/>
        <v>0</v>
      </c>
      <c r="M194" s="15"/>
      <c r="N194" s="15"/>
      <c r="O194" s="14">
        <f t="shared" si="38"/>
        <v>0</v>
      </c>
      <c r="P194" s="114" t="e">
        <f t="shared" si="31"/>
        <v>#DIV/0!</v>
      </c>
      <c r="Q194" s="15"/>
      <c r="R194" s="15">
        <v>132000</v>
      </c>
      <c r="S194" s="14">
        <f t="shared" si="39"/>
        <v>132000</v>
      </c>
      <c r="T194" s="15"/>
      <c r="U194" s="15"/>
      <c r="V194" s="14">
        <f t="shared" si="34"/>
        <v>0</v>
      </c>
      <c r="W194" s="114">
        <f t="shared" si="40"/>
        <v>0</v>
      </c>
      <c r="X194" s="81" t="s">
        <v>153</v>
      </c>
    </row>
    <row r="195" spans="1:24" s="31" customFormat="1" ht="12" customHeight="1" hidden="1">
      <c r="A195" s="54"/>
      <c r="B195" s="33" t="s">
        <v>297</v>
      </c>
      <c r="C195" s="15"/>
      <c r="D195" s="15"/>
      <c r="E195" s="14">
        <f t="shared" si="35"/>
        <v>0</v>
      </c>
      <c r="F195" s="15"/>
      <c r="G195" s="15"/>
      <c r="H195" s="14">
        <f t="shared" si="36"/>
        <v>0</v>
      </c>
      <c r="I195" s="114" t="e">
        <f t="shared" si="30"/>
        <v>#DIV/0!</v>
      </c>
      <c r="J195" s="15"/>
      <c r="K195" s="15"/>
      <c r="L195" s="14">
        <f t="shared" si="37"/>
        <v>0</v>
      </c>
      <c r="M195" s="15"/>
      <c r="N195" s="15"/>
      <c r="O195" s="14">
        <f t="shared" si="38"/>
        <v>0</v>
      </c>
      <c r="P195" s="114" t="e">
        <f t="shared" si="31"/>
        <v>#DIV/0!</v>
      </c>
      <c r="Q195" s="15"/>
      <c r="R195" s="15">
        <v>99600</v>
      </c>
      <c r="S195" s="14">
        <f t="shared" si="39"/>
        <v>99600</v>
      </c>
      <c r="T195" s="15"/>
      <c r="U195" s="15"/>
      <c r="V195" s="14">
        <f t="shared" si="34"/>
        <v>0</v>
      </c>
      <c r="W195" s="114">
        <f t="shared" si="40"/>
        <v>0</v>
      </c>
      <c r="X195" s="76" t="s">
        <v>77</v>
      </c>
    </row>
    <row r="196" spans="1:24" s="31" customFormat="1" ht="36" customHeight="1">
      <c r="A196" s="24">
        <v>2</v>
      </c>
      <c r="B196" s="26" t="s">
        <v>298</v>
      </c>
      <c r="C196" s="45">
        <v>37500</v>
      </c>
      <c r="D196" s="45"/>
      <c r="E196" s="27">
        <f t="shared" si="35"/>
        <v>37500</v>
      </c>
      <c r="F196" s="45">
        <v>37490</v>
      </c>
      <c r="G196" s="45">
        <v>995</v>
      </c>
      <c r="H196" s="27">
        <f t="shared" si="36"/>
        <v>38485</v>
      </c>
      <c r="I196" s="114">
        <f t="shared" si="30"/>
        <v>0.9744056125763284</v>
      </c>
      <c r="J196" s="45">
        <v>27500</v>
      </c>
      <c r="K196" s="45"/>
      <c r="L196" s="27">
        <f t="shared" si="37"/>
        <v>27500</v>
      </c>
      <c r="M196" s="45">
        <v>27489</v>
      </c>
      <c r="N196" s="45"/>
      <c r="O196" s="27">
        <f t="shared" si="38"/>
        <v>27489</v>
      </c>
      <c r="P196" s="114">
        <f t="shared" si="31"/>
        <v>1.0004001600640255</v>
      </c>
      <c r="Q196" s="45">
        <f>SUM(Q197:Q202)</f>
        <v>35500</v>
      </c>
      <c r="R196" s="45">
        <f>SUM(R197:R202)</f>
        <v>0</v>
      </c>
      <c r="S196" s="27">
        <f t="shared" si="39"/>
        <v>35500</v>
      </c>
      <c r="T196" s="45"/>
      <c r="U196" s="45"/>
      <c r="V196" s="27">
        <f t="shared" si="34"/>
        <v>0</v>
      </c>
      <c r="W196" s="114">
        <f t="shared" si="40"/>
        <v>0</v>
      </c>
      <c r="X196" s="76"/>
    </row>
    <row r="197" spans="1:24" s="36" customFormat="1" ht="12" hidden="1">
      <c r="A197" s="54"/>
      <c r="B197" s="35" t="s">
        <v>299</v>
      </c>
      <c r="C197" s="126"/>
      <c r="D197" s="126"/>
      <c r="E197" s="27">
        <f t="shared" si="35"/>
        <v>0</v>
      </c>
      <c r="F197" s="126"/>
      <c r="G197" s="126"/>
      <c r="H197" s="27">
        <f t="shared" si="36"/>
        <v>0</v>
      </c>
      <c r="I197" s="114" t="e">
        <f t="shared" si="30"/>
        <v>#DIV/0!</v>
      </c>
      <c r="J197" s="126"/>
      <c r="K197" s="126"/>
      <c r="L197" s="27">
        <f t="shared" si="37"/>
        <v>0</v>
      </c>
      <c r="M197" s="126"/>
      <c r="N197" s="126"/>
      <c r="O197" s="27">
        <f t="shared" si="38"/>
        <v>0</v>
      </c>
      <c r="P197" s="114" t="e">
        <f t="shared" si="31"/>
        <v>#DIV/0!</v>
      </c>
      <c r="Q197" s="126"/>
      <c r="R197" s="126"/>
      <c r="S197" s="27">
        <f t="shared" si="39"/>
        <v>0</v>
      </c>
      <c r="T197" s="15"/>
      <c r="U197" s="15"/>
      <c r="V197" s="27">
        <f t="shared" si="34"/>
        <v>0</v>
      </c>
      <c r="W197" s="114" t="e">
        <f t="shared" si="40"/>
        <v>#DIV/0!</v>
      </c>
      <c r="X197" s="76"/>
    </row>
    <row r="198" spans="1:24" s="36" customFormat="1" ht="11.25" hidden="1">
      <c r="A198" s="54"/>
      <c r="B198" s="35" t="s">
        <v>300</v>
      </c>
      <c r="C198" s="126"/>
      <c r="D198" s="126"/>
      <c r="E198" s="14">
        <f t="shared" si="35"/>
        <v>0</v>
      </c>
      <c r="F198" s="126"/>
      <c r="G198" s="126"/>
      <c r="H198" s="14">
        <f t="shared" si="36"/>
        <v>0</v>
      </c>
      <c r="I198" s="114" t="e">
        <f aca="true" t="shared" si="41" ref="I198:I203">E198/H198</f>
        <v>#DIV/0!</v>
      </c>
      <c r="J198" s="126"/>
      <c r="K198" s="126"/>
      <c r="L198" s="14">
        <f t="shared" si="37"/>
        <v>0</v>
      </c>
      <c r="M198" s="126"/>
      <c r="N198" s="126"/>
      <c r="O198" s="14">
        <f t="shared" si="38"/>
        <v>0</v>
      </c>
      <c r="P198" s="114" t="e">
        <f aca="true" t="shared" si="42" ref="P198:P203">L198/O198</f>
        <v>#DIV/0!</v>
      </c>
      <c r="Q198" s="126"/>
      <c r="R198" s="126"/>
      <c r="S198" s="14">
        <f t="shared" si="39"/>
        <v>0</v>
      </c>
      <c r="T198" s="15"/>
      <c r="U198" s="15"/>
      <c r="V198" s="14">
        <f t="shared" si="34"/>
        <v>0</v>
      </c>
      <c r="W198" s="114" t="e">
        <f t="shared" si="40"/>
        <v>#DIV/0!</v>
      </c>
      <c r="X198" s="71"/>
    </row>
    <row r="199" spans="1:24" s="36" customFormat="1" ht="11.25" hidden="1">
      <c r="A199" s="54"/>
      <c r="B199" s="35" t="s">
        <v>301</v>
      </c>
      <c r="C199" s="126"/>
      <c r="D199" s="126"/>
      <c r="E199" s="14">
        <f t="shared" si="35"/>
        <v>0</v>
      </c>
      <c r="F199" s="126"/>
      <c r="G199" s="126"/>
      <c r="H199" s="14">
        <f t="shared" si="36"/>
        <v>0</v>
      </c>
      <c r="I199" s="114" t="e">
        <f t="shared" si="41"/>
        <v>#DIV/0!</v>
      </c>
      <c r="J199" s="126"/>
      <c r="K199" s="126"/>
      <c r="L199" s="14">
        <f t="shared" si="37"/>
        <v>0</v>
      </c>
      <c r="M199" s="126"/>
      <c r="N199" s="126"/>
      <c r="O199" s="14">
        <f t="shared" si="38"/>
        <v>0</v>
      </c>
      <c r="P199" s="114" t="e">
        <f t="shared" si="42"/>
        <v>#DIV/0!</v>
      </c>
      <c r="Q199" s="126"/>
      <c r="R199" s="126"/>
      <c r="S199" s="14">
        <f t="shared" si="39"/>
        <v>0</v>
      </c>
      <c r="T199" s="15"/>
      <c r="U199" s="15"/>
      <c r="V199" s="14">
        <f t="shared" si="34"/>
        <v>0</v>
      </c>
      <c r="W199" s="114" t="e">
        <f t="shared" si="40"/>
        <v>#DIV/0!</v>
      </c>
      <c r="X199" s="71"/>
    </row>
    <row r="200" spans="1:24" s="2" customFormat="1" ht="11.25" hidden="1">
      <c r="A200" s="53"/>
      <c r="B200" s="33" t="s">
        <v>302</v>
      </c>
      <c r="C200" s="15"/>
      <c r="D200" s="126"/>
      <c r="E200" s="14">
        <f t="shared" si="35"/>
        <v>0</v>
      </c>
      <c r="F200" s="15"/>
      <c r="G200" s="126"/>
      <c r="H200" s="14">
        <f t="shared" si="36"/>
        <v>0</v>
      </c>
      <c r="I200" s="114" t="e">
        <f t="shared" si="41"/>
        <v>#DIV/0!</v>
      </c>
      <c r="J200" s="15"/>
      <c r="K200" s="126"/>
      <c r="L200" s="14">
        <f t="shared" si="37"/>
        <v>0</v>
      </c>
      <c r="M200" s="15"/>
      <c r="N200" s="126"/>
      <c r="O200" s="14">
        <f t="shared" si="38"/>
        <v>0</v>
      </c>
      <c r="P200" s="114" t="e">
        <f t="shared" si="42"/>
        <v>#DIV/0!</v>
      </c>
      <c r="Q200" s="15">
        <v>35500</v>
      </c>
      <c r="R200" s="126"/>
      <c r="S200" s="14">
        <f t="shared" si="39"/>
        <v>35500</v>
      </c>
      <c r="T200" s="15"/>
      <c r="U200" s="15"/>
      <c r="V200" s="14">
        <f t="shared" si="34"/>
        <v>0</v>
      </c>
      <c r="W200" s="114">
        <f t="shared" si="40"/>
        <v>0</v>
      </c>
      <c r="X200" s="81" t="s">
        <v>78</v>
      </c>
    </row>
    <row r="201" spans="1:24" s="2" customFormat="1" ht="42.75" customHeight="1" hidden="1">
      <c r="A201" s="53"/>
      <c r="B201" s="33" t="s">
        <v>387</v>
      </c>
      <c r="C201" s="126"/>
      <c r="D201" s="126"/>
      <c r="E201" s="14">
        <f t="shared" si="35"/>
        <v>0</v>
      </c>
      <c r="F201" s="126"/>
      <c r="G201" s="126"/>
      <c r="H201" s="14">
        <f t="shared" si="36"/>
        <v>0</v>
      </c>
      <c r="I201" s="114" t="e">
        <f t="shared" si="41"/>
        <v>#DIV/0!</v>
      </c>
      <c r="J201" s="126"/>
      <c r="K201" s="126"/>
      <c r="L201" s="14">
        <f t="shared" si="37"/>
        <v>0</v>
      </c>
      <c r="M201" s="126"/>
      <c r="N201" s="126"/>
      <c r="O201" s="14">
        <f t="shared" si="38"/>
        <v>0</v>
      </c>
      <c r="P201" s="114" t="e">
        <f t="shared" si="42"/>
        <v>#DIV/0!</v>
      </c>
      <c r="Q201" s="126"/>
      <c r="R201" s="126"/>
      <c r="S201" s="14">
        <f t="shared" si="39"/>
        <v>0</v>
      </c>
      <c r="T201" s="15"/>
      <c r="U201" s="15"/>
      <c r="V201" s="14">
        <f t="shared" si="34"/>
        <v>0</v>
      </c>
      <c r="W201" s="114" t="e">
        <f t="shared" si="40"/>
        <v>#DIV/0!</v>
      </c>
      <c r="X201" s="81"/>
    </row>
    <row r="202" spans="1:29" s="6" customFormat="1" ht="21.75" customHeight="1" hidden="1">
      <c r="A202" s="53"/>
      <c r="B202" s="33" t="s">
        <v>123</v>
      </c>
      <c r="C202" s="126"/>
      <c r="D202" s="126"/>
      <c r="E202" s="14">
        <f t="shared" si="35"/>
        <v>0</v>
      </c>
      <c r="F202" s="126"/>
      <c r="G202" s="126"/>
      <c r="H202" s="14">
        <f t="shared" si="36"/>
        <v>0</v>
      </c>
      <c r="I202" s="114" t="e">
        <f t="shared" si="41"/>
        <v>#DIV/0!</v>
      </c>
      <c r="J202" s="126"/>
      <c r="K202" s="126"/>
      <c r="L202" s="14">
        <f t="shared" si="37"/>
        <v>0</v>
      </c>
      <c r="M202" s="126"/>
      <c r="N202" s="126"/>
      <c r="O202" s="14">
        <f t="shared" si="38"/>
        <v>0</v>
      </c>
      <c r="P202" s="114" t="e">
        <f t="shared" si="42"/>
        <v>#DIV/0!</v>
      </c>
      <c r="Q202" s="126"/>
      <c r="R202" s="126"/>
      <c r="S202" s="14">
        <f t="shared" si="39"/>
        <v>0</v>
      </c>
      <c r="T202" s="15"/>
      <c r="U202" s="15"/>
      <c r="V202" s="14">
        <f t="shared" si="34"/>
        <v>0</v>
      </c>
      <c r="W202" s="114" t="e">
        <f t="shared" si="40"/>
        <v>#DIV/0!</v>
      </c>
      <c r="X202" s="220" t="s">
        <v>129</v>
      </c>
      <c r="Y202" s="221"/>
      <c r="Z202" s="221"/>
      <c r="AA202" s="221"/>
      <c r="AB202" s="221"/>
      <c r="AC202" s="221"/>
    </row>
    <row r="203" spans="1:24" s="1" customFormat="1" ht="33.75" customHeight="1">
      <c r="A203" s="24">
        <v>3</v>
      </c>
      <c r="B203" s="26" t="s">
        <v>303</v>
      </c>
      <c r="C203" s="27">
        <v>786250</v>
      </c>
      <c r="D203" s="27">
        <v>369671</v>
      </c>
      <c r="E203" s="27">
        <f t="shared" si="35"/>
        <v>1155921</v>
      </c>
      <c r="F203" s="27">
        <v>4474942</v>
      </c>
      <c r="G203" s="27">
        <v>1519904</v>
      </c>
      <c r="H203" s="27">
        <f t="shared" si="36"/>
        <v>5994846</v>
      </c>
      <c r="I203" s="114">
        <f t="shared" si="41"/>
        <v>0.19281913163407366</v>
      </c>
      <c r="J203" s="27">
        <v>965500</v>
      </c>
      <c r="K203" s="27">
        <v>345740</v>
      </c>
      <c r="L203" s="27">
        <f t="shared" si="37"/>
        <v>1311240</v>
      </c>
      <c r="M203" s="27">
        <v>6306276</v>
      </c>
      <c r="N203" s="27">
        <v>1815622</v>
      </c>
      <c r="O203" s="27">
        <f t="shared" si="38"/>
        <v>8121898</v>
      </c>
      <c r="P203" s="114">
        <f t="shared" si="42"/>
        <v>0.1614450218409539</v>
      </c>
      <c r="Q203" s="27">
        <f>SUM(Q204:Q225)</f>
        <v>2810635</v>
      </c>
      <c r="R203" s="27">
        <f>SUM(R204:R225)</f>
        <v>1050960</v>
      </c>
      <c r="S203" s="27">
        <f t="shared" si="39"/>
        <v>3861595</v>
      </c>
      <c r="T203" s="27">
        <v>957628</v>
      </c>
      <c r="U203" s="27">
        <v>382160</v>
      </c>
      <c r="V203" s="27">
        <f t="shared" si="34"/>
        <v>1339788</v>
      </c>
      <c r="W203" s="114">
        <f t="shared" si="40"/>
        <v>0.34695197191833943</v>
      </c>
      <c r="X203" s="76"/>
    </row>
    <row r="204" spans="1:24" s="1" customFormat="1" ht="11.25" hidden="1">
      <c r="A204" s="53"/>
      <c r="B204" s="43" t="s">
        <v>304</v>
      </c>
      <c r="C204" s="126"/>
      <c r="D204" s="126"/>
      <c r="E204" s="14">
        <f t="shared" si="35"/>
        <v>0</v>
      </c>
      <c r="F204" s="126"/>
      <c r="G204" s="126"/>
      <c r="H204" s="14">
        <f t="shared" si="36"/>
        <v>0</v>
      </c>
      <c r="I204" s="14"/>
      <c r="J204" s="126"/>
      <c r="K204" s="126"/>
      <c r="L204" s="14">
        <f t="shared" si="37"/>
        <v>0</v>
      </c>
      <c r="M204" s="126"/>
      <c r="N204" s="126"/>
      <c r="O204" s="14">
        <f t="shared" si="38"/>
        <v>0</v>
      </c>
      <c r="P204" s="114" t="e">
        <f aca="true" t="shared" si="43" ref="P204:P236">O204/L204</f>
        <v>#DIV/0!</v>
      </c>
      <c r="Q204" s="126"/>
      <c r="R204" s="126"/>
      <c r="S204" s="14">
        <f t="shared" si="39"/>
        <v>0</v>
      </c>
      <c r="T204" s="15"/>
      <c r="U204" s="15"/>
      <c r="V204" s="14">
        <f t="shared" si="34"/>
        <v>0</v>
      </c>
      <c r="W204" s="114" t="e">
        <f t="shared" si="40"/>
        <v>#DIV/0!</v>
      </c>
      <c r="X204" s="87" t="s">
        <v>99</v>
      </c>
    </row>
    <row r="205" spans="1:24" s="1" customFormat="1" ht="12" customHeight="1" hidden="1">
      <c r="A205" s="53"/>
      <c r="B205" s="43" t="s">
        <v>305</v>
      </c>
      <c r="C205" s="15"/>
      <c r="D205" s="166"/>
      <c r="E205" s="14">
        <f t="shared" si="35"/>
        <v>0</v>
      </c>
      <c r="F205" s="15"/>
      <c r="G205" s="166"/>
      <c r="H205" s="14">
        <f t="shared" si="36"/>
        <v>0</v>
      </c>
      <c r="I205" s="14"/>
      <c r="J205" s="15"/>
      <c r="K205" s="166"/>
      <c r="L205" s="14">
        <f t="shared" si="37"/>
        <v>0</v>
      </c>
      <c r="M205" s="15"/>
      <c r="N205" s="166"/>
      <c r="O205" s="14">
        <f t="shared" si="38"/>
        <v>0</v>
      </c>
      <c r="P205" s="114" t="e">
        <f t="shared" si="43"/>
        <v>#DIV/0!</v>
      </c>
      <c r="Q205" s="15">
        <v>112635</v>
      </c>
      <c r="R205" s="166"/>
      <c r="S205" s="14">
        <f t="shared" si="39"/>
        <v>112635</v>
      </c>
      <c r="T205" s="15"/>
      <c r="U205" s="14"/>
      <c r="V205" s="14">
        <f aca="true" t="shared" si="44" ref="V205:V229">SUM(T205:U205)</f>
        <v>0</v>
      </c>
      <c r="W205" s="114">
        <f t="shared" si="40"/>
        <v>0</v>
      </c>
      <c r="X205" s="91" t="s">
        <v>199</v>
      </c>
    </row>
    <row r="206" spans="1:24" s="1" customFormat="1" ht="15" customHeight="1" hidden="1">
      <c r="A206" s="53"/>
      <c r="B206" s="12" t="s">
        <v>148</v>
      </c>
      <c r="C206" s="126"/>
      <c r="D206" s="126"/>
      <c r="E206" s="14">
        <f t="shared" si="35"/>
        <v>0</v>
      </c>
      <c r="F206" s="126"/>
      <c r="G206" s="126"/>
      <c r="H206" s="14">
        <f t="shared" si="36"/>
        <v>0</v>
      </c>
      <c r="I206" s="14"/>
      <c r="J206" s="126"/>
      <c r="K206" s="126"/>
      <c r="L206" s="14">
        <f t="shared" si="37"/>
        <v>0</v>
      </c>
      <c r="M206" s="126"/>
      <c r="N206" s="126"/>
      <c r="O206" s="14">
        <f t="shared" si="38"/>
        <v>0</v>
      </c>
      <c r="P206" s="114" t="e">
        <f t="shared" si="43"/>
        <v>#DIV/0!</v>
      </c>
      <c r="Q206" s="126"/>
      <c r="R206" s="126"/>
      <c r="S206" s="14">
        <f t="shared" si="39"/>
        <v>0</v>
      </c>
      <c r="T206" s="15"/>
      <c r="U206" s="15"/>
      <c r="V206" s="14">
        <f t="shared" si="44"/>
        <v>0</v>
      </c>
      <c r="W206" s="114" t="e">
        <f t="shared" si="40"/>
        <v>#DIV/0!</v>
      </c>
      <c r="X206" s="16" t="s">
        <v>205</v>
      </c>
    </row>
    <row r="207" spans="1:24" s="1" customFormat="1" ht="33.75" customHeight="1" hidden="1">
      <c r="A207" s="53"/>
      <c r="B207" s="12" t="s">
        <v>182</v>
      </c>
      <c r="C207" s="126"/>
      <c r="D207" s="126"/>
      <c r="E207" s="14">
        <f t="shared" si="35"/>
        <v>0</v>
      </c>
      <c r="F207" s="126"/>
      <c r="G207" s="126"/>
      <c r="H207" s="14">
        <f t="shared" si="36"/>
        <v>0</v>
      </c>
      <c r="I207" s="14"/>
      <c r="J207" s="126"/>
      <c r="K207" s="126"/>
      <c r="L207" s="14">
        <f t="shared" si="37"/>
        <v>0</v>
      </c>
      <c r="M207" s="126"/>
      <c r="N207" s="126"/>
      <c r="O207" s="14">
        <f t="shared" si="38"/>
        <v>0</v>
      </c>
      <c r="P207" s="114" t="e">
        <f t="shared" si="43"/>
        <v>#DIV/0!</v>
      </c>
      <c r="Q207" s="126"/>
      <c r="R207" s="126"/>
      <c r="S207" s="14">
        <f t="shared" si="39"/>
        <v>0</v>
      </c>
      <c r="T207" s="15"/>
      <c r="U207" s="15"/>
      <c r="V207" s="14">
        <f t="shared" si="44"/>
        <v>0</v>
      </c>
      <c r="W207" s="114" t="e">
        <f t="shared" si="40"/>
        <v>#DIV/0!</v>
      </c>
      <c r="X207" s="135" t="s">
        <v>183</v>
      </c>
    </row>
    <row r="208" spans="1:24" s="1" customFormat="1" ht="45" customHeight="1" hidden="1">
      <c r="A208" s="53"/>
      <c r="B208" s="12" t="s">
        <v>369</v>
      </c>
      <c r="C208" s="126"/>
      <c r="D208" s="126"/>
      <c r="E208" s="14">
        <f t="shared" si="35"/>
        <v>0</v>
      </c>
      <c r="F208" s="126"/>
      <c r="G208" s="126"/>
      <c r="H208" s="14">
        <f t="shared" si="36"/>
        <v>0</v>
      </c>
      <c r="I208" s="14"/>
      <c r="J208" s="126"/>
      <c r="K208" s="126"/>
      <c r="L208" s="14">
        <f t="shared" si="37"/>
        <v>0</v>
      </c>
      <c r="M208" s="126"/>
      <c r="N208" s="126"/>
      <c r="O208" s="14">
        <f t="shared" si="38"/>
        <v>0</v>
      </c>
      <c r="P208" s="114" t="e">
        <f t="shared" si="43"/>
        <v>#DIV/0!</v>
      </c>
      <c r="Q208" s="126"/>
      <c r="R208" s="126"/>
      <c r="S208" s="14">
        <f t="shared" si="39"/>
        <v>0</v>
      </c>
      <c r="T208" s="15"/>
      <c r="U208" s="15"/>
      <c r="V208" s="14">
        <f t="shared" si="44"/>
        <v>0</v>
      </c>
      <c r="W208" s="114" t="e">
        <f t="shared" si="40"/>
        <v>#DIV/0!</v>
      </c>
      <c r="X208" s="135" t="s">
        <v>80</v>
      </c>
    </row>
    <row r="209" spans="1:24" s="1" customFormat="1" ht="16.5" customHeight="1" hidden="1">
      <c r="A209" s="53"/>
      <c r="B209" s="12" t="s">
        <v>168</v>
      </c>
      <c r="C209" s="126"/>
      <c r="D209" s="126"/>
      <c r="E209" s="14">
        <f t="shared" si="35"/>
        <v>0</v>
      </c>
      <c r="F209" s="126"/>
      <c r="G209" s="126"/>
      <c r="H209" s="14">
        <f t="shared" si="36"/>
        <v>0</v>
      </c>
      <c r="I209" s="14"/>
      <c r="J209" s="126"/>
      <c r="K209" s="126"/>
      <c r="L209" s="14">
        <f t="shared" si="37"/>
        <v>0</v>
      </c>
      <c r="M209" s="126"/>
      <c r="N209" s="126"/>
      <c r="O209" s="14">
        <f t="shared" si="38"/>
        <v>0</v>
      </c>
      <c r="P209" s="114" t="e">
        <f t="shared" si="43"/>
        <v>#DIV/0!</v>
      </c>
      <c r="Q209" s="126"/>
      <c r="R209" s="126"/>
      <c r="S209" s="14">
        <f t="shared" si="39"/>
        <v>0</v>
      </c>
      <c r="T209" s="15"/>
      <c r="U209" s="15"/>
      <c r="V209" s="14">
        <f t="shared" si="44"/>
        <v>0</v>
      </c>
      <c r="W209" s="114" t="e">
        <f t="shared" si="40"/>
        <v>#DIV/0!</v>
      </c>
      <c r="X209" s="135" t="s">
        <v>169</v>
      </c>
    </row>
    <row r="210" spans="1:24" s="1" customFormat="1" ht="11.25" customHeight="1" hidden="1">
      <c r="A210" s="53"/>
      <c r="B210" s="12" t="s">
        <v>177</v>
      </c>
      <c r="C210" s="126"/>
      <c r="D210" s="126"/>
      <c r="E210" s="14">
        <f t="shared" si="35"/>
        <v>0</v>
      </c>
      <c r="F210" s="126"/>
      <c r="G210" s="126"/>
      <c r="H210" s="14">
        <f t="shared" si="36"/>
        <v>0</v>
      </c>
      <c r="I210" s="14"/>
      <c r="J210" s="126"/>
      <c r="K210" s="126"/>
      <c r="L210" s="14">
        <f t="shared" si="37"/>
        <v>0</v>
      </c>
      <c r="M210" s="126"/>
      <c r="N210" s="126"/>
      <c r="O210" s="14">
        <f t="shared" si="38"/>
        <v>0</v>
      </c>
      <c r="P210" s="114" t="e">
        <f t="shared" si="43"/>
        <v>#DIV/0!</v>
      </c>
      <c r="Q210" s="126"/>
      <c r="R210" s="126"/>
      <c r="S210" s="14">
        <f t="shared" si="39"/>
        <v>0</v>
      </c>
      <c r="T210" s="15"/>
      <c r="U210" s="15"/>
      <c r="V210" s="14">
        <f t="shared" si="44"/>
        <v>0</v>
      </c>
      <c r="W210" s="114" t="e">
        <f t="shared" si="40"/>
        <v>#DIV/0!</v>
      </c>
      <c r="X210" s="1" t="s">
        <v>204</v>
      </c>
    </row>
    <row r="211" spans="1:24" s="1" customFormat="1" ht="26.25" customHeight="1" hidden="1">
      <c r="A211" s="53"/>
      <c r="B211" s="12" t="s">
        <v>184</v>
      </c>
      <c r="C211" s="126"/>
      <c r="D211" s="126"/>
      <c r="E211" s="14">
        <f t="shared" si="35"/>
        <v>0</v>
      </c>
      <c r="F211" s="126"/>
      <c r="G211" s="126"/>
      <c r="H211" s="14">
        <f t="shared" si="36"/>
        <v>0</v>
      </c>
      <c r="I211" s="14"/>
      <c r="J211" s="126"/>
      <c r="K211" s="126"/>
      <c r="L211" s="14">
        <f t="shared" si="37"/>
        <v>0</v>
      </c>
      <c r="M211" s="126"/>
      <c r="N211" s="126"/>
      <c r="O211" s="14">
        <f t="shared" si="38"/>
        <v>0</v>
      </c>
      <c r="P211" s="114" t="e">
        <f t="shared" si="43"/>
        <v>#DIV/0!</v>
      </c>
      <c r="Q211" s="126"/>
      <c r="R211" s="126"/>
      <c r="S211" s="14">
        <f t="shared" si="39"/>
        <v>0</v>
      </c>
      <c r="T211" s="15"/>
      <c r="U211" s="15"/>
      <c r="V211" s="14">
        <f t="shared" si="44"/>
        <v>0</v>
      </c>
      <c r="W211" s="114" t="e">
        <f t="shared" si="40"/>
        <v>#DIV/0!</v>
      </c>
      <c r="X211" s="1" t="s">
        <v>185</v>
      </c>
    </row>
    <row r="212" spans="1:24" s="1" customFormat="1" ht="25.5" customHeight="1" hidden="1">
      <c r="A212" s="53"/>
      <c r="B212" s="12" t="s">
        <v>197</v>
      </c>
      <c r="C212" s="126"/>
      <c r="D212" s="126"/>
      <c r="E212" s="14">
        <f t="shared" si="35"/>
        <v>0</v>
      </c>
      <c r="F212" s="126"/>
      <c r="G212" s="126"/>
      <c r="H212" s="14">
        <f t="shared" si="36"/>
        <v>0</v>
      </c>
      <c r="I212" s="14"/>
      <c r="J212" s="126"/>
      <c r="K212" s="126"/>
      <c r="L212" s="14">
        <f t="shared" si="37"/>
        <v>0</v>
      </c>
      <c r="M212" s="126"/>
      <c r="N212" s="126"/>
      <c r="O212" s="14">
        <f t="shared" si="38"/>
        <v>0</v>
      </c>
      <c r="P212" s="114" t="e">
        <f t="shared" si="43"/>
        <v>#DIV/0!</v>
      </c>
      <c r="Q212" s="126"/>
      <c r="R212" s="126"/>
      <c r="S212" s="14">
        <f aca="true" t="shared" si="45" ref="S212:S236">SUM(Q212:R212)</f>
        <v>0</v>
      </c>
      <c r="T212" s="15"/>
      <c r="U212" s="15"/>
      <c r="V212" s="14">
        <f t="shared" si="44"/>
        <v>0</v>
      </c>
      <c r="W212" s="114" t="e">
        <f t="shared" si="40"/>
        <v>#DIV/0!</v>
      </c>
      <c r="X212" s="1" t="s">
        <v>198</v>
      </c>
    </row>
    <row r="213" spans="1:24" s="1" customFormat="1" ht="21" customHeight="1" hidden="1">
      <c r="A213" s="53"/>
      <c r="B213" s="33" t="s">
        <v>186</v>
      </c>
      <c r="C213" s="126"/>
      <c r="D213" s="126"/>
      <c r="E213" s="14">
        <f t="shared" si="35"/>
        <v>0</v>
      </c>
      <c r="F213" s="126"/>
      <c r="G213" s="126"/>
      <c r="H213" s="14">
        <f t="shared" si="36"/>
        <v>0</v>
      </c>
      <c r="I213" s="14"/>
      <c r="J213" s="126"/>
      <c r="K213" s="126"/>
      <c r="L213" s="14">
        <f t="shared" si="37"/>
        <v>0</v>
      </c>
      <c r="M213" s="126"/>
      <c r="N213" s="126"/>
      <c r="O213" s="14">
        <f t="shared" si="38"/>
        <v>0</v>
      </c>
      <c r="P213" s="114" t="e">
        <f t="shared" si="43"/>
        <v>#DIV/0!</v>
      </c>
      <c r="Q213" s="126"/>
      <c r="R213" s="126"/>
      <c r="S213" s="14">
        <f t="shared" si="45"/>
        <v>0</v>
      </c>
      <c r="T213" s="15"/>
      <c r="U213" s="15"/>
      <c r="V213" s="14">
        <f t="shared" si="44"/>
        <v>0</v>
      </c>
      <c r="W213" s="114" t="e">
        <f t="shared" si="40"/>
        <v>#DIV/0!</v>
      </c>
      <c r="X213" s="16" t="s">
        <v>187</v>
      </c>
    </row>
    <row r="214" spans="1:24" s="16" customFormat="1" ht="11.25" hidden="1">
      <c r="A214" s="48"/>
      <c r="B214" s="12" t="s">
        <v>306</v>
      </c>
      <c r="C214" s="126"/>
      <c r="D214" s="126"/>
      <c r="E214" s="14">
        <f t="shared" si="35"/>
        <v>0</v>
      </c>
      <c r="F214" s="126"/>
      <c r="G214" s="126"/>
      <c r="H214" s="14">
        <f t="shared" si="36"/>
        <v>0</v>
      </c>
      <c r="I214" s="14"/>
      <c r="J214" s="126"/>
      <c r="K214" s="126"/>
      <c r="L214" s="14">
        <f t="shared" si="37"/>
        <v>0</v>
      </c>
      <c r="M214" s="126"/>
      <c r="N214" s="126"/>
      <c r="O214" s="14">
        <f t="shared" si="38"/>
        <v>0</v>
      </c>
      <c r="P214" s="114" t="e">
        <f t="shared" si="43"/>
        <v>#DIV/0!</v>
      </c>
      <c r="Q214" s="126"/>
      <c r="R214" s="126"/>
      <c r="S214" s="14">
        <f t="shared" si="45"/>
        <v>0</v>
      </c>
      <c r="T214" s="15"/>
      <c r="U214" s="15"/>
      <c r="V214" s="14">
        <f t="shared" si="44"/>
        <v>0</v>
      </c>
      <c r="W214" s="114" t="e">
        <f t="shared" si="40"/>
        <v>#DIV/0!</v>
      </c>
      <c r="X214" s="93" t="s">
        <v>81</v>
      </c>
    </row>
    <row r="215" spans="1:24" s="16" customFormat="1" ht="11.25" hidden="1">
      <c r="A215" s="48"/>
      <c r="B215" s="12" t="s">
        <v>305</v>
      </c>
      <c r="C215" s="126"/>
      <c r="D215" s="126"/>
      <c r="E215" s="14">
        <f t="shared" si="35"/>
        <v>0</v>
      </c>
      <c r="F215" s="126"/>
      <c r="G215" s="126"/>
      <c r="H215" s="14">
        <f t="shared" si="36"/>
        <v>0</v>
      </c>
      <c r="I215" s="14"/>
      <c r="J215" s="126"/>
      <c r="K215" s="126"/>
      <c r="L215" s="14">
        <f t="shared" si="37"/>
        <v>0</v>
      </c>
      <c r="M215" s="126"/>
      <c r="N215" s="126"/>
      <c r="O215" s="14">
        <f t="shared" si="38"/>
        <v>0</v>
      </c>
      <c r="P215" s="114" t="e">
        <f t="shared" si="43"/>
        <v>#DIV/0!</v>
      </c>
      <c r="Q215" s="126"/>
      <c r="R215" s="126"/>
      <c r="S215" s="14">
        <f t="shared" si="45"/>
        <v>0</v>
      </c>
      <c r="T215" s="15"/>
      <c r="U215" s="15"/>
      <c r="V215" s="14">
        <f t="shared" si="44"/>
        <v>0</v>
      </c>
      <c r="W215" s="114" t="e">
        <f t="shared" si="40"/>
        <v>#DIV/0!</v>
      </c>
      <c r="X215" s="93" t="s">
        <v>81</v>
      </c>
    </row>
    <row r="216" spans="1:24" s="1" customFormat="1" ht="11.25" hidden="1">
      <c r="A216" s="53"/>
      <c r="B216" s="12" t="s">
        <v>307</v>
      </c>
      <c r="C216" s="166"/>
      <c r="D216" s="166"/>
      <c r="E216" s="14">
        <f t="shared" si="35"/>
        <v>0</v>
      </c>
      <c r="F216" s="166"/>
      <c r="G216" s="166"/>
      <c r="H216" s="14">
        <f t="shared" si="36"/>
        <v>0</v>
      </c>
      <c r="I216" s="14"/>
      <c r="J216" s="166"/>
      <c r="K216" s="166"/>
      <c r="L216" s="14">
        <f t="shared" si="37"/>
        <v>0</v>
      </c>
      <c r="M216" s="166"/>
      <c r="N216" s="166"/>
      <c r="O216" s="14">
        <f t="shared" si="38"/>
        <v>0</v>
      </c>
      <c r="P216" s="114" t="e">
        <f t="shared" si="43"/>
        <v>#DIV/0!</v>
      </c>
      <c r="Q216" s="166"/>
      <c r="R216" s="166"/>
      <c r="S216" s="14">
        <f t="shared" si="45"/>
        <v>0</v>
      </c>
      <c r="T216" s="14"/>
      <c r="U216" s="14"/>
      <c r="V216" s="14">
        <f t="shared" si="44"/>
        <v>0</v>
      </c>
      <c r="W216" s="114" t="e">
        <f t="shared" si="40"/>
        <v>#DIV/0!</v>
      </c>
      <c r="X216" s="93"/>
    </row>
    <row r="217" spans="1:24" s="1" customFormat="1" ht="22.5" hidden="1">
      <c r="A217" s="53"/>
      <c r="B217" s="43" t="s">
        <v>347</v>
      </c>
      <c r="C217" s="166"/>
      <c r="D217" s="166"/>
      <c r="E217" s="14">
        <f t="shared" si="35"/>
        <v>0</v>
      </c>
      <c r="F217" s="166"/>
      <c r="G217" s="166"/>
      <c r="H217" s="14">
        <f t="shared" si="36"/>
        <v>0</v>
      </c>
      <c r="I217" s="14"/>
      <c r="J217" s="166"/>
      <c r="K217" s="166"/>
      <c r="L217" s="14">
        <f t="shared" si="37"/>
        <v>0</v>
      </c>
      <c r="M217" s="166"/>
      <c r="N217" s="166"/>
      <c r="O217" s="14">
        <f t="shared" si="38"/>
        <v>0</v>
      </c>
      <c r="P217" s="114" t="e">
        <f t="shared" si="43"/>
        <v>#DIV/0!</v>
      </c>
      <c r="Q217" s="166"/>
      <c r="R217" s="166"/>
      <c r="S217" s="14">
        <f t="shared" si="45"/>
        <v>0</v>
      </c>
      <c r="T217" s="14"/>
      <c r="U217" s="14"/>
      <c r="V217" s="14">
        <f t="shared" si="44"/>
        <v>0</v>
      </c>
      <c r="W217" s="114" t="e">
        <f t="shared" si="40"/>
        <v>#DIV/0!</v>
      </c>
      <c r="X217" s="93"/>
    </row>
    <row r="218" spans="1:24" s="1" customFormat="1" ht="22.5" hidden="1">
      <c r="A218" s="53"/>
      <c r="B218" s="43" t="s">
        <v>348</v>
      </c>
      <c r="C218" s="166"/>
      <c r="D218" s="166"/>
      <c r="E218" s="14">
        <f t="shared" si="35"/>
        <v>0</v>
      </c>
      <c r="F218" s="166"/>
      <c r="G218" s="166"/>
      <c r="H218" s="14">
        <f t="shared" si="36"/>
        <v>0</v>
      </c>
      <c r="I218" s="14"/>
      <c r="J218" s="166"/>
      <c r="K218" s="166"/>
      <c r="L218" s="14">
        <f t="shared" si="37"/>
        <v>0</v>
      </c>
      <c r="M218" s="166"/>
      <c r="N218" s="166"/>
      <c r="O218" s="14">
        <f t="shared" si="38"/>
        <v>0</v>
      </c>
      <c r="P218" s="114" t="e">
        <f t="shared" si="43"/>
        <v>#DIV/0!</v>
      </c>
      <c r="Q218" s="166"/>
      <c r="R218" s="166"/>
      <c r="S218" s="14">
        <f t="shared" si="45"/>
        <v>0</v>
      </c>
      <c r="T218" s="14"/>
      <c r="U218" s="14"/>
      <c r="V218" s="14">
        <f t="shared" si="44"/>
        <v>0</v>
      </c>
      <c r="W218" s="114" t="e">
        <f aca="true" t="shared" si="46" ref="W218:W236">V218/S218</f>
        <v>#DIV/0!</v>
      </c>
      <c r="X218" s="93"/>
    </row>
    <row r="219" spans="1:24" s="1" customFormat="1" ht="45" hidden="1">
      <c r="A219" s="53"/>
      <c r="B219" s="12" t="s">
        <v>390</v>
      </c>
      <c r="C219" s="166"/>
      <c r="D219" s="166"/>
      <c r="E219" s="14">
        <f t="shared" si="35"/>
        <v>0</v>
      </c>
      <c r="F219" s="166"/>
      <c r="G219" s="166"/>
      <c r="H219" s="14">
        <f t="shared" si="36"/>
        <v>0</v>
      </c>
      <c r="I219" s="14"/>
      <c r="J219" s="166"/>
      <c r="K219" s="166"/>
      <c r="L219" s="14">
        <f t="shared" si="37"/>
        <v>0</v>
      </c>
      <c r="M219" s="166"/>
      <c r="N219" s="166"/>
      <c r="O219" s="14">
        <f t="shared" si="38"/>
        <v>0</v>
      </c>
      <c r="P219" s="114" t="e">
        <f t="shared" si="43"/>
        <v>#DIV/0!</v>
      </c>
      <c r="Q219" s="166"/>
      <c r="R219" s="166"/>
      <c r="S219" s="14">
        <f t="shared" si="45"/>
        <v>0</v>
      </c>
      <c r="T219" s="14"/>
      <c r="U219" s="15"/>
      <c r="V219" s="14">
        <f t="shared" si="44"/>
        <v>0</v>
      </c>
      <c r="W219" s="114" t="e">
        <f t="shared" si="46"/>
        <v>#DIV/0!</v>
      </c>
      <c r="X219" s="93" t="s">
        <v>100</v>
      </c>
    </row>
    <row r="220" spans="1:24" s="1" customFormat="1" ht="34.5" customHeight="1" hidden="1">
      <c r="A220" s="53"/>
      <c r="B220" s="12" t="s">
        <v>388</v>
      </c>
      <c r="C220" s="166"/>
      <c r="D220" s="166"/>
      <c r="E220" s="14">
        <f t="shared" si="35"/>
        <v>0</v>
      </c>
      <c r="F220" s="166"/>
      <c r="G220" s="166"/>
      <c r="H220" s="14">
        <f t="shared" si="36"/>
        <v>0</v>
      </c>
      <c r="I220" s="14"/>
      <c r="J220" s="166"/>
      <c r="K220" s="166"/>
      <c r="L220" s="14">
        <f t="shared" si="37"/>
        <v>0</v>
      </c>
      <c r="M220" s="166"/>
      <c r="N220" s="166"/>
      <c r="O220" s="14">
        <f t="shared" si="38"/>
        <v>0</v>
      </c>
      <c r="P220" s="114" t="e">
        <f t="shared" si="43"/>
        <v>#DIV/0!</v>
      </c>
      <c r="Q220" s="166"/>
      <c r="R220" s="166"/>
      <c r="S220" s="14">
        <f t="shared" si="45"/>
        <v>0</v>
      </c>
      <c r="T220" s="14"/>
      <c r="U220" s="15"/>
      <c r="V220" s="14">
        <f t="shared" si="44"/>
        <v>0</v>
      </c>
      <c r="W220" s="114" t="e">
        <f t="shared" si="46"/>
        <v>#DIV/0!</v>
      </c>
      <c r="X220" s="93" t="s">
        <v>101</v>
      </c>
    </row>
    <row r="221" spans="1:24" s="1" customFormat="1" ht="22.5" hidden="1">
      <c r="A221" s="53"/>
      <c r="B221" s="12" t="s">
        <v>389</v>
      </c>
      <c r="C221" s="166"/>
      <c r="D221" s="166"/>
      <c r="E221" s="14">
        <f t="shared" si="35"/>
        <v>0</v>
      </c>
      <c r="F221" s="166"/>
      <c r="G221" s="166"/>
      <c r="H221" s="14">
        <f t="shared" si="36"/>
        <v>0</v>
      </c>
      <c r="I221" s="14"/>
      <c r="J221" s="166"/>
      <c r="K221" s="166"/>
      <c r="L221" s="14">
        <f t="shared" si="37"/>
        <v>0</v>
      </c>
      <c r="M221" s="166"/>
      <c r="N221" s="166"/>
      <c r="O221" s="14">
        <f t="shared" si="38"/>
        <v>0</v>
      </c>
      <c r="P221" s="114" t="e">
        <f t="shared" si="43"/>
        <v>#DIV/0!</v>
      </c>
      <c r="Q221" s="166"/>
      <c r="R221" s="166"/>
      <c r="S221" s="14">
        <f t="shared" si="45"/>
        <v>0</v>
      </c>
      <c r="T221" s="15"/>
      <c r="U221" s="15"/>
      <c r="V221" s="14">
        <f t="shared" si="44"/>
        <v>0</v>
      </c>
      <c r="W221" s="114" t="e">
        <f t="shared" si="46"/>
        <v>#DIV/0!</v>
      </c>
      <c r="X221" s="93" t="s">
        <v>102</v>
      </c>
    </row>
    <row r="222" spans="1:24" s="1" customFormat="1" ht="56.25" hidden="1">
      <c r="A222" s="53"/>
      <c r="B222" s="43" t="s">
        <v>379</v>
      </c>
      <c r="C222" s="166"/>
      <c r="D222" s="166"/>
      <c r="E222" s="14">
        <f t="shared" si="35"/>
        <v>0</v>
      </c>
      <c r="F222" s="166"/>
      <c r="G222" s="166"/>
      <c r="H222" s="14">
        <f t="shared" si="36"/>
        <v>0</v>
      </c>
      <c r="I222" s="14"/>
      <c r="J222" s="166"/>
      <c r="K222" s="166"/>
      <c r="L222" s="14">
        <f t="shared" si="37"/>
        <v>0</v>
      </c>
      <c r="M222" s="166"/>
      <c r="N222" s="166"/>
      <c r="O222" s="14">
        <f t="shared" si="38"/>
        <v>0</v>
      </c>
      <c r="P222" s="114" t="e">
        <f t="shared" si="43"/>
        <v>#DIV/0!</v>
      </c>
      <c r="Q222" s="166"/>
      <c r="R222" s="166"/>
      <c r="S222" s="14">
        <f t="shared" si="45"/>
        <v>0</v>
      </c>
      <c r="T222" s="14"/>
      <c r="U222" s="15"/>
      <c r="V222" s="14">
        <f t="shared" si="44"/>
        <v>0</v>
      </c>
      <c r="W222" s="114" t="e">
        <f t="shared" si="46"/>
        <v>#DIV/0!</v>
      </c>
      <c r="X222" s="93" t="s">
        <v>103</v>
      </c>
    </row>
    <row r="223" spans="1:24" s="1" customFormat="1" ht="22.5" customHeight="1" hidden="1">
      <c r="A223" s="53"/>
      <c r="B223" s="43" t="s">
        <v>349</v>
      </c>
      <c r="C223" s="126"/>
      <c r="D223" s="166"/>
      <c r="E223" s="14">
        <f t="shared" si="35"/>
        <v>0</v>
      </c>
      <c r="F223" s="126"/>
      <c r="G223" s="166"/>
      <c r="H223" s="14">
        <f t="shared" si="36"/>
        <v>0</v>
      </c>
      <c r="I223" s="14"/>
      <c r="J223" s="126"/>
      <c r="K223" s="166"/>
      <c r="L223" s="14">
        <f t="shared" si="37"/>
        <v>0</v>
      </c>
      <c r="M223" s="126"/>
      <c r="N223" s="166"/>
      <c r="O223" s="14">
        <f t="shared" si="38"/>
        <v>0</v>
      </c>
      <c r="P223" s="114" t="e">
        <f t="shared" si="43"/>
        <v>#DIV/0!</v>
      </c>
      <c r="Q223" s="126"/>
      <c r="R223" s="166"/>
      <c r="S223" s="14">
        <f t="shared" si="45"/>
        <v>0</v>
      </c>
      <c r="T223" s="15"/>
      <c r="U223" s="14"/>
      <c r="V223" s="14">
        <f t="shared" si="44"/>
        <v>0</v>
      </c>
      <c r="W223" s="114" t="e">
        <f t="shared" si="46"/>
        <v>#DIV/0!</v>
      </c>
      <c r="X223" s="88" t="s">
        <v>120</v>
      </c>
    </row>
    <row r="224" spans="1:24" s="1" customFormat="1" ht="15" customHeight="1" hidden="1">
      <c r="A224" s="53"/>
      <c r="B224" s="43" t="s">
        <v>307</v>
      </c>
      <c r="C224" s="166"/>
      <c r="D224" s="166"/>
      <c r="E224" s="14">
        <f t="shared" si="35"/>
        <v>0</v>
      </c>
      <c r="F224" s="166"/>
      <c r="G224" s="166"/>
      <c r="H224" s="14">
        <f t="shared" si="36"/>
        <v>0</v>
      </c>
      <c r="I224" s="14"/>
      <c r="J224" s="166"/>
      <c r="K224" s="166"/>
      <c r="L224" s="14">
        <f t="shared" si="37"/>
        <v>0</v>
      </c>
      <c r="M224" s="166"/>
      <c r="N224" s="166"/>
      <c r="O224" s="14">
        <f t="shared" si="38"/>
        <v>0</v>
      </c>
      <c r="P224" s="114" t="e">
        <f t="shared" si="43"/>
        <v>#DIV/0!</v>
      </c>
      <c r="Q224" s="166"/>
      <c r="R224" s="166"/>
      <c r="S224" s="14">
        <f t="shared" si="45"/>
        <v>0</v>
      </c>
      <c r="T224" s="15"/>
      <c r="U224" s="14"/>
      <c r="V224" s="14">
        <f t="shared" si="44"/>
        <v>0</v>
      </c>
      <c r="W224" s="114" t="e">
        <f t="shared" si="46"/>
        <v>#DIV/0!</v>
      </c>
      <c r="X224" s="91" t="s">
        <v>79</v>
      </c>
    </row>
    <row r="225" spans="1:24" s="2" customFormat="1" ht="11.25" customHeight="1" hidden="1">
      <c r="A225" s="53"/>
      <c r="B225" s="43" t="s">
        <v>308</v>
      </c>
      <c r="C225" s="15">
        <f>SUM(C227:C236)</f>
        <v>0</v>
      </c>
      <c r="D225" s="15">
        <f>SUM(D227:D236)</f>
        <v>0</v>
      </c>
      <c r="E225" s="14">
        <f t="shared" si="35"/>
        <v>0</v>
      </c>
      <c r="F225" s="15">
        <f>SUM(F227:F236)</f>
        <v>0</v>
      </c>
      <c r="G225" s="15">
        <f>SUM(G227:G236)</f>
        <v>0</v>
      </c>
      <c r="H225" s="14">
        <f t="shared" si="36"/>
        <v>0</v>
      </c>
      <c r="I225" s="14"/>
      <c r="J225" s="15">
        <f>SUM(J227:J236)</f>
        <v>0</v>
      </c>
      <c r="K225" s="15">
        <f>SUM(K227:K236)</f>
        <v>0</v>
      </c>
      <c r="L225" s="14">
        <f t="shared" si="37"/>
        <v>0</v>
      </c>
      <c r="M225" s="15">
        <f>SUM(M227:M236)</f>
        <v>0</v>
      </c>
      <c r="N225" s="15">
        <f>SUM(N227:N236)</f>
        <v>0</v>
      </c>
      <c r="O225" s="14">
        <f t="shared" si="38"/>
        <v>0</v>
      </c>
      <c r="P225" s="114" t="e">
        <f t="shared" si="43"/>
        <v>#DIV/0!</v>
      </c>
      <c r="Q225" s="15">
        <f>SUM(Q227:Q236)</f>
        <v>2698000</v>
      </c>
      <c r="R225" s="15">
        <f>SUM(R227:R236)</f>
        <v>1050960</v>
      </c>
      <c r="S225" s="14">
        <f t="shared" si="45"/>
        <v>3748960</v>
      </c>
      <c r="T225" s="15">
        <f>SUM(T227:T236)</f>
        <v>0</v>
      </c>
      <c r="U225" s="15">
        <f>SUM(U227:U236)</f>
        <v>0</v>
      </c>
      <c r="V225" s="14">
        <f t="shared" si="44"/>
        <v>0</v>
      </c>
      <c r="W225" s="114">
        <f t="shared" si="46"/>
        <v>0</v>
      </c>
      <c r="X225" s="106" t="s">
        <v>191</v>
      </c>
    </row>
    <row r="226" spans="1:24" s="16" customFormat="1" ht="11.25" hidden="1">
      <c r="A226" s="48"/>
      <c r="B226" s="46" t="s">
        <v>309</v>
      </c>
      <c r="C226" s="126"/>
      <c r="D226" s="126"/>
      <c r="E226" s="14">
        <f t="shared" si="35"/>
        <v>0</v>
      </c>
      <c r="F226" s="126"/>
      <c r="G226" s="126"/>
      <c r="H226" s="14">
        <f t="shared" si="36"/>
        <v>0</v>
      </c>
      <c r="I226" s="14"/>
      <c r="J226" s="126"/>
      <c r="K226" s="126"/>
      <c r="L226" s="14">
        <f t="shared" si="37"/>
        <v>0</v>
      </c>
      <c r="M226" s="126"/>
      <c r="N226" s="126"/>
      <c r="O226" s="14">
        <f t="shared" si="38"/>
        <v>0</v>
      </c>
      <c r="P226" s="114" t="e">
        <f t="shared" si="43"/>
        <v>#DIV/0!</v>
      </c>
      <c r="Q226" s="126"/>
      <c r="R226" s="126"/>
      <c r="S226" s="14">
        <f t="shared" si="45"/>
        <v>0</v>
      </c>
      <c r="T226" s="15"/>
      <c r="U226" s="15"/>
      <c r="V226" s="14">
        <f t="shared" si="44"/>
        <v>0</v>
      </c>
      <c r="W226" s="114" t="e">
        <f t="shared" si="46"/>
        <v>#DIV/0!</v>
      </c>
      <c r="X226" s="87"/>
    </row>
    <row r="227" spans="1:24" s="22" customFormat="1" ht="12.75" customHeight="1" hidden="1">
      <c r="A227" s="49"/>
      <c r="B227" s="60" t="s">
        <v>361</v>
      </c>
      <c r="C227" s="21"/>
      <c r="D227" s="161"/>
      <c r="E227" s="20">
        <f t="shared" si="35"/>
        <v>0</v>
      </c>
      <c r="F227" s="21"/>
      <c r="G227" s="161"/>
      <c r="H227" s="20">
        <f t="shared" si="36"/>
        <v>0</v>
      </c>
      <c r="I227" s="20"/>
      <c r="J227" s="21"/>
      <c r="K227" s="161"/>
      <c r="L227" s="20">
        <f t="shared" si="37"/>
        <v>0</v>
      </c>
      <c r="M227" s="21"/>
      <c r="N227" s="161"/>
      <c r="O227" s="20">
        <f t="shared" si="38"/>
        <v>0</v>
      </c>
      <c r="P227" s="114" t="e">
        <f t="shared" si="43"/>
        <v>#DIV/0!</v>
      </c>
      <c r="Q227" s="21">
        <v>955000</v>
      </c>
      <c r="R227" s="161"/>
      <c r="S227" s="20">
        <f t="shared" si="45"/>
        <v>955000</v>
      </c>
      <c r="T227" s="21"/>
      <c r="U227" s="21"/>
      <c r="V227" s="20">
        <f t="shared" si="44"/>
        <v>0</v>
      </c>
      <c r="W227" s="114">
        <f t="shared" si="46"/>
        <v>0</v>
      </c>
      <c r="X227" s="92" t="s">
        <v>82</v>
      </c>
    </row>
    <row r="228" spans="1:24" s="22" customFormat="1" ht="19.5" customHeight="1" hidden="1">
      <c r="A228" s="49"/>
      <c r="B228" s="60" t="s">
        <v>368</v>
      </c>
      <c r="C228" s="161"/>
      <c r="D228" s="161"/>
      <c r="E228" s="20">
        <f t="shared" si="35"/>
        <v>0</v>
      </c>
      <c r="F228" s="161"/>
      <c r="G228" s="161"/>
      <c r="H228" s="20">
        <f t="shared" si="36"/>
        <v>0</v>
      </c>
      <c r="I228" s="20"/>
      <c r="J228" s="161"/>
      <c r="K228" s="161"/>
      <c r="L228" s="20">
        <f t="shared" si="37"/>
        <v>0</v>
      </c>
      <c r="M228" s="161"/>
      <c r="N228" s="161"/>
      <c r="O228" s="20">
        <f t="shared" si="38"/>
        <v>0</v>
      </c>
      <c r="P228" s="114" t="e">
        <f t="shared" si="43"/>
        <v>#DIV/0!</v>
      </c>
      <c r="Q228" s="161"/>
      <c r="R228" s="161"/>
      <c r="S228" s="20">
        <f t="shared" si="45"/>
        <v>0</v>
      </c>
      <c r="T228" s="21"/>
      <c r="U228" s="21"/>
      <c r="V228" s="20">
        <f t="shared" si="44"/>
        <v>0</v>
      </c>
      <c r="W228" s="114" t="e">
        <f t="shared" si="46"/>
        <v>#DIV/0!</v>
      </c>
      <c r="X228" s="92" t="s">
        <v>104</v>
      </c>
    </row>
    <row r="229" spans="1:24" s="31" customFormat="1" ht="11.25" hidden="1">
      <c r="A229" s="54"/>
      <c r="B229" s="60" t="s">
        <v>310</v>
      </c>
      <c r="C229" s="161"/>
      <c r="D229" s="21"/>
      <c r="E229" s="20">
        <f t="shared" si="35"/>
        <v>0</v>
      </c>
      <c r="F229" s="161"/>
      <c r="G229" s="21"/>
      <c r="H229" s="20">
        <f t="shared" si="36"/>
        <v>0</v>
      </c>
      <c r="I229" s="20"/>
      <c r="J229" s="161"/>
      <c r="K229" s="21"/>
      <c r="L229" s="20">
        <f t="shared" si="37"/>
        <v>0</v>
      </c>
      <c r="M229" s="161"/>
      <c r="N229" s="21"/>
      <c r="O229" s="20">
        <f t="shared" si="38"/>
        <v>0</v>
      </c>
      <c r="P229" s="114" t="e">
        <f t="shared" si="43"/>
        <v>#DIV/0!</v>
      </c>
      <c r="Q229" s="161"/>
      <c r="R229" s="21">
        <v>906000</v>
      </c>
      <c r="S229" s="20">
        <f t="shared" si="45"/>
        <v>906000</v>
      </c>
      <c r="T229" s="21"/>
      <c r="U229" s="21"/>
      <c r="V229" s="20">
        <f t="shared" si="44"/>
        <v>0</v>
      </c>
      <c r="W229" s="114">
        <f t="shared" si="46"/>
        <v>0</v>
      </c>
      <c r="X229" s="93" t="s">
        <v>131</v>
      </c>
    </row>
    <row r="230" spans="1:24" s="31" customFormat="1" ht="15" customHeight="1" hidden="1">
      <c r="A230" s="54"/>
      <c r="B230" s="60" t="s">
        <v>311</v>
      </c>
      <c r="C230" s="161"/>
      <c r="D230" s="21"/>
      <c r="E230" s="20">
        <f t="shared" si="35"/>
        <v>0</v>
      </c>
      <c r="F230" s="161"/>
      <c r="G230" s="21"/>
      <c r="H230" s="20">
        <f t="shared" si="36"/>
        <v>0</v>
      </c>
      <c r="I230" s="20"/>
      <c r="J230" s="161"/>
      <c r="K230" s="21"/>
      <c r="L230" s="20">
        <f t="shared" si="37"/>
        <v>0</v>
      </c>
      <c r="M230" s="161"/>
      <c r="N230" s="21"/>
      <c r="O230" s="20">
        <f t="shared" si="38"/>
        <v>0</v>
      </c>
      <c r="P230" s="114" t="e">
        <f t="shared" si="43"/>
        <v>#DIV/0!</v>
      </c>
      <c r="Q230" s="161"/>
      <c r="R230" s="21">
        <v>144960</v>
      </c>
      <c r="S230" s="20">
        <f t="shared" si="45"/>
        <v>144960</v>
      </c>
      <c r="T230" s="62"/>
      <c r="U230" s="21"/>
      <c r="V230" s="20">
        <f>SUM(U230:U230)</f>
        <v>0</v>
      </c>
      <c r="W230" s="114">
        <f t="shared" si="46"/>
        <v>0</v>
      </c>
      <c r="X230" s="93" t="s">
        <v>105</v>
      </c>
    </row>
    <row r="231" spans="1:24" s="31" customFormat="1" ht="15" customHeight="1" hidden="1">
      <c r="A231" s="54"/>
      <c r="B231" s="60" t="s">
        <v>264</v>
      </c>
      <c r="C231" s="161"/>
      <c r="D231" s="161"/>
      <c r="E231" s="20">
        <f t="shared" si="35"/>
        <v>0</v>
      </c>
      <c r="F231" s="161"/>
      <c r="G231" s="161"/>
      <c r="H231" s="20">
        <f t="shared" si="36"/>
        <v>0</v>
      </c>
      <c r="I231" s="20"/>
      <c r="J231" s="161"/>
      <c r="K231" s="161"/>
      <c r="L231" s="20">
        <f t="shared" si="37"/>
        <v>0</v>
      </c>
      <c r="M231" s="161"/>
      <c r="N231" s="161"/>
      <c r="O231" s="20">
        <f t="shared" si="38"/>
        <v>0</v>
      </c>
      <c r="P231" s="114" t="e">
        <f t="shared" si="43"/>
        <v>#DIV/0!</v>
      </c>
      <c r="Q231" s="161"/>
      <c r="R231" s="161"/>
      <c r="S231" s="20">
        <f t="shared" si="45"/>
        <v>0</v>
      </c>
      <c r="T231" s="21"/>
      <c r="U231" s="21"/>
      <c r="V231" s="20">
        <f aca="true" t="shared" si="47" ref="V231:V236">SUM(T231:U231)</f>
        <v>0</v>
      </c>
      <c r="W231" s="114" t="e">
        <f t="shared" si="46"/>
        <v>#DIV/0!</v>
      </c>
      <c r="X231" s="93" t="s">
        <v>192</v>
      </c>
    </row>
    <row r="232" spans="1:24" s="31" customFormat="1" ht="11.25" hidden="1">
      <c r="A232" s="54"/>
      <c r="B232" s="60" t="s">
        <v>263</v>
      </c>
      <c r="C232" s="161"/>
      <c r="D232" s="161"/>
      <c r="E232" s="20">
        <f t="shared" si="35"/>
        <v>0</v>
      </c>
      <c r="F232" s="161"/>
      <c r="G232" s="161"/>
      <c r="H232" s="20">
        <f t="shared" si="36"/>
        <v>0</v>
      </c>
      <c r="I232" s="20"/>
      <c r="J232" s="161"/>
      <c r="K232" s="161"/>
      <c r="L232" s="20">
        <f t="shared" si="37"/>
        <v>0</v>
      </c>
      <c r="M232" s="161"/>
      <c r="N232" s="161"/>
      <c r="O232" s="20">
        <f t="shared" si="38"/>
        <v>0</v>
      </c>
      <c r="P232" s="114" t="e">
        <f t="shared" si="43"/>
        <v>#DIV/0!</v>
      </c>
      <c r="Q232" s="161"/>
      <c r="R232" s="161"/>
      <c r="S232" s="20">
        <f t="shared" si="45"/>
        <v>0</v>
      </c>
      <c r="T232" s="21"/>
      <c r="U232" s="21"/>
      <c r="V232" s="20">
        <f t="shared" si="47"/>
        <v>0</v>
      </c>
      <c r="W232" s="114" t="e">
        <f t="shared" si="46"/>
        <v>#DIV/0!</v>
      </c>
      <c r="X232" s="93"/>
    </row>
    <row r="233" spans="1:24" s="31" customFormat="1" ht="11.25" hidden="1">
      <c r="A233" s="54"/>
      <c r="B233" s="60" t="s">
        <v>315</v>
      </c>
      <c r="C233" s="161"/>
      <c r="D233" s="161"/>
      <c r="E233" s="20">
        <f t="shared" si="35"/>
        <v>0</v>
      </c>
      <c r="F233" s="161"/>
      <c r="G233" s="161"/>
      <c r="H233" s="20">
        <f t="shared" si="36"/>
        <v>0</v>
      </c>
      <c r="I233" s="20"/>
      <c r="J233" s="161"/>
      <c r="K233" s="161"/>
      <c r="L233" s="20">
        <f t="shared" si="37"/>
        <v>0</v>
      </c>
      <c r="M233" s="161"/>
      <c r="N233" s="161"/>
      <c r="O233" s="20">
        <f t="shared" si="38"/>
        <v>0</v>
      </c>
      <c r="P233" s="114" t="e">
        <f t="shared" si="43"/>
        <v>#DIV/0!</v>
      </c>
      <c r="Q233" s="161"/>
      <c r="R233" s="161"/>
      <c r="S233" s="20">
        <f t="shared" si="45"/>
        <v>0</v>
      </c>
      <c r="T233" s="21"/>
      <c r="U233" s="21"/>
      <c r="V233" s="20">
        <f t="shared" si="47"/>
        <v>0</v>
      </c>
      <c r="W233" s="114" t="e">
        <f t="shared" si="46"/>
        <v>#DIV/0!</v>
      </c>
      <c r="X233" s="93"/>
    </row>
    <row r="234" spans="1:24" s="6" customFormat="1" ht="11.25" hidden="1">
      <c r="A234" s="50"/>
      <c r="B234" s="61" t="s">
        <v>312</v>
      </c>
      <c r="C234" s="21"/>
      <c r="D234" s="161"/>
      <c r="E234" s="20">
        <f t="shared" si="35"/>
        <v>0</v>
      </c>
      <c r="F234" s="21"/>
      <c r="G234" s="161"/>
      <c r="H234" s="20">
        <f t="shared" si="36"/>
        <v>0</v>
      </c>
      <c r="I234" s="20"/>
      <c r="J234" s="21"/>
      <c r="K234" s="161"/>
      <c r="L234" s="20">
        <f t="shared" si="37"/>
        <v>0</v>
      </c>
      <c r="M234" s="21"/>
      <c r="N234" s="161"/>
      <c r="O234" s="20">
        <f t="shared" si="38"/>
        <v>0</v>
      </c>
      <c r="P234" s="114" t="e">
        <f t="shared" si="43"/>
        <v>#DIV/0!</v>
      </c>
      <c r="Q234" s="21">
        <v>260000</v>
      </c>
      <c r="R234" s="161"/>
      <c r="S234" s="20">
        <f t="shared" si="45"/>
        <v>260000</v>
      </c>
      <c r="T234" s="21"/>
      <c r="U234" s="21"/>
      <c r="V234" s="20">
        <f t="shared" si="47"/>
        <v>0</v>
      </c>
      <c r="W234" s="114">
        <f t="shared" si="46"/>
        <v>0</v>
      </c>
      <c r="X234" s="88" t="s">
        <v>83</v>
      </c>
    </row>
    <row r="235" spans="1:24" s="6" customFormat="1" ht="11.25" hidden="1">
      <c r="A235" s="50"/>
      <c r="B235" s="44" t="s">
        <v>315</v>
      </c>
      <c r="C235" s="161"/>
      <c r="D235" s="161"/>
      <c r="E235" s="20">
        <f t="shared" si="35"/>
        <v>0</v>
      </c>
      <c r="F235" s="161"/>
      <c r="G235" s="161"/>
      <c r="H235" s="20">
        <f t="shared" si="36"/>
        <v>0</v>
      </c>
      <c r="I235" s="20"/>
      <c r="J235" s="161"/>
      <c r="K235" s="161"/>
      <c r="L235" s="20">
        <f t="shared" si="37"/>
        <v>0</v>
      </c>
      <c r="M235" s="161"/>
      <c r="N235" s="161"/>
      <c r="O235" s="20">
        <f t="shared" si="38"/>
        <v>0</v>
      </c>
      <c r="P235" s="114" t="e">
        <f t="shared" si="43"/>
        <v>#DIV/0!</v>
      </c>
      <c r="Q235" s="161"/>
      <c r="R235" s="161"/>
      <c r="S235" s="20">
        <f t="shared" si="45"/>
        <v>0</v>
      </c>
      <c r="T235" s="21"/>
      <c r="U235" s="21"/>
      <c r="V235" s="20">
        <f t="shared" si="47"/>
        <v>0</v>
      </c>
      <c r="W235" s="114" t="e">
        <f t="shared" si="46"/>
        <v>#DIV/0!</v>
      </c>
      <c r="X235" s="88"/>
    </row>
    <row r="236" spans="1:24" s="6" customFormat="1" ht="11.25" hidden="1">
      <c r="A236" s="50"/>
      <c r="B236" s="61" t="s">
        <v>313</v>
      </c>
      <c r="C236" s="21"/>
      <c r="D236" s="161"/>
      <c r="E236" s="20">
        <f t="shared" si="35"/>
        <v>0</v>
      </c>
      <c r="F236" s="21"/>
      <c r="G236" s="161"/>
      <c r="H236" s="20">
        <f t="shared" si="36"/>
        <v>0</v>
      </c>
      <c r="I236" s="20"/>
      <c r="J236" s="21"/>
      <c r="K236" s="161"/>
      <c r="L236" s="20">
        <f t="shared" si="37"/>
        <v>0</v>
      </c>
      <c r="M236" s="21"/>
      <c r="N236" s="161"/>
      <c r="O236" s="20">
        <f t="shared" si="38"/>
        <v>0</v>
      </c>
      <c r="P236" s="114" t="e">
        <f t="shared" si="43"/>
        <v>#DIV/0!</v>
      </c>
      <c r="Q236" s="21">
        <v>1483000</v>
      </c>
      <c r="R236" s="161"/>
      <c r="S236" s="20">
        <f t="shared" si="45"/>
        <v>1483000</v>
      </c>
      <c r="T236" s="21"/>
      <c r="U236" s="21"/>
      <c r="V236" s="20">
        <f t="shared" si="47"/>
        <v>0</v>
      </c>
      <c r="W236" s="114">
        <f t="shared" si="46"/>
        <v>0</v>
      </c>
      <c r="X236" s="88" t="s">
        <v>84</v>
      </c>
    </row>
    <row r="237" spans="24:25" ht="11.25">
      <c r="X237" s="90"/>
      <c r="Y237" s="81"/>
    </row>
    <row r="238" ht="11.25">
      <c r="X238" s="90"/>
    </row>
    <row r="239" ht="11.25">
      <c r="X239" s="90"/>
    </row>
    <row r="240" spans="4:24" ht="11.25">
      <c r="D240" s="168"/>
      <c r="E240" s="94" t="s">
        <v>89</v>
      </c>
      <c r="G240" s="168"/>
      <c r="H240" s="94" t="s">
        <v>89</v>
      </c>
      <c r="K240" s="168"/>
      <c r="L240" s="94" t="s">
        <v>89</v>
      </c>
      <c r="N240" s="168"/>
      <c r="O240" s="94" t="s">
        <v>89</v>
      </c>
      <c r="R240" s="168"/>
      <c r="S240" s="94" t="s">
        <v>89</v>
      </c>
      <c r="X240" s="90"/>
    </row>
    <row r="241" ht="11.25">
      <c r="X241" s="81"/>
    </row>
    <row r="242" ht="11.25">
      <c r="X242" s="81"/>
    </row>
    <row r="243" ht="11.25">
      <c r="X243" s="81"/>
    </row>
    <row r="244" ht="11.25">
      <c r="V244" s="139"/>
    </row>
  </sheetData>
  <mergeCells count="18">
    <mergeCell ref="W2:W3"/>
    <mergeCell ref="T2:V2"/>
    <mergeCell ref="J2:L2"/>
    <mergeCell ref="M2:O2"/>
    <mergeCell ref="A6:B6"/>
    <mergeCell ref="A2:A3"/>
    <mergeCell ref="B2:B3"/>
    <mergeCell ref="X202:AC202"/>
    <mergeCell ref="X36:Z36"/>
    <mergeCell ref="X57:Z57"/>
    <mergeCell ref="A159:B159"/>
    <mergeCell ref="X52:Y52"/>
    <mergeCell ref="A163:B163"/>
    <mergeCell ref="Q2:S2"/>
    <mergeCell ref="F2:H2"/>
    <mergeCell ref="C2:E2"/>
    <mergeCell ref="A5:B5"/>
    <mergeCell ref="A1:V1"/>
  </mergeCells>
  <printOptions/>
  <pageMargins left="0.29" right="0.19" top="0.55" bottom="0.47" header="0.5" footer="0.4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">
      <pane ySplit="4" topLeftCell="BM113" activePane="bottomLeft" state="frozen"/>
      <selection pane="topLeft" activeCell="A1" sqref="A1"/>
      <selection pane="bottomLeft" activeCell="B78" sqref="B78"/>
    </sheetView>
  </sheetViews>
  <sheetFormatPr defaultColWidth="9.140625" defaultRowHeight="12"/>
  <cols>
    <col min="1" max="1" width="3.28125" style="105" customWidth="1"/>
    <col min="2" max="2" width="44.8515625" style="105" customWidth="1"/>
    <col min="3" max="3" width="18.8515625" style="94" customWidth="1"/>
    <col min="4" max="4" width="21.00390625" style="94" customWidth="1"/>
    <col min="5" max="5" width="19.8515625" style="94" customWidth="1"/>
    <col min="6" max="6" width="20.7109375" style="107" customWidth="1"/>
    <col min="7" max="7" width="18.421875" style="107" customWidth="1"/>
    <col min="8" max="8" width="18.7109375" style="105" customWidth="1"/>
    <col min="9" max="9" width="10.28125" style="105" customWidth="1"/>
    <col min="10" max="10" width="9.28125" style="105" customWidth="1"/>
    <col min="11" max="16384" width="9.140625" style="105" customWidth="1"/>
  </cols>
  <sheetData>
    <row r="1" spans="1:9" s="3" customFormat="1" ht="24" customHeight="1">
      <c r="A1" s="232" t="s">
        <v>443</v>
      </c>
      <c r="B1" s="232"/>
      <c r="C1" s="232"/>
      <c r="D1" s="232"/>
      <c r="E1" s="232"/>
      <c r="F1" s="232"/>
      <c r="G1" s="232"/>
      <c r="H1" s="232"/>
      <c r="I1" s="232"/>
    </row>
    <row r="2" spans="1:9" s="4" customFormat="1" ht="19.5" customHeight="1">
      <c r="A2" s="227" t="s">
        <v>211</v>
      </c>
      <c r="B2" s="228" t="s">
        <v>351</v>
      </c>
      <c r="C2" s="229" t="s">
        <v>442</v>
      </c>
      <c r="D2" s="229"/>
      <c r="E2" s="229"/>
      <c r="F2" s="229" t="s">
        <v>444</v>
      </c>
      <c r="G2" s="229"/>
      <c r="H2" s="229"/>
      <c r="I2" s="230" t="s">
        <v>392</v>
      </c>
    </row>
    <row r="3" spans="1:9" s="66" customFormat="1" ht="15.75" customHeight="1">
      <c r="A3" s="227"/>
      <c r="B3" s="228"/>
      <c r="C3" s="5" t="s">
        <v>212</v>
      </c>
      <c r="D3" s="5" t="s">
        <v>213</v>
      </c>
      <c r="E3" s="5" t="s">
        <v>214</v>
      </c>
      <c r="F3" s="5" t="s">
        <v>212</v>
      </c>
      <c r="G3" s="5" t="s">
        <v>213</v>
      </c>
      <c r="H3" s="5" t="s">
        <v>214</v>
      </c>
      <c r="I3" s="231"/>
    </row>
    <row r="4" spans="1:9" s="6" customFormat="1" ht="9" customHeight="1">
      <c r="A4" s="47">
        <v>1</v>
      </c>
      <c r="B4" s="47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s="64" customFormat="1" ht="15.75">
      <c r="A5" s="216" t="s">
        <v>215</v>
      </c>
      <c r="B5" s="217"/>
      <c r="C5" s="63">
        <f>SUM(C6,C103,C106)</f>
        <v>732215775</v>
      </c>
      <c r="D5" s="63">
        <f>SUM(D6,D103,D106)</f>
        <v>223123593</v>
      </c>
      <c r="E5" s="65">
        <f aca="true" t="shared" si="0" ref="E5:E22">SUM(C5:D5)</f>
        <v>955339368</v>
      </c>
      <c r="F5" s="63">
        <f>SUM(F6,F103,F106)</f>
        <v>339184167.68</v>
      </c>
      <c r="G5" s="63">
        <f>SUM(G6,G103,G106)</f>
        <v>105280824.05</v>
      </c>
      <c r="H5" s="65">
        <f aca="true" t="shared" si="1" ref="H5:H33">SUM(F5:G5)</f>
        <v>444464991.73</v>
      </c>
      <c r="I5" s="114">
        <f aca="true" t="shared" si="2" ref="I5:I23">H5/E5</f>
        <v>0.465243039926729</v>
      </c>
    </row>
    <row r="6" spans="1:9" s="8" customFormat="1" ht="12.75">
      <c r="A6" s="218" t="s">
        <v>314</v>
      </c>
      <c r="B6" s="219"/>
      <c r="C6" s="7">
        <f>SUM(C7,C20,C25,C35,C72,C85,C60,C100)</f>
        <v>590872013</v>
      </c>
      <c r="D6" s="7">
        <f>SUM(D7,D20,D25,D35,D72,D85,D60,D100)</f>
        <v>114491076</v>
      </c>
      <c r="E6" s="7">
        <f t="shared" si="0"/>
        <v>705363089</v>
      </c>
      <c r="F6" s="7">
        <f>SUM(F7,F20,F25,F35,F72,F85,F60,F100)</f>
        <v>260585647.68</v>
      </c>
      <c r="G6" s="7">
        <f>SUM(G7,G20,G25,G35,G72,G85,G60,G100)</f>
        <v>39216330.05</v>
      </c>
      <c r="H6" s="7">
        <f t="shared" si="1"/>
        <v>299801977.73</v>
      </c>
      <c r="I6" s="114">
        <f t="shared" si="2"/>
        <v>0.4250321322526703</v>
      </c>
    </row>
    <row r="7" spans="1:9" s="11" customFormat="1" ht="22.5" customHeight="1">
      <c r="A7" s="24">
        <v>1</v>
      </c>
      <c r="B7" s="26" t="s">
        <v>374</v>
      </c>
      <c r="C7" s="9">
        <f>SUM(C8:C19)</f>
        <v>126371700</v>
      </c>
      <c r="D7" s="9">
        <f>SUM(D8:D19)</f>
        <v>5314200</v>
      </c>
      <c r="E7" s="9">
        <f t="shared" si="0"/>
        <v>131685900</v>
      </c>
      <c r="F7" s="9">
        <f>SUM(F8:F19)</f>
        <v>68921643.49000001</v>
      </c>
      <c r="G7" s="9">
        <f>SUM(G8:G19)</f>
        <v>2382497.84</v>
      </c>
      <c r="H7" s="9">
        <f t="shared" si="1"/>
        <v>71304141.33000001</v>
      </c>
      <c r="I7" s="114">
        <f t="shared" si="2"/>
        <v>0.541471344540304</v>
      </c>
    </row>
    <row r="8" spans="1:9" s="16" customFormat="1" ht="12.75" customHeight="1">
      <c r="A8" s="48"/>
      <c r="B8" s="12" t="s">
        <v>216</v>
      </c>
      <c r="C8" s="15">
        <f>86000000+16359400+1750000+1750000</f>
        <v>105859400</v>
      </c>
      <c r="D8" s="15"/>
      <c r="E8" s="14">
        <f t="shared" si="0"/>
        <v>105859400</v>
      </c>
      <c r="F8" s="15">
        <f>46440680.79+11016290.85</f>
        <v>57456971.64</v>
      </c>
      <c r="G8" s="15"/>
      <c r="H8" s="14">
        <f t="shared" si="1"/>
        <v>57456971.64</v>
      </c>
      <c r="I8" s="114">
        <f t="shared" si="2"/>
        <v>0.5427668363886438</v>
      </c>
    </row>
    <row r="9" spans="1:9" s="16" customFormat="1" ht="13.5" customHeight="1">
      <c r="A9" s="48"/>
      <c r="B9" s="12" t="s">
        <v>217</v>
      </c>
      <c r="C9" s="15">
        <f>4480600+2344500+1200000+300000</f>
        <v>8325100</v>
      </c>
      <c r="D9" s="15"/>
      <c r="E9" s="14">
        <f t="shared" si="0"/>
        <v>8325100</v>
      </c>
      <c r="F9" s="15">
        <f>3138417.94+1051818.65</f>
        <v>4190236.59</v>
      </c>
      <c r="G9" s="15"/>
      <c r="H9" s="14">
        <f t="shared" si="1"/>
        <v>4190236.59</v>
      </c>
      <c r="I9" s="114">
        <f t="shared" si="2"/>
        <v>0.5033256765684496</v>
      </c>
    </row>
    <row r="10" spans="1:9" s="22" customFormat="1" ht="11.25">
      <c r="A10" s="49"/>
      <c r="B10" s="95" t="s">
        <v>220</v>
      </c>
      <c r="C10" s="15">
        <f>2000+39000</f>
        <v>41000</v>
      </c>
      <c r="D10" s="21"/>
      <c r="E10" s="20">
        <f t="shared" si="0"/>
        <v>41000</v>
      </c>
      <c r="F10" s="15">
        <f>1723+31400.04</f>
        <v>33123.04</v>
      </c>
      <c r="G10" s="21"/>
      <c r="H10" s="20">
        <f t="shared" si="1"/>
        <v>33123.04</v>
      </c>
      <c r="I10" s="114">
        <f t="shared" si="2"/>
        <v>0.807879024390244</v>
      </c>
    </row>
    <row r="11" spans="1:9" s="97" customFormat="1" ht="11.25">
      <c r="A11" s="67"/>
      <c r="B11" s="96" t="s">
        <v>221</v>
      </c>
      <c r="C11" s="15">
        <f>70000+4200</f>
        <v>74200</v>
      </c>
      <c r="D11" s="15"/>
      <c r="E11" s="14">
        <f t="shared" si="0"/>
        <v>74200</v>
      </c>
      <c r="F11" s="15">
        <f>45776+3860</f>
        <v>49636</v>
      </c>
      <c r="G11" s="15"/>
      <c r="H11" s="14">
        <f t="shared" si="1"/>
        <v>49636</v>
      </c>
      <c r="I11" s="114">
        <f t="shared" si="2"/>
        <v>0.6689487870619946</v>
      </c>
    </row>
    <row r="12" spans="1:9" s="98" customFormat="1" ht="12" customHeight="1">
      <c r="A12" s="67"/>
      <c r="B12" s="95" t="s">
        <v>222</v>
      </c>
      <c r="C12" s="15">
        <v>2000</v>
      </c>
      <c r="D12" s="15"/>
      <c r="E12" s="14">
        <f t="shared" si="0"/>
        <v>2000</v>
      </c>
      <c r="F12" s="15">
        <v>44.28</v>
      </c>
      <c r="G12" s="15"/>
      <c r="H12" s="14">
        <f t="shared" si="1"/>
        <v>44.28</v>
      </c>
      <c r="I12" s="114">
        <f t="shared" si="2"/>
        <v>0.02214</v>
      </c>
    </row>
    <row r="13" spans="1:9" s="97" customFormat="1" ht="22.5" customHeight="1">
      <c r="A13" s="100"/>
      <c r="B13" s="101" t="s">
        <v>350</v>
      </c>
      <c r="C13" s="15">
        <v>440000</v>
      </c>
      <c r="D13" s="15"/>
      <c r="E13" s="14">
        <f t="shared" si="0"/>
        <v>440000</v>
      </c>
      <c r="F13" s="15">
        <v>185540</v>
      </c>
      <c r="G13" s="15"/>
      <c r="H13" s="14">
        <f t="shared" si="1"/>
        <v>185540</v>
      </c>
      <c r="I13" s="114">
        <f t="shared" si="2"/>
        <v>0.42168181818181816</v>
      </c>
    </row>
    <row r="14" spans="1:9" s="16" customFormat="1" ht="11.25">
      <c r="A14" s="48"/>
      <c r="B14" s="12" t="s">
        <v>218</v>
      </c>
      <c r="C14" s="15">
        <v>4100000</v>
      </c>
      <c r="D14" s="15"/>
      <c r="E14" s="14">
        <f t="shared" si="0"/>
        <v>4100000</v>
      </c>
      <c r="F14" s="15">
        <v>1837364.83</v>
      </c>
      <c r="G14" s="15"/>
      <c r="H14" s="14">
        <f t="shared" si="1"/>
        <v>1837364.83</v>
      </c>
      <c r="I14" s="114">
        <f t="shared" si="2"/>
        <v>0.4481377634146342</v>
      </c>
    </row>
    <row r="15" spans="1:9" s="16" customFormat="1" ht="20.25" customHeight="1">
      <c r="A15" s="48"/>
      <c r="B15" s="12" t="s">
        <v>247</v>
      </c>
      <c r="C15" s="15">
        <v>5200000</v>
      </c>
      <c r="D15" s="15"/>
      <c r="E15" s="14">
        <f t="shared" si="0"/>
        <v>5200000</v>
      </c>
      <c r="F15" s="15">
        <v>4012546.22</v>
      </c>
      <c r="G15" s="15"/>
      <c r="H15" s="14">
        <f t="shared" si="1"/>
        <v>4012546.22</v>
      </c>
      <c r="I15" s="114">
        <f t="shared" si="2"/>
        <v>0.7716435038461539</v>
      </c>
    </row>
    <row r="16" spans="1:9" s="16" customFormat="1" ht="22.5" customHeight="1">
      <c r="A16" s="53"/>
      <c r="B16" s="28" t="s">
        <v>248</v>
      </c>
      <c r="C16" s="15"/>
      <c r="D16" s="15">
        <f>5100000*104.2%</f>
        <v>5314200</v>
      </c>
      <c r="E16" s="14">
        <f t="shared" si="0"/>
        <v>5314200</v>
      </c>
      <c r="F16" s="15"/>
      <c r="G16" s="15">
        <v>2382497.84</v>
      </c>
      <c r="H16" s="14">
        <f t="shared" si="1"/>
        <v>2382497.84</v>
      </c>
      <c r="I16" s="114">
        <f t="shared" si="2"/>
        <v>0.4483267170975876</v>
      </c>
    </row>
    <row r="17" spans="1:9" s="97" customFormat="1" ht="14.25" customHeight="1">
      <c r="A17" s="67"/>
      <c r="B17" s="95" t="s">
        <v>378</v>
      </c>
      <c r="C17" s="15">
        <f>800000+230000</f>
        <v>1030000</v>
      </c>
      <c r="D17" s="15"/>
      <c r="E17" s="14">
        <f t="shared" si="0"/>
        <v>1030000</v>
      </c>
      <c r="F17" s="15">
        <f>308792.8+27579.21</f>
        <v>336372.01</v>
      </c>
      <c r="G17" s="15"/>
      <c r="H17" s="14">
        <f t="shared" si="1"/>
        <v>336372.01</v>
      </c>
      <c r="I17" s="114">
        <f t="shared" si="2"/>
        <v>0.32657476699029125</v>
      </c>
    </row>
    <row r="18" spans="1:9" s="98" customFormat="1" ht="11.25" customHeight="1">
      <c r="A18" s="100"/>
      <c r="B18" s="96" t="s">
        <v>234</v>
      </c>
      <c r="C18" s="15">
        <v>100000</v>
      </c>
      <c r="D18" s="15"/>
      <c r="E18" s="14">
        <f t="shared" si="0"/>
        <v>100000</v>
      </c>
      <c r="F18" s="15">
        <v>0</v>
      </c>
      <c r="G18" s="15"/>
      <c r="H18" s="14">
        <f t="shared" si="1"/>
        <v>0</v>
      </c>
      <c r="I18" s="114">
        <f t="shared" si="2"/>
        <v>0</v>
      </c>
    </row>
    <row r="19" spans="1:9" s="104" customFormat="1" ht="11.25">
      <c r="A19" s="102"/>
      <c r="B19" s="103" t="s">
        <v>224</v>
      </c>
      <c r="C19" s="15">
        <f>900000+300000</f>
        <v>1200000</v>
      </c>
      <c r="D19" s="15"/>
      <c r="E19" s="14">
        <f t="shared" si="0"/>
        <v>1200000</v>
      </c>
      <c r="F19" s="15">
        <f>623427.4+196381.48</f>
        <v>819808.88</v>
      </c>
      <c r="G19" s="15"/>
      <c r="H19" s="14">
        <f t="shared" si="1"/>
        <v>819808.88</v>
      </c>
      <c r="I19" s="114">
        <f t="shared" si="2"/>
        <v>0.6831740666666667</v>
      </c>
    </row>
    <row r="20" spans="1:9" s="10" customFormat="1" ht="21" customHeight="1">
      <c r="A20" s="24">
        <v>2</v>
      </c>
      <c r="B20" s="25" t="s">
        <v>225</v>
      </c>
      <c r="C20" s="9">
        <f>SUM(C21:C24)</f>
        <v>41900000</v>
      </c>
      <c r="D20" s="9">
        <f>SUM(D21:D24)</f>
        <v>0</v>
      </c>
      <c r="E20" s="9">
        <f t="shared" si="0"/>
        <v>41900000</v>
      </c>
      <c r="F20" s="9">
        <f>SUM(F21:F24)</f>
        <v>12190914.18</v>
      </c>
      <c r="G20" s="9">
        <f>SUM(G21:G24)</f>
        <v>0</v>
      </c>
      <c r="H20" s="9">
        <f t="shared" si="1"/>
        <v>12190914.18</v>
      </c>
      <c r="I20" s="114">
        <f t="shared" si="2"/>
        <v>0.29095260572792364</v>
      </c>
    </row>
    <row r="21" spans="1:9" s="16" customFormat="1" ht="11.25">
      <c r="A21" s="48"/>
      <c r="B21" s="18" t="s">
        <v>226</v>
      </c>
      <c r="C21" s="15">
        <v>900000</v>
      </c>
      <c r="D21" s="15"/>
      <c r="E21" s="14">
        <f t="shared" si="0"/>
        <v>900000</v>
      </c>
      <c r="F21" s="15">
        <v>351842.21</v>
      </c>
      <c r="G21" s="15"/>
      <c r="H21" s="14">
        <f t="shared" si="1"/>
        <v>351842.21</v>
      </c>
      <c r="I21" s="114">
        <f t="shared" si="2"/>
        <v>0.3909357888888889</v>
      </c>
    </row>
    <row r="22" spans="1:9" s="16" customFormat="1" ht="12" customHeight="1">
      <c r="A22" s="48"/>
      <c r="B22" s="18" t="s">
        <v>227</v>
      </c>
      <c r="C22" s="15">
        <f>3600000+400000</f>
        <v>4000000</v>
      </c>
      <c r="D22" s="15"/>
      <c r="E22" s="14">
        <f t="shared" si="0"/>
        <v>4000000</v>
      </c>
      <c r="F22" s="15">
        <v>1708440.63</v>
      </c>
      <c r="G22" s="15"/>
      <c r="H22" s="14">
        <f t="shared" si="1"/>
        <v>1708440.63</v>
      </c>
      <c r="I22" s="114">
        <f t="shared" si="2"/>
        <v>0.4271101575</v>
      </c>
    </row>
    <row r="23" spans="1:9" s="16" customFormat="1" ht="12" customHeight="1">
      <c r="A23" s="48"/>
      <c r="B23" s="18" t="s">
        <v>228</v>
      </c>
      <c r="C23" s="15">
        <f>3526100+33473900</f>
        <v>37000000</v>
      </c>
      <c r="E23" s="14">
        <f>SUM(C23:C23)</f>
        <v>37000000</v>
      </c>
      <c r="F23" s="15">
        <f>1839270.35+8266562.62</f>
        <v>10105832.97</v>
      </c>
      <c r="G23" s="15"/>
      <c r="H23" s="14">
        <f t="shared" si="1"/>
        <v>10105832.97</v>
      </c>
      <c r="I23" s="114">
        <f t="shared" si="2"/>
        <v>0.27313062081081085</v>
      </c>
    </row>
    <row r="24" spans="1:9" s="16" customFormat="1" ht="21.75" customHeight="1">
      <c r="A24" s="48"/>
      <c r="B24" s="18" t="s">
        <v>229</v>
      </c>
      <c r="C24" s="15"/>
      <c r="D24" s="15"/>
      <c r="E24" s="14">
        <f aca="true" t="shared" si="3" ref="E24:E43">SUM(C24:D24)</f>
        <v>0</v>
      </c>
      <c r="F24" s="15">
        <f>19738.7+4905.83+153.84</f>
        <v>24798.37</v>
      </c>
      <c r="G24" s="15"/>
      <c r="H24" s="14">
        <f t="shared" si="1"/>
        <v>24798.37</v>
      </c>
      <c r="I24" s="114"/>
    </row>
    <row r="25" spans="1:9" s="11" customFormat="1" ht="13.5" customHeight="1">
      <c r="A25" s="24">
        <v>3</v>
      </c>
      <c r="B25" s="26" t="s">
        <v>375</v>
      </c>
      <c r="C25" s="9">
        <f>SUM(C26:C31)</f>
        <v>66045939</v>
      </c>
      <c r="D25" s="9">
        <f>SUM(D26:D31)</f>
        <v>92616</v>
      </c>
      <c r="E25" s="27">
        <f t="shared" si="3"/>
        <v>66138555</v>
      </c>
      <c r="F25" s="9">
        <f>SUM(F26:F31)</f>
        <v>27088884.87</v>
      </c>
      <c r="G25" s="9">
        <f>SUM(G26:G31)</f>
        <v>36255.39</v>
      </c>
      <c r="H25" s="27">
        <f t="shared" si="1"/>
        <v>27125140.26</v>
      </c>
      <c r="I25" s="114">
        <f aca="true" t="shared" si="4" ref="I25:I41">H25/E25</f>
        <v>0.4101259886914675</v>
      </c>
    </row>
    <row r="26" spans="1:9" s="16" customFormat="1" ht="15" customHeight="1">
      <c r="A26" s="48"/>
      <c r="B26" s="18" t="s">
        <v>230</v>
      </c>
      <c r="C26" s="15">
        <v>30000000</v>
      </c>
      <c r="D26" s="15"/>
      <c r="E26" s="14">
        <f t="shared" si="3"/>
        <v>30000000</v>
      </c>
      <c r="F26" s="15">
        <v>5965092.46</v>
      </c>
      <c r="G26" s="15"/>
      <c r="H26" s="14">
        <f t="shared" si="1"/>
        <v>5965092.46</v>
      </c>
      <c r="I26" s="114">
        <f t="shared" si="4"/>
        <v>0.19883641533333332</v>
      </c>
    </row>
    <row r="27" spans="1:9" s="16" customFormat="1" ht="21.75" customHeight="1">
      <c r="A27" s="48"/>
      <c r="B27" s="18" t="s">
        <v>377</v>
      </c>
      <c r="C27" s="15">
        <v>2600000</v>
      </c>
      <c r="D27" s="15"/>
      <c r="E27" s="14">
        <f t="shared" si="3"/>
        <v>2600000</v>
      </c>
      <c r="F27" s="15">
        <v>3637571.71</v>
      </c>
      <c r="G27" s="15"/>
      <c r="H27" s="14">
        <f t="shared" si="1"/>
        <v>3637571.71</v>
      </c>
      <c r="I27" s="114">
        <f t="shared" si="4"/>
        <v>1.3990660423076924</v>
      </c>
    </row>
    <row r="28" spans="1:9" s="16" customFormat="1" ht="11.25">
      <c r="A28" s="48"/>
      <c r="B28" s="18" t="s">
        <v>231</v>
      </c>
      <c r="C28" s="15">
        <f>7700000+1000000</f>
        <v>8700000</v>
      </c>
      <c r="D28" s="15"/>
      <c r="E28" s="14">
        <f t="shared" si="3"/>
        <v>8700000</v>
      </c>
      <c r="F28" s="15">
        <v>5499814.24</v>
      </c>
      <c r="G28" s="15"/>
      <c r="H28" s="14">
        <f t="shared" si="1"/>
        <v>5499814.24</v>
      </c>
      <c r="I28" s="114">
        <f t="shared" si="4"/>
        <v>0.6321625563218392</v>
      </c>
    </row>
    <row r="29" spans="1:9" s="16" customFormat="1" ht="11.25">
      <c r="A29" s="48"/>
      <c r="B29" s="18" t="s">
        <v>232</v>
      </c>
      <c r="C29" s="15">
        <f>4500000-400000</f>
        <v>4100000</v>
      </c>
      <c r="D29" s="15"/>
      <c r="E29" s="14">
        <f t="shared" si="3"/>
        <v>4100000</v>
      </c>
      <c r="F29" s="15">
        <v>1448262.84</v>
      </c>
      <c r="G29" s="15"/>
      <c r="H29" s="14">
        <f t="shared" si="1"/>
        <v>1448262.84</v>
      </c>
      <c r="I29" s="114">
        <f t="shared" si="4"/>
        <v>0.3532348390243903</v>
      </c>
    </row>
    <row r="30" spans="1:9" s="16" customFormat="1" ht="11.25">
      <c r="A30" s="48"/>
      <c r="B30" s="18" t="s">
        <v>233</v>
      </c>
      <c r="C30" s="15">
        <v>5500000</v>
      </c>
      <c r="D30" s="15"/>
      <c r="E30" s="14">
        <f t="shared" si="3"/>
        <v>5500000</v>
      </c>
      <c r="F30" s="15">
        <v>4376962.66</v>
      </c>
      <c r="G30" s="15"/>
      <c r="H30" s="14">
        <f t="shared" si="1"/>
        <v>4376962.66</v>
      </c>
      <c r="I30" s="114">
        <f t="shared" si="4"/>
        <v>0.7958113927272727</v>
      </c>
    </row>
    <row r="31" spans="1:9" s="16" customFormat="1" ht="11.25">
      <c r="A31" s="48"/>
      <c r="B31" s="18" t="s">
        <v>219</v>
      </c>
      <c r="C31" s="15">
        <f>SUM(C32:C34)</f>
        <v>15145939</v>
      </c>
      <c r="D31" s="15">
        <f>SUM(D32:D34)</f>
        <v>92616</v>
      </c>
      <c r="E31" s="14">
        <f t="shared" si="3"/>
        <v>15238555</v>
      </c>
      <c r="F31" s="15">
        <f>SUM(F32:F34)</f>
        <v>6161180.960000001</v>
      </c>
      <c r="G31" s="15">
        <f>SUM(G32:G34)</f>
        <v>36255.39</v>
      </c>
      <c r="H31" s="14">
        <f t="shared" si="1"/>
        <v>6197436.350000001</v>
      </c>
      <c r="I31" s="114">
        <f t="shared" si="4"/>
        <v>0.40669448973344263</v>
      </c>
    </row>
    <row r="32" spans="1:9" s="22" customFormat="1" ht="12.75" customHeight="1">
      <c r="A32" s="51"/>
      <c r="B32" s="19" t="s">
        <v>235</v>
      </c>
      <c r="C32" s="21">
        <v>460000</v>
      </c>
      <c r="D32" s="21">
        <v>5176</v>
      </c>
      <c r="E32" s="20">
        <f t="shared" si="3"/>
        <v>465176</v>
      </c>
      <c r="F32" s="21">
        <f>501.89+441125.49</f>
        <v>441627.38</v>
      </c>
      <c r="G32" s="21">
        <v>5176</v>
      </c>
      <c r="H32" s="20">
        <f t="shared" si="1"/>
        <v>446803.38</v>
      </c>
      <c r="I32" s="114">
        <f t="shared" si="4"/>
        <v>0.960503938294323</v>
      </c>
    </row>
    <row r="33" spans="1:9" s="59" customFormat="1" ht="33" customHeight="1">
      <c r="A33" s="57"/>
      <c r="B33" s="58" t="s">
        <v>236</v>
      </c>
      <c r="C33" s="21">
        <f>5135929+5812649+1179661+50000+35341+360000+300000+1989000-279227</f>
        <v>14583353</v>
      </c>
      <c r="D33" s="21">
        <v>40000</v>
      </c>
      <c r="E33" s="20">
        <f t="shared" si="3"/>
        <v>14623353</v>
      </c>
      <c r="F33" s="21">
        <f>17371.5+4558835.25+576235.57+115990.49+156156.2+14204.68+182662.9</f>
        <v>5621456.590000001</v>
      </c>
      <c r="G33" s="21">
        <f>900</f>
        <v>900</v>
      </c>
      <c r="H33" s="20">
        <f t="shared" si="1"/>
        <v>5622356.590000001</v>
      </c>
      <c r="I33" s="114">
        <f t="shared" si="4"/>
        <v>0.3844779367632034</v>
      </c>
    </row>
    <row r="34" spans="1:9" s="23" customFormat="1" ht="15.75" customHeight="1">
      <c r="A34" s="51"/>
      <c r="B34" s="19" t="s">
        <v>237</v>
      </c>
      <c r="C34" s="21">
        <f>102586</f>
        <v>102586</v>
      </c>
      <c r="D34" s="21">
        <v>47440</v>
      </c>
      <c r="E34" s="20">
        <f t="shared" si="3"/>
        <v>150026</v>
      </c>
      <c r="F34" s="21">
        <f>43336.22+54560.77+200</f>
        <v>98096.98999999999</v>
      </c>
      <c r="G34" s="21">
        <f>417+6290.17+3542.44+3769.56+16160.22</f>
        <v>30179.39</v>
      </c>
      <c r="H34" s="20">
        <f aca="true" t="shared" si="5" ref="H34:H57">SUM(F34:G34)</f>
        <v>128276.37999999999</v>
      </c>
      <c r="I34" s="114">
        <f t="shared" si="4"/>
        <v>0.8550276618719421</v>
      </c>
    </row>
    <row r="35" spans="1:9" s="11" customFormat="1" ht="12">
      <c r="A35" s="24">
        <v>4</v>
      </c>
      <c r="B35" s="26" t="s">
        <v>238</v>
      </c>
      <c r="C35" s="9">
        <f>SUM(C36:C55)</f>
        <v>74752722</v>
      </c>
      <c r="D35" s="9">
        <f>SUM(D36:D55)</f>
        <v>8246558</v>
      </c>
      <c r="E35" s="27">
        <f t="shared" si="3"/>
        <v>82999280</v>
      </c>
      <c r="F35" s="9">
        <f>SUM(F36:F55)</f>
        <v>34178487.15</v>
      </c>
      <c r="G35" s="9">
        <f>SUM(G36:G55)</f>
        <v>3720503.9499999997</v>
      </c>
      <c r="H35" s="27">
        <f t="shared" si="5"/>
        <v>37898991.1</v>
      </c>
      <c r="I35" s="114">
        <f t="shared" si="4"/>
        <v>0.4566183116287274</v>
      </c>
    </row>
    <row r="36" spans="1:9" s="16" customFormat="1" ht="12" customHeight="1">
      <c r="A36" s="48"/>
      <c r="B36" s="18" t="s">
        <v>239</v>
      </c>
      <c r="C36" s="15">
        <f>66662613-50000+5000</f>
        <v>66617613</v>
      </c>
      <c r="D36" s="15"/>
      <c r="E36" s="14">
        <f t="shared" si="3"/>
        <v>66617613</v>
      </c>
      <c r="F36" s="15">
        <f>28725762.9+12896.52+1911323.74-474984</f>
        <v>30174999.159999996</v>
      </c>
      <c r="G36" s="15"/>
      <c r="H36" s="14">
        <f t="shared" si="5"/>
        <v>30174999.159999996</v>
      </c>
      <c r="I36" s="114">
        <f t="shared" si="4"/>
        <v>0.45295827636454034</v>
      </c>
    </row>
    <row r="37" spans="1:9" s="16" customFormat="1" ht="15.75" customHeight="1">
      <c r="A37" s="48"/>
      <c r="B37" s="18" t="s">
        <v>373</v>
      </c>
      <c r="C37" s="15">
        <f>2100000+200000</f>
        <v>2300000</v>
      </c>
      <c r="D37" s="15"/>
      <c r="E37" s="14">
        <f t="shared" si="3"/>
        <v>2300000</v>
      </c>
      <c r="F37" s="15">
        <v>474984</v>
      </c>
      <c r="G37" s="15"/>
      <c r="H37" s="14">
        <f t="shared" si="5"/>
        <v>474984</v>
      </c>
      <c r="I37" s="114">
        <f t="shared" si="4"/>
        <v>0.20651478260869566</v>
      </c>
    </row>
    <row r="38" spans="1:9" s="16" customFormat="1" ht="12" customHeight="1">
      <c r="A38" s="48"/>
      <c r="B38" s="18" t="s">
        <v>25</v>
      </c>
      <c r="C38" s="15"/>
      <c r="D38" s="15">
        <v>3603768</v>
      </c>
      <c r="E38" s="14">
        <f t="shared" si="3"/>
        <v>3603768</v>
      </c>
      <c r="F38" s="15"/>
      <c r="G38" s="15"/>
      <c r="H38" s="14">
        <f t="shared" si="5"/>
        <v>0</v>
      </c>
      <c r="I38" s="114">
        <f t="shared" si="4"/>
        <v>0</v>
      </c>
    </row>
    <row r="39" spans="1:9" s="16" customFormat="1" ht="11.25">
      <c r="A39" s="48"/>
      <c r="B39" s="18" t="s">
        <v>86</v>
      </c>
      <c r="C39" s="15">
        <v>300000</v>
      </c>
      <c r="D39" s="15"/>
      <c r="E39" s="14">
        <f t="shared" si="3"/>
        <v>300000</v>
      </c>
      <c r="F39" s="15">
        <f>24778.95+144476.91</f>
        <v>169255.86000000002</v>
      </c>
      <c r="G39" s="15"/>
      <c r="H39" s="14">
        <f t="shared" si="5"/>
        <v>169255.86000000002</v>
      </c>
      <c r="I39" s="114">
        <f t="shared" si="4"/>
        <v>0.5641862000000001</v>
      </c>
    </row>
    <row r="40" spans="1:9" s="16" customFormat="1" ht="15.75" customHeight="1">
      <c r="A40" s="48"/>
      <c r="B40" s="18" t="s">
        <v>240</v>
      </c>
      <c r="C40" s="15">
        <v>277295</v>
      </c>
      <c r="D40" s="15"/>
      <c r="E40" s="14">
        <f t="shared" si="3"/>
        <v>277295</v>
      </c>
      <c r="F40" s="15"/>
      <c r="G40" s="15"/>
      <c r="H40" s="14">
        <f t="shared" si="5"/>
        <v>0</v>
      </c>
      <c r="I40" s="114">
        <f t="shared" si="4"/>
        <v>0</v>
      </c>
    </row>
    <row r="41" spans="1:9" s="16" customFormat="1" ht="20.25" customHeight="1">
      <c r="A41" s="48"/>
      <c r="B41" s="18" t="s">
        <v>241</v>
      </c>
      <c r="C41" s="15">
        <v>871220</v>
      </c>
      <c r="D41" s="15"/>
      <c r="E41" s="14">
        <f t="shared" si="3"/>
        <v>871220</v>
      </c>
      <c r="F41" s="15">
        <f>285456.48+196632.25</f>
        <v>482088.73</v>
      </c>
      <c r="G41" s="15"/>
      <c r="H41" s="14">
        <f t="shared" si="5"/>
        <v>482088.73</v>
      </c>
      <c r="I41" s="114">
        <f t="shared" si="4"/>
        <v>0.5533490163219393</v>
      </c>
    </row>
    <row r="42" spans="1:9" s="16" customFormat="1" ht="24" customHeight="1">
      <c r="A42" s="48"/>
      <c r="B42" s="18" t="s">
        <v>93</v>
      </c>
      <c r="C42" s="15"/>
      <c r="D42" s="15"/>
      <c r="E42" s="14">
        <f t="shared" si="3"/>
        <v>0</v>
      </c>
      <c r="F42" s="15"/>
      <c r="G42" s="15">
        <v>2834.47</v>
      </c>
      <c r="H42" s="14">
        <f t="shared" si="5"/>
        <v>2834.47</v>
      </c>
      <c r="I42" s="114"/>
    </row>
    <row r="43" spans="1:9" s="16" customFormat="1" ht="16.5" customHeight="1">
      <c r="A43" s="48"/>
      <c r="B43" s="18" t="s">
        <v>242</v>
      </c>
      <c r="C43" s="15">
        <v>714308</v>
      </c>
      <c r="D43" s="15"/>
      <c r="E43" s="14">
        <f t="shared" si="3"/>
        <v>714308</v>
      </c>
      <c r="F43" s="15">
        <v>403548.59</v>
      </c>
      <c r="G43" s="15"/>
      <c r="H43" s="14">
        <f t="shared" si="5"/>
        <v>403548.59</v>
      </c>
      <c r="I43" s="114">
        <f aca="true" t="shared" si="6" ref="I43:I52">H43/E43</f>
        <v>0.5649503995475341</v>
      </c>
    </row>
    <row r="44" spans="1:9" s="16" customFormat="1" ht="22.5" customHeight="1">
      <c r="A44" s="48"/>
      <c r="B44" s="18" t="s">
        <v>364</v>
      </c>
      <c r="D44" s="15"/>
      <c r="E44" s="14">
        <f>SUM(D44:D44)</f>
        <v>0</v>
      </c>
      <c r="F44" s="15"/>
      <c r="G44" s="15">
        <v>425.6</v>
      </c>
      <c r="H44" s="14">
        <f t="shared" si="5"/>
        <v>425.6</v>
      </c>
      <c r="I44" s="114"/>
    </row>
    <row r="45" spans="1:9" s="16" customFormat="1" ht="15.75" customHeight="1">
      <c r="A45" s="48"/>
      <c r="B45" s="18" t="s">
        <v>243</v>
      </c>
      <c r="C45" s="15"/>
      <c r="D45" s="15">
        <v>462490</v>
      </c>
      <c r="E45" s="14">
        <f aca="true" t="shared" si="7" ref="E45:E64">SUM(C45:D45)</f>
        <v>462490</v>
      </c>
      <c r="F45" s="15"/>
      <c r="G45" s="15">
        <v>236678.93</v>
      </c>
      <c r="H45" s="14">
        <f t="shared" si="5"/>
        <v>236678.93</v>
      </c>
      <c r="I45" s="114">
        <f t="shared" si="6"/>
        <v>0.5117492918765811</v>
      </c>
    </row>
    <row r="46" spans="1:9" s="16" customFormat="1" ht="21.75" customHeight="1">
      <c r="A46" s="48"/>
      <c r="B46" s="18" t="s">
        <v>445</v>
      </c>
      <c r="C46" s="15">
        <v>94000</v>
      </c>
      <c r="D46" s="15"/>
      <c r="E46" s="14">
        <f t="shared" si="7"/>
        <v>94000</v>
      </c>
      <c r="F46" s="15">
        <v>28921.12</v>
      </c>
      <c r="G46" s="15"/>
      <c r="H46" s="14">
        <f t="shared" si="5"/>
        <v>28921.12</v>
      </c>
      <c r="I46" s="114">
        <f t="shared" si="6"/>
        <v>0.30767148936170213</v>
      </c>
    </row>
    <row r="47" spans="1:9" s="16" customFormat="1" ht="45" customHeight="1">
      <c r="A47" s="48"/>
      <c r="B47" s="18" t="s">
        <v>244</v>
      </c>
      <c r="C47" s="15">
        <f>15000+40000+420000+145000-320000</f>
        <v>300000</v>
      </c>
      <c r="D47" s="15">
        <f>54000+50000+100000</f>
        <v>204000</v>
      </c>
      <c r="E47" s="14">
        <f t="shared" si="7"/>
        <v>504000</v>
      </c>
      <c r="F47" s="15">
        <f>28086.5+31661.75+201811.67</f>
        <v>261559.92</v>
      </c>
      <c r="G47" s="15">
        <f>15667+53370.26</f>
        <v>69037.26000000001</v>
      </c>
      <c r="H47" s="14">
        <f t="shared" si="5"/>
        <v>330597.18000000005</v>
      </c>
      <c r="I47" s="114">
        <f t="shared" si="6"/>
        <v>0.6559467857142858</v>
      </c>
    </row>
    <row r="48" spans="1:9" s="16" customFormat="1" ht="13.5" customHeight="1">
      <c r="A48" s="48"/>
      <c r="B48" s="68" t="s">
        <v>381</v>
      </c>
      <c r="C48" s="15">
        <v>63900</v>
      </c>
      <c r="D48" s="15"/>
      <c r="E48" s="14">
        <f t="shared" si="7"/>
        <v>63900</v>
      </c>
      <c r="F48" s="15">
        <v>232682.59</v>
      </c>
      <c r="G48" s="15"/>
      <c r="H48" s="14">
        <f t="shared" si="5"/>
        <v>232682.59</v>
      </c>
      <c r="I48" s="114">
        <f t="shared" si="6"/>
        <v>3.641355086071987</v>
      </c>
    </row>
    <row r="49" spans="1:9" s="16" customFormat="1" ht="17.25" customHeight="1">
      <c r="A49" s="52"/>
      <c r="B49" s="12" t="s">
        <v>245</v>
      </c>
      <c r="C49" s="15"/>
      <c r="D49" s="15">
        <v>1875000</v>
      </c>
      <c r="E49" s="14">
        <f t="shared" si="7"/>
        <v>1875000</v>
      </c>
      <c r="F49" s="15"/>
      <c r="G49" s="15">
        <v>1899710.37</v>
      </c>
      <c r="H49" s="14">
        <f t="shared" si="5"/>
        <v>1899710.37</v>
      </c>
      <c r="I49" s="114">
        <f t="shared" si="6"/>
        <v>1.0131788640000001</v>
      </c>
    </row>
    <row r="50" spans="1:9" s="16" customFormat="1" ht="21.75" customHeight="1">
      <c r="A50" s="52"/>
      <c r="B50" s="18" t="s">
        <v>246</v>
      </c>
      <c r="C50" s="15">
        <f>61366+925+2095</f>
        <v>64386</v>
      </c>
      <c r="D50" s="15">
        <f>1300</f>
        <v>1300</v>
      </c>
      <c r="E50" s="14">
        <f t="shared" si="7"/>
        <v>65686</v>
      </c>
      <c r="F50" s="15">
        <f>11109.59+2967.97+17.3+0.44+909.75</f>
        <v>15005.05</v>
      </c>
      <c r="G50" s="15">
        <f>27.63+144.85+566.17</f>
        <v>738.65</v>
      </c>
      <c r="H50" s="14">
        <f t="shared" si="5"/>
        <v>15743.699999999999</v>
      </c>
      <c r="I50" s="114">
        <f t="shared" si="6"/>
        <v>0.23968121060804431</v>
      </c>
    </row>
    <row r="51" spans="1:9" s="16" customFormat="1" ht="15.75" customHeight="1">
      <c r="A51" s="48"/>
      <c r="B51" s="18" t="s">
        <v>249</v>
      </c>
      <c r="C51" s="15">
        <v>15000</v>
      </c>
      <c r="D51" s="15"/>
      <c r="E51" s="14">
        <f t="shared" si="7"/>
        <v>15000</v>
      </c>
      <c r="F51" s="15">
        <v>2648.59</v>
      </c>
      <c r="G51" s="15"/>
      <c r="H51" s="14">
        <f t="shared" si="5"/>
        <v>2648.59</v>
      </c>
      <c r="I51" s="114">
        <f t="shared" si="6"/>
        <v>0.17657266666666668</v>
      </c>
    </row>
    <row r="52" spans="1:9" s="17" customFormat="1" ht="27.75" customHeight="1">
      <c r="A52" s="52"/>
      <c r="B52" s="18" t="s">
        <v>250</v>
      </c>
      <c r="C52" s="15"/>
      <c r="D52" s="15">
        <v>2100000</v>
      </c>
      <c r="E52" s="14">
        <f t="shared" si="7"/>
        <v>2100000</v>
      </c>
      <c r="F52" s="15"/>
      <c r="G52" s="15">
        <f>25265.88+195915.31+1229454.42+22024.91</f>
        <v>1472660.5199999998</v>
      </c>
      <c r="H52" s="14">
        <f t="shared" si="5"/>
        <v>1472660.5199999998</v>
      </c>
      <c r="I52" s="114">
        <f t="shared" si="6"/>
        <v>0.7012669142857142</v>
      </c>
    </row>
    <row r="53" spans="1:9" s="16" customFormat="1" ht="33.75">
      <c r="A53" s="52"/>
      <c r="B53" s="33" t="s">
        <v>317</v>
      </c>
      <c r="C53" s="15"/>
      <c r="D53" s="15"/>
      <c r="E53" s="14">
        <f t="shared" si="7"/>
        <v>0</v>
      </c>
      <c r="F53" s="15"/>
      <c r="G53" s="15"/>
      <c r="H53" s="14">
        <f t="shared" si="5"/>
        <v>0</v>
      </c>
      <c r="I53" s="114"/>
    </row>
    <row r="54" spans="1:9" s="1" customFormat="1" ht="10.5" customHeight="1">
      <c r="A54" s="53"/>
      <c r="B54" s="28" t="s">
        <v>251</v>
      </c>
      <c r="C54" s="15">
        <v>3000000</v>
      </c>
      <c r="D54" s="15"/>
      <c r="E54" s="14">
        <f t="shared" si="7"/>
        <v>3000000</v>
      </c>
      <c r="F54" s="15">
        <v>969667.63</v>
      </c>
      <c r="G54" s="15"/>
      <c r="H54" s="14">
        <f t="shared" si="5"/>
        <v>969667.63</v>
      </c>
      <c r="I54" s="114">
        <f aca="true" t="shared" si="8" ref="I54:I61">H54/E54</f>
        <v>0.32322254333333333</v>
      </c>
    </row>
    <row r="55" spans="1:9" s="16" customFormat="1" ht="15" customHeight="1">
      <c r="A55" s="48"/>
      <c r="B55" s="18" t="s">
        <v>253</v>
      </c>
      <c r="C55" s="15">
        <f>SUM(C56:C59)</f>
        <v>135000</v>
      </c>
      <c r="D55" s="15">
        <f>SUM(D56:D59)</f>
        <v>0</v>
      </c>
      <c r="E55" s="14">
        <f t="shared" si="7"/>
        <v>135000</v>
      </c>
      <c r="F55" s="15">
        <f>SUM(F56:F59)</f>
        <v>963125.9100000001</v>
      </c>
      <c r="G55" s="15">
        <f>SUM(G56:G59)</f>
        <v>38418.149999999994</v>
      </c>
      <c r="H55" s="14">
        <f t="shared" si="5"/>
        <v>1001544.0600000002</v>
      </c>
      <c r="I55" s="114">
        <f t="shared" si="8"/>
        <v>7.4188448888888905</v>
      </c>
    </row>
    <row r="56" spans="1:9" s="59" customFormat="1" ht="15" customHeight="1">
      <c r="A56" s="57"/>
      <c r="B56" s="58" t="s">
        <v>323</v>
      </c>
      <c r="C56" s="21"/>
      <c r="D56" s="21"/>
      <c r="E56" s="20">
        <f t="shared" si="7"/>
        <v>0</v>
      </c>
      <c r="F56" s="21">
        <f>17386.93</f>
        <v>17386.93</v>
      </c>
      <c r="G56" s="21"/>
      <c r="H56" s="20">
        <f t="shared" si="5"/>
        <v>17386.93</v>
      </c>
      <c r="I56" s="114"/>
    </row>
    <row r="57" spans="1:9" s="22" customFormat="1" ht="11.25" customHeight="1">
      <c r="A57" s="51"/>
      <c r="B57" s="19" t="s">
        <v>254</v>
      </c>
      <c r="C57" s="21">
        <v>135000</v>
      </c>
      <c r="D57" s="21"/>
      <c r="E57" s="20">
        <f t="shared" si="7"/>
        <v>135000</v>
      </c>
      <c r="F57" s="21">
        <v>143546.12</v>
      </c>
      <c r="G57" s="21"/>
      <c r="H57" s="20">
        <f t="shared" si="5"/>
        <v>143546.12</v>
      </c>
      <c r="I57" s="114">
        <f t="shared" si="8"/>
        <v>1.0633045925925926</v>
      </c>
    </row>
    <row r="58" spans="1:9" s="22" customFormat="1" ht="15.75" customHeight="1">
      <c r="A58" s="49"/>
      <c r="B58" s="19" t="s">
        <v>259</v>
      </c>
      <c r="C58" s="21"/>
      <c r="D58" s="21"/>
      <c r="E58" s="20">
        <f t="shared" si="7"/>
        <v>0</v>
      </c>
      <c r="F58" s="21">
        <f>47714.93+55189.18+0.02+12456.14+148+136.26+2000+1506.29+2000+25879.09+2567.95+82.87+45+253.78+1599.36+129.84+2084.51+14.48+29.06+4.67+33.5+315.66+178.8+6130.1+23341.44+28735.19+28124.96+1025.44+3217.68+1706.59+33622.65+81.9+1280.96+70+112446.35+61074.33+5594.64+15832.52+9981.47+1938.95+1293.32+2869.8+3883.05+0.65</f>
        <v>496621.38000000006</v>
      </c>
      <c r="G58" s="21">
        <f>2563.66+6.02+439.21+1749.43+4986.69+293+4852.37+660.04+2702.89+1594.17+2466+1.46+361.61+31.86+14643.65+551.97+3.81+113</f>
        <v>38020.84</v>
      </c>
      <c r="H58" s="20">
        <f aca="true" t="shared" si="9" ref="H58:H73">SUM(F58:G58)</f>
        <v>534642.2200000001</v>
      </c>
      <c r="I58" s="114"/>
    </row>
    <row r="59" spans="1:9" s="22" customFormat="1" ht="34.5" customHeight="1">
      <c r="A59" s="49"/>
      <c r="B59" s="19" t="s">
        <v>111</v>
      </c>
      <c r="C59" s="21"/>
      <c r="D59" s="21"/>
      <c r="E59" s="20">
        <f t="shared" si="7"/>
        <v>0</v>
      </c>
      <c r="F59" s="21">
        <f>22+1105.42+805.32+1870+769.95+41.91+118529.85+64+40523.47+0.44+315.9+9288.51+2.3+8.92+8630.64+194.73+1322+118995.77+5.39+2052.96+45.6+976.4</f>
        <v>305571.48000000004</v>
      </c>
      <c r="G59" s="21">
        <f>0.17+3.88+393.26</f>
        <v>397.31</v>
      </c>
      <c r="H59" s="20">
        <f t="shared" si="9"/>
        <v>305968.79000000004</v>
      </c>
      <c r="I59" s="114"/>
    </row>
    <row r="60" spans="1:9" s="11" customFormat="1" ht="24.75" customHeight="1">
      <c r="A60" s="24">
        <v>5</v>
      </c>
      <c r="B60" s="26" t="s">
        <v>376</v>
      </c>
      <c r="C60" s="9">
        <f>SUM(C61:C71)</f>
        <v>7884912</v>
      </c>
      <c r="D60" s="9">
        <f>SUM(D61:D71)</f>
        <v>6611537</v>
      </c>
      <c r="E60" s="27">
        <f t="shared" si="7"/>
        <v>14496449</v>
      </c>
      <c r="F60" s="9">
        <f>SUM(F61:F71)</f>
        <v>3511031.98</v>
      </c>
      <c r="G60" s="9">
        <f>SUM(G61:G71)</f>
        <v>489600.69</v>
      </c>
      <c r="H60" s="27">
        <f t="shared" si="9"/>
        <v>4000632.67</v>
      </c>
      <c r="I60" s="114">
        <f t="shared" si="8"/>
        <v>0.2759732862854896</v>
      </c>
    </row>
    <row r="61" spans="1:9" s="31" customFormat="1" ht="12.75" customHeight="1">
      <c r="A61" s="53"/>
      <c r="B61" s="29" t="s">
        <v>260</v>
      </c>
      <c r="C61" s="15">
        <v>52000</v>
      </c>
      <c r="D61" s="15"/>
      <c r="E61" s="14">
        <f t="shared" si="7"/>
        <v>52000</v>
      </c>
      <c r="F61" s="15">
        <v>212</v>
      </c>
      <c r="G61" s="15"/>
      <c r="H61" s="14">
        <f t="shared" si="9"/>
        <v>212</v>
      </c>
      <c r="I61" s="114">
        <f t="shared" si="8"/>
        <v>0.004076923076923077</v>
      </c>
    </row>
    <row r="62" spans="1:9" s="2" customFormat="1" ht="12.75" customHeight="1">
      <c r="A62" s="53"/>
      <c r="B62" s="33" t="s">
        <v>261</v>
      </c>
      <c r="C62" s="15"/>
      <c r="D62" s="15">
        <v>17680</v>
      </c>
      <c r="E62" s="14">
        <f t="shared" si="7"/>
        <v>17680</v>
      </c>
      <c r="F62" s="15"/>
      <c r="G62" s="15">
        <v>16793.26</v>
      </c>
      <c r="H62" s="14">
        <f t="shared" si="9"/>
        <v>16793.26</v>
      </c>
      <c r="I62" s="114">
        <f>H62/E62</f>
        <v>0.9498450226244343</v>
      </c>
    </row>
    <row r="63" spans="1:9" s="6" customFormat="1" ht="22.5" customHeight="1">
      <c r="A63" s="53"/>
      <c r="B63" s="33" t="s">
        <v>262</v>
      </c>
      <c r="C63" s="15"/>
      <c r="D63" s="15">
        <v>394125</v>
      </c>
      <c r="E63" s="14">
        <f t="shared" si="7"/>
        <v>394125</v>
      </c>
      <c r="F63" s="15"/>
      <c r="G63" s="15">
        <v>197062.5</v>
      </c>
      <c r="H63" s="14">
        <f t="shared" si="9"/>
        <v>197062.5</v>
      </c>
      <c r="I63" s="114">
        <f>H63/E63</f>
        <v>0.5</v>
      </c>
    </row>
    <row r="64" spans="1:9" s="6" customFormat="1" ht="12" customHeight="1">
      <c r="A64" s="53"/>
      <c r="B64" s="33" t="s">
        <v>263</v>
      </c>
      <c r="C64" s="15"/>
      <c r="D64" s="15">
        <v>262932</v>
      </c>
      <c r="E64" s="14">
        <f t="shared" si="7"/>
        <v>262932</v>
      </c>
      <c r="F64" s="15"/>
      <c r="G64" s="15">
        <v>185745.06</v>
      </c>
      <c r="H64" s="14">
        <f t="shared" si="9"/>
        <v>185745.06</v>
      </c>
      <c r="I64" s="114">
        <f aca="true" t="shared" si="10" ref="I64:I81">H64/E64</f>
        <v>0.7064376340650814</v>
      </c>
    </row>
    <row r="65" spans="1:9" s="6" customFormat="1" ht="45" customHeight="1">
      <c r="A65" s="53"/>
      <c r="B65" s="33" t="s">
        <v>27</v>
      </c>
      <c r="C65" s="15"/>
      <c r="D65" s="15">
        <v>47000</v>
      </c>
      <c r="E65" s="14">
        <f aca="true" t="shared" si="11" ref="E65:E83">SUM(C65:D65)</f>
        <v>47000</v>
      </c>
      <c r="F65" s="15"/>
      <c r="G65" s="15">
        <v>31734</v>
      </c>
      <c r="H65" s="14">
        <f t="shared" si="9"/>
        <v>31734</v>
      </c>
      <c r="I65" s="114">
        <f t="shared" si="10"/>
        <v>0.6751914893617021</v>
      </c>
    </row>
    <row r="66" spans="1:9" s="6" customFormat="1" ht="11.25" customHeight="1">
      <c r="A66" s="53"/>
      <c r="B66" s="33" t="s">
        <v>264</v>
      </c>
      <c r="C66" s="207"/>
      <c r="D66" s="15">
        <v>39800</v>
      </c>
      <c r="E66" s="14">
        <f t="shared" si="11"/>
        <v>39800</v>
      </c>
      <c r="F66" s="124"/>
      <c r="G66" s="15">
        <v>58265.87</v>
      </c>
      <c r="H66" s="14">
        <f t="shared" si="9"/>
        <v>58265.87</v>
      </c>
      <c r="I66" s="114">
        <f t="shared" si="10"/>
        <v>1.463966582914573</v>
      </c>
    </row>
    <row r="67" spans="1:9" s="16" customFormat="1" ht="36" customHeight="1">
      <c r="A67" s="52"/>
      <c r="B67" s="12" t="s">
        <v>265</v>
      </c>
      <c r="C67" s="15">
        <f>5491028+1072901</f>
        <v>6563929</v>
      </c>
      <c r="D67" s="15"/>
      <c r="E67" s="14">
        <f t="shared" si="11"/>
        <v>6563929</v>
      </c>
      <c r="F67" s="15">
        <v>2868162.56</v>
      </c>
      <c r="G67" s="15"/>
      <c r="H67" s="14">
        <f t="shared" si="9"/>
        <v>2868162.56</v>
      </c>
      <c r="I67" s="114">
        <f t="shared" si="10"/>
        <v>0.43695819378911627</v>
      </c>
    </row>
    <row r="68" spans="1:9" s="16" customFormat="1" ht="36.75" customHeight="1">
      <c r="A68" s="52"/>
      <c r="B68" s="12" t="s">
        <v>109</v>
      </c>
      <c r="C68" s="15"/>
      <c r="D68" s="15">
        <v>5850000</v>
      </c>
      <c r="E68" s="14">
        <f t="shared" si="11"/>
        <v>5850000</v>
      </c>
      <c r="F68" s="15"/>
      <c r="G68" s="15"/>
      <c r="H68" s="14">
        <f t="shared" si="9"/>
        <v>0</v>
      </c>
      <c r="I68" s="114">
        <f t="shared" si="10"/>
        <v>0</v>
      </c>
    </row>
    <row r="69" spans="1:9" s="16" customFormat="1" ht="35.25" customHeight="1">
      <c r="A69" s="52"/>
      <c r="B69" s="12" t="s">
        <v>160</v>
      </c>
      <c r="C69" s="15">
        <v>333000</v>
      </c>
      <c r="D69" s="15"/>
      <c r="E69" s="14">
        <f t="shared" si="11"/>
        <v>333000</v>
      </c>
      <c r="F69" s="15">
        <v>333000</v>
      </c>
      <c r="G69" s="15"/>
      <c r="H69" s="14">
        <f t="shared" si="9"/>
        <v>333000</v>
      </c>
      <c r="I69" s="114">
        <f t="shared" si="10"/>
        <v>1</v>
      </c>
    </row>
    <row r="70" spans="1:9" s="2" customFormat="1" ht="33" customHeight="1">
      <c r="A70" s="53"/>
      <c r="B70" s="28" t="s">
        <v>271</v>
      </c>
      <c r="C70" s="15">
        <v>309657</v>
      </c>
      <c r="D70" s="15"/>
      <c r="E70" s="14">
        <f t="shared" si="11"/>
        <v>309657</v>
      </c>
      <c r="F70" s="15">
        <v>309657.42</v>
      </c>
      <c r="G70" s="15"/>
      <c r="H70" s="14">
        <f t="shared" si="9"/>
        <v>309657.42</v>
      </c>
      <c r="I70" s="114">
        <f t="shared" si="10"/>
        <v>1.0000013563394337</v>
      </c>
    </row>
    <row r="71" spans="1:9" s="16" customFormat="1" ht="24.75" customHeight="1">
      <c r="A71" s="52"/>
      <c r="B71" s="12" t="s">
        <v>393</v>
      </c>
      <c r="C71" s="15">
        <f>976326-350000</f>
        <v>626326</v>
      </c>
      <c r="D71" s="15"/>
      <c r="E71" s="14">
        <f t="shared" si="11"/>
        <v>626326</v>
      </c>
      <c r="F71" s="15"/>
      <c r="G71" s="15"/>
      <c r="H71" s="14">
        <f t="shared" si="9"/>
        <v>0</v>
      </c>
      <c r="I71" s="114">
        <f t="shared" si="10"/>
        <v>0</v>
      </c>
    </row>
    <row r="72" spans="1:9" s="11" customFormat="1" ht="28.5" customHeight="1">
      <c r="A72" s="24">
        <v>6</v>
      </c>
      <c r="B72" s="26" t="s">
        <v>266</v>
      </c>
      <c r="C72" s="9">
        <f>SUM(C73:C84)</f>
        <v>817449</v>
      </c>
      <c r="D72" s="9">
        <f>SUM(D73:D84)</f>
        <v>426796</v>
      </c>
      <c r="E72" s="27">
        <f t="shared" si="11"/>
        <v>1244245</v>
      </c>
      <c r="F72" s="9">
        <f>SUM(F73:F84)</f>
        <v>2755417.37</v>
      </c>
      <c r="G72" s="9">
        <f>SUM(G73:G84)</f>
        <v>223183</v>
      </c>
      <c r="H72" s="27">
        <f t="shared" si="9"/>
        <v>2978600.37</v>
      </c>
      <c r="I72" s="114">
        <f t="shared" si="10"/>
        <v>2.393901819979184</v>
      </c>
    </row>
    <row r="73" spans="1:9" s="6" customFormat="1" ht="33.75" customHeight="1">
      <c r="A73" s="53"/>
      <c r="B73" s="33" t="s">
        <v>316</v>
      </c>
      <c r="C73" s="15"/>
      <c r="D73" s="15">
        <v>351500</v>
      </c>
      <c r="E73" s="14">
        <f t="shared" si="11"/>
        <v>351500</v>
      </c>
      <c r="F73" s="15"/>
      <c r="G73" s="15">
        <v>176000</v>
      </c>
      <c r="H73" s="14">
        <f t="shared" si="9"/>
        <v>176000</v>
      </c>
      <c r="I73" s="114">
        <f t="shared" si="10"/>
        <v>0.5007112375533428</v>
      </c>
    </row>
    <row r="74" spans="1:9" s="6" customFormat="1" ht="45">
      <c r="A74" s="53"/>
      <c r="B74" s="33" t="s">
        <v>448</v>
      </c>
      <c r="C74" s="30">
        <f>350000</f>
        <v>350000</v>
      </c>
      <c r="D74" s="15"/>
      <c r="E74" s="14">
        <f t="shared" si="11"/>
        <v>350000</v>
      </c>
      <c r="F74" s="15"/>
      <c r="G74" s="15"/>
      <c r="H74" s="14">
        <f aca="true" t="shared" si="12" ref="H74:H88">SUM(F74:G74)</f>
        <v>0</v>
      </c>
      <c r="I74" s="114">
        <f t="shared" si="10"/>
        <v>0</v>
      </c>
    </row>
    <row r="75" spans="1:9" s="6" customFormat="1" ht="45">
      <c r="A75" s="53"/>
      <c r="B75" s="33" t="s">
        <v>449</v>
      </c>
      <c r="C75" s="15">
        <v>37566</v>
      </c>
      <c r="D75" s="15"/>
      <c r="E75" s="14">
        <f t="shared" si="11"/>
        <v>37566</v>
      </c>
      <c r="F75" s="15">
        <v>37566</v>
      </c>
      <c r="G75" s="15"/>
      <c r="H75" s="14">
        <f t="shared" si="12"/>
        <v>37566</v>
      </c>
      <c r="I75" s="114">
        <f t="shared" si="10"/>
        <v>1</v>
      </c>
    </row>
    <row r="76" spans="1:9" s="6" customFormat="1" ht="22.5" customHeight="1">
      <c r="A76" s="53"/>
      <c r="B76" s="12" t="s">
        <v>411</v>
      </c>
      <c r="C76" s="15">
        <v>21159</v>
      </c>
      <c r="D76" s="15"/>
      <c r="E76" s="14">
        <f t="shared" si="11"/>
        <v>21159</v>
      </c>
      <c r="F76" s="15"/>
      <c r="G76" s="15"/>
      <c r="H76" s="14">
        <f t="shared" si="12"/>
        <v>0</v>
      </c>
      <c r="I76" s="114">
        <f t="shared" si="10"/>
        <v>0</v>
      </c>
    </row>
    <row r="77" spans="1:9" s="6" customFormat="1" ht="22.5" customHeight="1">
      <c r="A77" s="53"/>
      <c r="B77" s="12" t="s">
        <v>440</v>
      </c>
      <c r="C77" s="15">
        <v>115673</v>
      </c>
      <c r="D77" s="15"/>
      <c r="E77" s="14">
        <f t="shared" si="11"/>
        <v>115673</v>
      </c>
      <c r="F77" s="15">
        <f>5244.84</f>
        <v>5244.84</v>
      </c>
      <c r="G77" s="15"/>
      <c r="H77" s="14">
        <f t="shared" si="12"/>
        <v>5244.84</v>
      </c>
      <c r="I77" s="114">
        <f t="shared" si="10"/>
        <v>0.045341955339621175</v>
      </c>
    </row>
    <row r="78" spans="1:9" s="6" customFormat="1" ht="33.75" customHeight="1">
      <c r="A78" s="53"/>
      <c r="B78" s="12" t="s">
        <v>338</v>
      </c>
      <c r="C78" s="30">
        <v>55194</v>
      </c>
      <c r="D78" s="15"/>
      <c r="E78" s="14">
        <f t="shared" si="11"/>
        <v>55194</v>
      </c>
      <c r="F78" s="15">
        <v>55193.63</v>
      </c>
      <c r="G78" s="15"/>
      <c r="H78" s="14">
        <f t="shared" si="12"/>
        <v>55193.63</v>
      </c>
      <c r="I78" s="114">
        <f t="shared" si="10"/>
        <v>0.9999932963727941</v>
      </c>
    </row>
    <row r="79" spans="1:9" s="6" customFormat="1" ht="21.75" customHeight="1">
      <c r="A79" s="53"/>
      <c r="B79" s="12" t="s">
        <v>441</v>
      </c>
      <c r="C79" s="30"/>
      <c r="D79" s="15"/>
      <c r="E79" s="14">
        <f t="shared" si="11"/>
        <v>0</v>
      </c>
      <c r="F79" s="15">
        <v>339758.5</v>
      </c>
      <c r="G79" s="15"/>
      <c r="H79" s="14">
        <f t="shared" si="12"/>
        <v>339758.5</v>
      </c>
      <c r="I79" s="114"/>
    </row>
    <row r="80" spans="1:9" s="6" customFormat="1" ht="30.75" customHeight="1">
      <c r="A80" s="53"/>
      <c r="B80" s="33" t="s">
        <v>98</v>
      </c>
      <c r="C80" s="15">
        <v>72295</v>
      </c>
      <c r="D80" s="15"/>
      <c r="E80" s="14">
        <f t="shared" si="11"/>
        <v>72295</v>
      </c>
      <c r="F80" s="15">
        <v>29666.69</v>
      </c>
      <c r="G80" s="15"/>
      <c r="H80" s="14">
        <f t="shared" si="12"/>
        <v>29666.69</v>
      </c>
      <c r="I80" s="114">
        <f t="shared" si="10"/>
        <v>0.41035604122000136</v>
      </c>
    </row>
    <row r="81" spans="1:9" s="6" customFormat="1" ht="45.75" customHeight="1">
      <c r="A81" s="53"/>
      <c r="B81" s="12" t="s">
        <v>385</v>
      </c>
      <c r="C81" s="15">
        <v>6858</v>
      </c>
      <c r="D81" s="15"/>
      <c r="E81" s="14">
        <f t="shared" si="11"/>
        <v>6858</v>
      </c>
      <c r="F81" s="15">
        <v>6858.21</v>
      </c>
      <c r="G81" s="15"/>
      <c r="H81" s="14">
        <f t="shared" si="12"/>
        <v>6858.21</v>
      </c>
      <c r="I81" s="114">
        <f t="shared" si="10"/>
        <v>1.0000306211723535</v>
      </c>
    </row>
    <row r="82" spans="1:9" s="6" customFormat="1" ht="24" customHeight="1">
      <c r="A82" s="53"/>
      <c r="B82" s="12" t="s">
        <v>446</v>
      </c>
      <c r="C82" s="15"/>
      <c r="D82" s="15"/>
      <c r="E82" s="14">
        <f t="shared" si="11"/>
        <v>0</v>
      </c>
      <c r="F82" s="15">
        <v>2023782.5</v>
      </c>
      <c r="G82" s="15"/>
      <c r="H82" s="14">
        <f t="shared" si="12"/>
        <v>2023782.5</v>
      </c>
      <c r="I82" s="114"/>
    </row>
    <row r="83" spans="1:9" s="6" customFormat="1" ht="30.75" customHeight="1">
      <c r="A83" s="53"/>
      <c r="B83" s="33" t="s">
        <v>447</v>
      </c>
      <c r="C83" s="30"/>
      <c r="D83" s="30"/>
      <c r="E83" s="14">
        <f t="shared" si="11"/>
        <v>0</v>
      </c>
      <c r="F83" s="30">
        <v>158000</v>
      </c>
      <c r="G83" s="30"/>
      <c r="H83" s="14">
        <f t="shared" si="12"/>
        <v>158000</v>
      </c>
      <c r="I83" s="114"/>
    </row>
    <row r="84" spans="1:9" s="6" customFormat="1" ht="33.75" customHeight="1">
      <c r="A84" s="53"/>
      <c r="B84" s="33" t="s">
        <v>365</v>
      </c>
      <c r="C84" s="15">
        <v>158704</v>
      </c>
      <c r="D84" s="15">
        <v>75296</v>
      </c>
      <c r="E84" s="14">
        <f aca="true" t="shared" si="13" ref="E84:E92">SUM(C84:D84)</f>
        <v>234000</v>
      </c>
      <c r="F84" s="15">
        <f>46743+52604</f>
        <v>99347</v>
      </c>
      <c r="G84" s="15">
        <v>47183</v>
      </c>
      <c r="H84" s="14">
        <f t="shared" si="12"/>
        <v>146530</v>
      </c>
      <c r="I84" s="114">
        <f aca="true" t="shared" si="14" ref="I84:I92">H84/E84</f>
        <v>0.6261965811965812</v>
      </c>
    </row>
    <row r="85" spans="1:9" s="11" customFormat="1" ht="23.25" customHeight="1">
      <c r="A85" s="24">
        <v>7</v>
      </c>
      <c r="B85" s="26" t="s">
        <v>269</v>
      </c>
      <c r="C85" s="27">
        <f>SUM(C86:C99)</f>
        <v>7142564</v>
      </c>
      <c r="D85" s="27">
        <f>SUM(D86:D99)</f>
        <v>21131791</v>
      </c>
      <c r="E85" s="27">
        <f t="shared" si="13"/>
        <v>28274355</v>
      </c>
      <c r="F85" s="27">
        <f>SUM(F86:F99)</f>
        <v>5384097.2</v>
      </c>
      <c r="G85" s="27">
        <f>SUM(G86:G99)</f>
        <v>3257737.3600000003</v>
      </c>
      <c r="H85" s="27">
        <f t="shared" si="12"/>
        <v>8641834.56</v>
      </c>
      <c r="I85" s="114">
        <f t="shared" si="14"/>
        <v>0.30564214674393103</v>
      </c>
    </row>
    <row r="86" spans="1:9" s="2" customFormat="1" ht="11.25" customHeight="1">
      <c r="A86" s="53"/>
      <c r="B86" s="28" t="s">
        <v>270</v>
      </c>
      <c r="C86" s="15"/>
      <c r="D86" s="15">
        <v>2740426</v>
      </c>
      <c r="E86" s="14">
        <f t="shared" si="13"/>
        <v>2740426</v>
      </c>
      <c r="F86" s="15"/>
      <c r="G86" s="15">
        <v>815015.58</v>
      </c>
      <c r="H86" s="14">
        <f t="shared" si="12"/>
        <v>815015.58</v>
      </c>
      <c r="I86" s="114">
        <f t="shared" si="14"/>
        <v>0.29740470277248865</v>
      </c>
    </row>
    <row r="87" spans="1:9" s="2" customFormat="1" ht="13.5" customHeight="1">
      <c r="A87" s="53"/>
      <c r="B87" s="28" t="s">
        <v>122</v>
      </c>
      <c r="C87" s="15"/>
      <c r="D87" s="15">
        <v>8493045</v>
      </c>
      <c r="E87" s="14">
        <f t="shared" si="13"/>
        <v>8493045</v>
      </c>
      <c r="F87" s="15"/>
      <c r="G87" s="15">
        <v>2328863.49</v>
      </c>
      <c r="H87" s="14">
        <f t="shared" si="12"/>
        <v>2328863.49</v>
      </c>
      <c r="I87" s="114">
        <f t="shared" si="14"/>
        <v>0.27420830691465786</v>
      </c>
    </row>
    <row r="88" spans="1:9" s="2" customFormat="1" ht="13.5" customHeight="1">
      <c r="A88" s="53"/>
      <c r="B88" s="28" t="s">
        <v>355</v>
      </c>
      <c r="C88" s="15"/>
      <c r="D88" s="15">
        <v>9749923</v>
      </c>
      <c r="E88" s="14">
        <f t="shared" si="13"/>
        <v>9749923</v>
      </c>
      <c r="F88" s="15"/>
      <c r="G88" s="15"/>
      <c r="H88" s="14">
        <f t="shared" si="12"/>
        <v>0</v>
      </c>
      <c r="I88" s="114">
        <f t="shared" si="14"/>
        <v>0</v>
      </c>
    </row>
    <row r="89" spans="1:9" s="2" customFormat="1" ht="35.25" customHeight="1">
      <c r="A89" s="53"/>
      <c r="B89" s="12" t="s">
        <v>337</v>
      </c>
      <c r="C89" s="15">
        <v>117557</v>
      </c>
      <c r="D89" s="15"/>
      <c r="E89" s="14">
        <f t="shared" si="13"/>
        <v>117557</v>
      </c>
      <c r="F89" s="15">
        <v>117556.37</v>
      </c>
      <c r="G89" s="15"/>
      <c r="H89" s="14">
        <f>SUM(F89:G89)</f>
        <v>117556.37</v>
      </c>
      <c r="I89" s="114">
        <f t="shared" si="14"/>
        <v>0.999994640897607</v>
      </c>
    </row>
    <row r="90" spans="1:9" s="2" customFormat="1" ht="21.75" customHeight="1">
      <c r="A90" s="53"/>
      <c r="B90" s="12" t="s">
        <v>413</v>
      </c>
      <c r="C90" s="15">
        <v>898702</v>
      </c>
      <c r="D90" s="15"/>
      <c r="E90" s="14">
        <f t="shared" si="13"/>
        <v>898702</v>
      </c>
      <c r="F90" s="15"/>
      <c r="G90" s="15"/>
      <c r="H90" s="14">
        <f>SUM(F90:G90)</f>
        <v>0</v>
      </c>
      <c r="I90" s="114">
        <f t="shared" si="14"/>
        <v>0</v>
      </c>
    </row>
    <row r="91" spans="1:9" s="16" customFormat="1" ht="22.5" customHeight="1">
      <c r="A91" s="52"/>
      <c r="B91" s="12" t="s">
        <v>440</v>
      </c>
      <c r="C91" s="15">
        <v>1871823</v>
      </c>
      <c r="D91" s="13"/>
      <c r="E91" s="14">
        <f t="shared" si="13"/>
        <v>1871823</v>
      </c>
      <c r="F91" s="13">
        <v>222735.56</v>
      </c>
      <c r="G91" s="13"/>
      <c r="H91" s="14">
        <f>SUM(F91:G91)</f>
        <v>222735.56</v>
      </c>
      <c r="I91" s="114">
        <f t="shared" si="14"/>
        <v>0.11899392196804932</v>
      </c>
    </row>
    <row r="92" spans="1:9" s="16" customFormat="1" ht="14.25" customHeight="1">
      <c r="A92" s="52"/>
      <c r="B92" s="12" t="s">
        <v>87</v>
      </c>
      <c r="C92" s="13">
        <f>11414+57</f>
        <v>11471</v>
      </c>
      <c r="D92" s="13">
        <f>11423+11276</f>
        <v>22699</v>
      </c>
      <c r="E92" s="14">
        <f t="shared" si="13"/>
        <v>34170</v>
      </c>
      <c r="F92" s="15">
        <f>1366.91+844.82+501.7+1421.98+941.15</f>
        <v>5076.5599999999995</v>
      </c>
      <c r="G92" s="13">
        <f>273.58+623.44+115.25</f>
        <v>1012.27</v>
      </c>
      <c r="H92" s="14">
        <f aca="true" t="shared" si="15" ref="H92:H109">SUM(F92:G92)</f>
        <v>6088.83</v>
      </c>
      <c r="I92" s="114">
        <f t="shared" si="14"/>
        <v>0.17819227392449516</v>
      </c>
    </row>
    <row r="93" spans="1:9" s="2" customFormat="1" ht="24.75" customHeight="1">
      <c r="A93" s="53"/>
      <c r="B93" s="28" t="s">
        <v>352</v>
      </c>
      <c r="C93" s="15">
        <v>39456</v>
      </c>
      <c r="D93" s="208"/>
      <c r="E93" s="14">
        <f aca="true" t="shared" si="16" ref="E93:E112">SUM(C93:D93)</f>
        <v>39456</v>
      </c>
      <c r="F93" s="15">
        <v>48747.32</v>
      </c>
      <c r="G93" s="30"/>
      <c r="H93" s="14">
        <f t="shared" si="15"/>
        <v>48747.32</v>
      </c>
      <c r="I93" s="114">
        <f>H93/E93</f>
        <v>1.235485604217356</v>
      </c>
    </row>
    <row r="94" spans="1:9" s="2" customFormat="1" ht="13.5" customHeight="1">
      <c r="A94" s="53"/>
      <c r="B94" s="33" t="s">
        <v>358</v>
      </c>
      <c r="C94" s="15"/>
      <c r="D94" s="208"/>
      <c r="E94" s="14">
        <f t="shared" si="16"/>
        <v>0</v>
      </c>
      <c r="F94" s="15">
        <v>226854.61</v>
      </c>
      <c r="G94" s="30"/>
      <c r="H94" s="14">
        <f t="shared" si="15"/>
        <v>226854.61</v>
      </c>
      <c r="I94" s="114"/>
    </row>
    <row r="95" spans="1:9" s="2" customFormat="1" ht="45.75" customHeight="1">
      <c r="A95" s="53"/>
      <c r="B95" s="33" t="s">
        <v>362</v>
      </c>
      <c r="C95" s="15">
        <v>3793884</v>
      </c>
      <c r="D95" s="208"/>
      <c r="E95" s="14">
        <f t="shared" si="16"/>
        <v>3793884</v>
      </c>
      <c r="F95" s="15">
        <v>3575740.04</v>
      </c>
      <c r="G95" s="30"/>
      <c r="H95" s="14">
        <f t="shared" si="15"/>
        <v>3575740.04</v>
      </c>
      <c r="I95" s="114">
        <f>H95/E95</f>
        <v>0.9425011518538785</v>
      </c>
    </row>
    <row r="96" spans="1:9" s="2" customFormat="1" ht="26.25" customHeight="1">
      <c r="A96" s="53"/>
      <c r="B96" s="33" t="s">
        <v>162</v>
      </c>
      <c r="C96" s="15"/>
      <c r="D96" s="15">
        <v>55386</v>
      </c>
      <c r="E96" s="14">
        <f t="shared" si="16"/>
        <v>55386</v>
      </c>
      <c r="F96" s="15"/>
      <c r="G96" s="30">
        <v>55386</v>
      </c>
      <c r="H96" s="14">
        <f t="shared" si="15"/>
        <v>55386</v>
      </c>
      <c r="I96" s="114">
        <f>H96/E96</f>
        <v>1</v>
      </c>
    </row>
    <row r="97" spans="1:9" s="2" customFormat="1" ht="33" customHeight="1">
      <c r="A97" s="53"/>
      <c r="B97" s="33" t="s">
        <v>157</v>
      </c>
      <c r="C97" s="15"/>
      <c r="D97" s="15">
        <v>70312</v>
      </c>
      <c r="E97" s="14">
        <f t="shared" si="16"/>
        <v>70312</v>
      </c>
      <c r="F97" s="15"/>
      <c r="G97" s="30">
        <v>57460.02</v>
      </c>
      <c r="H97" s="14">
        <f t="shared" si="15"/>
        <v>57460.02</v>
      </c>
      <c r="I97" s="114">
        <f>H97/E97</f>
        <v>0.8172149846398907</v>
      </c>
    </row>
    <row r="98" spans="1:9" s="2" customFormat="1" ht="21.75" customHeight="1">
      <c r="A98" s="53"/>
      <c r="B98" s="12" t="s">
        <v>441</v>
      </c>
      <c r="C98" s="15"/>
      <c r="D98" s="15"/>
      <c r="E98" s="14">
        <f t="shared" si="16"/>
        <v>0</v>
      </c>
      <c r="F98" s="15">
        <v>1019275.5</v>
      </c>
      <c r="G98" s="30"/>
      <c r="H98" s="14">
        <f t="shared" si="15"/>
        <v>1019275.5</v>
      </c>
      <c r="I98" s="114"/>
    </row>
    <row r="99" spans="1:9" s="2" customFormat="1" ht="33.75" customHeight="1">
      <c r="A99" s="53"/>
      <c r="B99" s="33" t="s">
        <v>98</v>
      </c>
      <c r="C99" s="15">
        <f>481966-72295</f>
        <v>409671</v>
      </c>
      <c r="D99" s="15"/>
      <c r="E99" s="14">
        <f t="shared" si="16"/>
        <v>409671</v>
      </c>
      <c r="F99" s="15">
        <v>168111.24</v>
      </c>
      <c r="G99" s="30"/>
      <c r="H99" s="14">
        <f t="shared" si="15"/>
        <v>168111.24</v>
      </c>
      <c r="I99" s="114">
        <f>H99/E99</f>
        <v>0.4103567008648403</v>
      </c>
    </row>
    <row r="100" spans="1:9" s="11" customFormat="1" ht="22.5" customHeight="1">
      <c r="A100" s="24">
        <v>8</v>
      </c>
      <c r="B100" s="26" t="s">
        <v>274</v>
      </c>
      <c r="C100" s="27">
        <f>SUM(C101:C102)</f>
        <v>265956727</v>
      </c>
      <c r="D100" s="27">
        <f>SUM(D101:D102)</f>
        <v>72667578</v>
      </c>
      <c r="E100" s="27">
        <f t="shared" si="16"/>
        <v>338624305</v>
      </c>
      <c r="F100" s="27">
        <f>SUM(F101:F102)</f>
        <v>106555171.44</v>
      </c>
      <c r="G100" s="27">
        <f>SUM(G101:G102)</f>
        <v>29106551.82</v>
      </c>
      <c r="H100" s="27">
        <f t="shared" si="15"/>
        <v>135661723.26</v>
      </c>
      <c r="I100" s="114">
        <f aca="true" t="shared" si="17" ref="I100:I123">H100/E100</f>
        <v>0.4006260662831039</v>
      </c>
    </row>
    <row r="101" spans="1:9" s="2" customFormat="1" ht="15" customHeight="1">
      <c r="A101" s="53"/>
      <c r="B101" s="28" t="s">
        <v>275</v>
      </c>
      <c r="C101" s="15">
        <v>242056727</v>
      </c>
      <c r="D101" s="15">
        <v>67567578</v>
      </c>
      <c r="E101" s="14">
        <f t="shared" si="16"/>
        <v>309624305</v>
      </c>
      <c r="F101" s="15">
        <v>97661408</v>
      </c>
      <c r="G101" s="15">
        <v>27261143</v>
      </c>
      <c r="H101" s="14">
        <f t="shared" si="15"/>
        <v>124922551</v>
      </c>
      <c r="I101" s="114">
        <f t="shared" si="17"/>
        <v>0.4034649379350242</v>
      </c>
    </row>
    <row r="102" spans="1:9" s="2" customFormat="1" ht="15" customHeight="1">
      <c r="A102" s="53"/>
      <c r="B102" s="28" t="s">
        <v>156</v>
      </c>
      <c r="C102" s="15">
        <v>23900000</v>
      </c>
      <c r="D102" s="15">
        <v>5100000</v>
      </c>
      <c r="E102" s="14">
        <f t="shared" si="16"/>
        <v>29000000</v>
      </c>
      <c r="F102" s="15">
        <v>8893763.44</v>
      </c>
      <c r="G102" s="15">
        <v>1845408.82</v>
      </c>
      <c r="H102" s="14">
        <f t="shared" si="15"/>
        <v>10739172.26</v>
      </c>
      <c r="I102" s="114">
        <f t="shared" si="17"/>
        <v>0.3703162848275862</v>
      </c>
    </row>
    <row r="103" spans="1:9" s="8" customFormat="1" ht="12" customHeight="1">
      <c r="A103" s="218" t="s">
        <v>276</v>
      </c>
      <c r="B103" s="218"/>
      <c r="C103" s="38">
        <f>SUM(C104:C105)</f>
        <v>89623482</v>
      </c>
      <c r="D103" s="38">
        <f>SUM(D104:D105)</f>
        <v>91948462</v>
      </c>
      <c r="E103" s="38">
        <f t="shared" si="16"/>
        <v>181571944</v>
      </c>
      <c r="F103" s="38">
        <f>SUM(F104:F105)</f>
        <v>55348162</v>
      </c>
      <c r="G103" s="38">
        <f>SUM(G104:G105)</f>
        <v>55785668</v>
      </c>
      <c r="H103" s="38">
        <f t="shared" si="15"/>
        <v>111133830</v>
      </c>
      <c r="I103" s="114">
        <f t="shared" si="17"/>
        <v>0.6120649895118158</v>
      </c>
    </row>
    <row r="104" spans="1:9" s="1" customFormat="1" ht="14.25" customHeight="1">
      <c r="A104" s="53">
        <v>1</v>
      </c>
      <c r="B104" s="28" t="s">
        <v>277</v>
      </c>
      <c r="C104" s="15">
        <f>80587643+9035839</f>
        <v>89623482</v>
      </c>
      <c r="D104" s="15">
        <f>95772194-11836037</f>
        <v>83936157</v>
      </c>
      <c r="E104" s="14">
        <f t="shared" si="16"/>
        <v>173559639</v>
      </c>
      <c r="F104" s="15">
        <v>55348162</v>
      </c>
      <c r="G104" s="15">
        <v>51779516</v>
      </c>
      <c r="H104" s="14">
        <f t="shared" si="15"/>
        <v>107127678</v>
      </c>
      <c r="I104" s="114">
        <f t="shared" si="17"/>
        <v>0.6172384237328358</v>
      </c>
    </row>
    <row r="105" spans="1:9" s="1" customFormat="1" ht="11.25" customHeight="1">
      <c r="A105" s="53">
        <v>3</v>
      </c>
      <c r="B105" s="32" t="s">
        <v>278</v>
      </c>
      <c r="C105" s="15"/>
      <c r="D105" s="15">
        <f>8015783-3478</f>
        <v>8012305</v>
      </c>
      <c r="E105" s="14">
        <f t="shared" si="16"/>
        <v>8012305</v>
      </c>
      <c r="F105" s="15"/>
      <c r="G105" s="15">
        <v>4006152</v>
      </c>
      <c r="H105" s="14">
        <f t="shared" si="15"/>
        <v>4006152</v>
      </c>
      <c r="I105" s="114">
        <f t="shared" si="17"/>
        <v>0.49999993759598516</v>
      </c>
    </row>
    <row r="106" spans="1:9" s="39" customFormat="1" ht="27.75" customHeight="1">
      <c r="A106" s="215" t="s">
        <v>279</v>
      </c>
      <c r="B106" s="215"/>
      <c r="C106" s="37">
        <f>C107+C131+C133</f>
        <v>51720280</v>
      </c>
      <c r="D106" s="37">
        <f>D107+D131+D133</f>
        <v>16684055</v>
      </c>
      <c r="E106" s="38">
        <f t="shared" si="16"/>
        <v>68404335</v>
      </c>
      <c r="F106" s="37">
        <f>F107+F131+F133</f>
        <v>23250358</v>
      </c>
      <c r="G106" s="37">
        <f>G107+G131+G133</f>
        <v>10278826</v>
      </c>
      <c r="H106" s="38">
        <f t="shared" si="15"/>
        <v>33529184</v>
      </c>
      <c r="I106" s="114">
        <f t="shared" si="17"/>
        <v>0.49016168346640604</v>
      </c>
    </row>
    <row r="107" spans="1:9" s="41" customFormat="1" ht="11.25" customHeight="1">
      <c r="A107" s="55">
        <v>1</v>
      </c>
      <c r="B107" s="40" t="s">
        <v>280</v>
      </c>
      <c r="C107" s="9">
        <f>SUM(C108:C111,C120:C130)</f>
        <v>48566448</v>
      </c>
      <c r="D107" s="9">
        <f>SUM(D108:D111,D120:D130)</f>
        <v>15656210</v>
      </c>
      <c r="E107" s="27">
        <f t="shared" si="16"/>
        <v>64222658</v>
      </c>
      <c r="F107" s="9">
        <f>SUM(F108:F111,F120:F130)</f>
        <v>21454416</v>
      </c>
      <c r="G107" s="9">
        <f>SUM(G108:G111,G120:G130)</f>
        <v>9705676</v>
      </c>
      <c r="H107" s="27">
        <f t="shared" si="15"/>
        <v>31160092</v>
      </c>
      <c r="I107" s="114">
        <f t="shared" si="17"/>
        <v>0.48518845171434666</v>
      </c>
    </row>
    <row r="108" spans="1:9" s="1" customFormat="1" ht="22.5" customHeight="1">
      <c r="A108" s="53"/>
      <c r="B108" s="42" t="s">
        <v>400</v>
      </c>
      <c r="C108" s="15"/>
      <c r="D108" s="15">
        <v>773000</v>
      </c>
      <c r="E108" s="14">
        <f t="shared" si="16"/>
        <v>773000</v>
      </c>
      <c r="F108" s="15"/>
      <c r="G108" s="15">
        <v>389000</v>
      </c>
      <c r="H108" s="14">
        <f t="shared" si="15"/>
        <v>389000</v>
      </c>
      <c r="I108" s="114">
        <f t="shared" si="17"/>
        <v>0.5032341526520052</v>
      </c>
    </row>
    <row r="109" spans="1:9" s="2" customFormat="1" ht="20.25" customHeight="1">
      <c r="A109" s="53"/>
      <c r="B109" s="28" t="s">
        <v>382</v>
      </c>
      <c r="C109" s="15"/>
      <c r="D109" s="15">
        <f>11397000+13300</f>
        <v>11410300</v>
      </c>
      <c r="E109" s="14">
        <f t="shared" si="16"/>
        <v>11410300</v>
      </c>
      <c r="F109" s="15"/>
      <c r="G109" s="15">
        <v>7256300</v>
      </c>
      <c r="H109" s="14">
        <f t="shared" si="15"/>
        <v>7256300</v>
      </c>
      <c r="I109" s="114">
        <f t="shared" si="17"/>
        <v>0.6359429638133967</v>
      </c>
    </row>
    <row r="110" spans="1:9" s="2" customFormat="1" ht="21.75" customHeight="1">
      <c r="A110" s="53"/>
      <c r="B110" s="28" t="s">
        <v>383</v>
      </c>
      <c r="C110" s="15"/>
      <c r="D110" s="15">
        <v>300000</v>
      </c>
      <c r="E110" s="14">
        <f t="shared" si="16"/>
        <v>300000</v>
      </c>
      <c r="F110" s="15"/>
      <c r="G110" s="15">
        <v>300000</v>
      </c>
      <c r="H110" s="14">
        <f aca="true" t="shared" si="18" ref="H110:H132">SUM(F110:G110)</f>
        <v>300000</v>
      </c>
      <c r="I110" s="114">
        <f t="shared" si="17"/>
        <v>1</v>
      </c>
    </row>
    <row r="111" spans="1:9" s="2" customFormat="1" ht="12" customHeight="1">
      <c r="A111" s="53"/>
      <c r="B111" s="28" t="s">
        <v>281</v>
      </c>
      <c r="C111" s="15">
        <f>SUM(C112:C119)</f>
        <v>46883960</v>
      </c>
      <c r="D111" s="15">
        <f>SUM(D112:D119)</f>
        <v>697500</v>
      </c>
      <c r="E111" s="14">
        <f t="shared" si="16"/>
        <v>47581460</v>
      </c>
      <c r="F111" s="15">
        <f>SUM(F112:F119)</f>
        <v>20486883</v>
      </c>
      <c r="G111" s="15">
        <f>SUM(G112:G119)</f>
        <v>341600</v>
      </c>
      <c r="H111" s="14">
        <f t="shared" si="18"/>
        <v>20828483</v>
      </c>
      <c r="I111" s="114">
        <f t="shared" si="17"/>
        <v>0.43774367158973265</v>
      </c>
    </row>
    <row r="112" spans="1:9" s="6" customFormat="1" ht="9" customHeight="1">
      <c r="A112" s="50"/>
      <c r="B112" s="44" t="s">
        <v>282</v>
      </c>
      <c r="C112" s="21">
        <f>1449000+27000</f>
        <v>1476000</v>
      </c>
      <c r="D112" s="21">
        <v>354000</v>
      </c>
      <c r="E112" s="20">
        <f t="shared" si="16"/>
        <v>1830000</v>
      </c>
      <c r="F112" s="21">
        <v>738000</v>
      </c>
      <c r="G112" s="21">
        <v>177000</v>
      </c>
      <c r="H112" s="20">
        <f t="shared" si="18"/>
        <v>915000</v>
      </c>
      <c r="I112" s="114">
        <f t="shared" si="17"/>
        <v>0.5</v>
      </c>
    </row>
    <row r="113" spans="1:9" s="6" customFormat="1" ht="21" customHeight="1">
      <c r="A113" s="50"/>
      <c r="B113" s="44" t="s">
        <v>401</v>
      </c>
      <c r="C113" s="21"/>
      <c r="D113" s="21">
        <v>43500</v>
      </c>
      <c r="E113" s="20">
        <f aca="true" t="shared" si="19" ref="E113:E133">SUM(C113:D113)</f>
        <v>43500</v>
      </c>
      <c r="F113" s="21"/>
      <c r="G113" s="21">
        <v>21600</v>
      </c>
      <c r="H113" s="20">
        <f t="shared" si="18"/>
        <v>21600</v>
      </c>
      <c r="I113" s="114">
        <f t="shared" si="17"/>
        <v>0.496551724137931</v>
      </c>
    </row>
    <row r="114" spans="1:9" s="6" customFormat="1" ht="11.25">
      <c r="A114" s="50"/>
      <c r="B114" s="44" t="s">
        <v>283</v>
      </c>
      <c r="C114" s="21">
        <f>475000-25000</f>
        <v>450000</v>
      </c>
      <c r="D114" s="21"/>
      <c r="E114" s="20">
        <f t="shared" si="19"/>
        <v>450000</v>
      </c>
      <c r="F114" s="21">
        <v>197600</v>
      </c>
      <c r="G114" s="21"/>
      <c r="H114" s="20">
        <f t="shared" si="18"/>
        <v>197600</v>
      </c>
      <c r="I114" s="114">
        <f t="shared" si="17"/>
        <v>0.4391111111111111</v>
      </c>
    </row>
    <row r="115" spans="1:9" s="6" customFormat="1" ht="11.25">
      <c r="A115" s="50"/>
      <c r="B115" s="44" t="s">
        <v>284</v>
      </c>
      <c r="C115" s="21">
        <f>4743000+7000</f>
        <v>4750000</v>
      </c>
      <c r="D115" s="21"/>
      <c r="E115" s="20">
        <f t="shared" si="19"/>
        <v>4750000</v>
      </c>
      <c r="F115" s="21">
        <v>2311150</v>
      </c>
      <c r="G115" s="21"/>
      <c r="H115" s="20">
        <f t="shared" si="18"/>
        <v>2311150</v>
      </c>
      <c r="I115" s="114">
        <f t="shared" si="17"/>
        <v>0.4865578947368421</v>
      </c>
    </row>
    <row r="116" spans="1:9" s="6" customFormat="1" ht="11.25">
      <c r="A116" s="50"/>
      <c r="B116" s="44" t="s">
        <v>285</v>
      </c>
      <c r="C116" s="21">
        <f>38288130+1379830</f>
        <v>39667960</v>
      </c>
      <c r="D116" s="21"/>
      <c r="E116" s="20">
        <f t="shared" si="19"/>
        <v>39667960</v>
      </c>
      <c r="F116" s="21">
        <v>17020833</v>
      </c>
      <c r="G116" s="21"/>
      <c r="H116" s="20">
        <f t="shared" si="18"/>
        <v>17020833</v>
      </c>
      <c r="I116" s="114">
        <f t="shared" si="17"/>
        <v>0.4290826399945951</v>
      </c>
    </row>
    <row r="117" spans="1:9" s="6" customFormat="1" ht="21.75" customHeight="1" hidden="1">
      <c r="A117" s="50"/>
      <c r="B117" s="44" t="s">
        <v>353</v>
      </c>
      <c r="C117" s="21"/>
      <c r="D117" s="21"/>
      <c r="E117" s="20">
        <f t="shared" si="19"/>
        <v>0</v>
      </c>
      <c r="F117" s="21"/>
      <c r="G117" s="21"/>
      <c r="H117" s="20">
        <f t="shared" si="18"/>
        <v>0</v>
      </c>
      <c r="I117" s="114" t="e">
        <f t="shared" si="17"/>
        <v>#DIV/0!</v>
      </c>
    </row>
    <row r="118" spans="1:9" s="6" customFormat="1" ht="11.25">
      <c r="A118" s="50"/>
      <c r="B118" s="44" t="s">
        <v>286</v>
      </c>
      <c r="C118" s="21">
        <v>540000</v>
      </c>
      <c r="D118" s="21"/>
      <c r="E118" s="20">
        <f t="shared" si="19"/>
        <v>540000</v>
      </c>
      <c r="F118" s="21">
        <v>219300</v>
      </c>
      <c r="G118" s="21"/>
      <c r="H118" s="20">
        <f t="shared" si="18"/>
        <v>219300</v>
      </c>
      <c r="I118" s="114">
        <f t="shared" si="17"/>
        <v>0.4061111111111111</v>
      </c>
    </row>
    <row r="119" spans="1:9" s="6" customFormat="1" ht="12" customHeight="1">
      <c r="A119" s="50"/>
      <c r="B119" s="44" t="s">
        <v>287</v>
      </c>
      <c r="C119" s="21"/>
      <c r="D119" s="21">
        <v>300000</v>
      </c>
      <c r="E119" s="20">
        <f t="shared" si="19"/>
        <v>300000</v>
      </c>
      <c r="F119" s="21"/>
      <c r="G119" s="21">
        <v>143000</v>
      </c>
      <c r="H119" s="20">
        <f t="shared" si="18"/>
        <v>143000</v>
      </c>
      <c r="I119" s="114">
        <f t="shared" si="17"/>
        <v>0.4766666666666667</v>
      </c>
    </row>
    <row r="120" spans="1:9" s="2" customFormat="1" ht="9.75" customHeight="1">
      <c r="A120" s="53"/>
      <c r="B120" s="28" t="s">
        <v>288</v>
      </c>
      <c r="C120" s="15"/>
      <c r="D120" s="15">
        <v>1386810</v>
      </c>
      <c r="E120" s="14">
        <f t="shared" si="19"/>
        <v>1386810</v>
      </c>
      <c r="F120" s="15"/>
      <c r="G120" s="15">
        <v>1046360</v>
      </c>
      <c r="H120" s="14">
        <f t="shared" si="18"/>
        <v>1046360</v>
      </c>
      <c r="I120" s="114">
        <f t="shared" si="17"/>
        <v>0.754508548395238</v>
      </c>
    </row>
    <row r="121" spans="1:9" s="2" customFormat="1" ht="21" customHeight="1">
      <c r="A121" s="53"/>
      <c r="B121" s="28" t="s">
        <v>330</v>
      </c>
      <c r="C121" s="15">
        <v>28700</v>
      </c>
      <c r="D121" s="15"/>
      <c r="E121" s="14">
        <f t="shared" si="19"/>
        <v>28700</v>
      </c>
      <c r="F121" s="15">
        <v>14340</v>
      </c>
      <c r="G121" s="15"/>
      <c r="H121" s="14">
        <f t="shared" si="18"/>
        <v>14340</v>
      </c>
      <c r="I121" s="114">
        <f t="shared" si="17"/>
        <v>0.49965156794425086</v>
      </c>
    </row>
    <row r="122" spans="1:9" s="2" customFormat="1" ht="32.25" customHeight="1">
      <c r="A122" s="53"/>
      <c r="B122" s="28" t="s">
        <v>345</v>
      </c>
      <c r="C122" s="15">
        <v>4702</v>
      </c>
      <c r="D122" s="15"/>
      <c r="E122" s="14">
        <f t="shared" si="19"/>
        <v>4702</v>
      </c>
      <c r="F122" s="15">
        <v>4702</v>
      </c>
      <c r="G122" s="15"/>
      <c r="H122" s="14">
        <f t="shared" si="18"/>
        <v>4702</v>
      </c>
      <c r="I122" s="114">
        <f t="shared" si="17"/>
        <v>1</v>
      </c>
    </row>
    <row r="123" spans="1:9" s="2" customFormat="1" ht="22.5" customHeight="1">
      <c r="A123" s="53"/>
      <c r="B123" s="28" t="s">
        <v>335</v>
      </c>
      <c r="C123" s="15">
        <v>1361000</v>
      </c>
      <c r="D123" s="15">
        <f>598000+90000</f>
        <v>688000</v>
      </c>
      <c r="E123" s="14">
        <f t="shared" si="19"/>
        <v>2049000</v>
      </c>
      <c r="F123" s="15">
        <v>680502</v>
      </c>
      <c r="G123" s="15">
        <v>276000</v>
      </c>
      <c r="H123" s="14">
        <f t="shared" si="18"/>
        <v>956502</v>
      </c>
      <c r="I123" s="114">
        <f t="shared" si="17"/>
        <v>0.46681405563689604</v>
      </c>
    </row>
    <row r="124" spans="1:9" s="2" customFormat="1" ht="21.75" customHeight="1">
      <c r="A124" s="53"/>
      <c r="B124" s="33" t="s">
        <v>206</v>
      </c>
      <c r="C124" s="15"/>
      <c r="D124" s="15"/>
      <c r="E124" s="14">
        <f t="shared" si="19"/>
        <v>0</v>
      </c>
      <c r="F124" s="15"/>
      <c r="G124" s="15"/>
      <c r="H124" s="14">
        <f t="shared" si="18"/>
        <v>0</v>
      </c>
      <c r="I124" s="114"/>
    </row>
    <row r="125" spans="1:9" s="2" customFormat="1" ht="11.25">
      <c r="A125" s="53"/>
      <c r="B125" s="28" t="s">
        <v>289</v>
      </c>
      <c r="C125" s="15">
        <f>119256+8000+120645</f>
        <v>247901</v>
      </c>
      <c r="D125" s="15"/>
      <c r="E125" s="14">
        <f t="shared" si="19"/>
        <v>247901</v>
      </c>
      <c r="F125" s="15">
        <v>247901</v>
      </c>
      <c r="G125" s="15"/>
      <c r="H125" s="14">
        <f t="shared" si="18"/>
        <v>247901</v>
      </c>
      <c r="I125" s="114">
        <f aca="true" t="shared" si="20" ref="I125:I135">H125/E125</f>
        <v>1</v>
      </c>
    </row>
    <row r="126" spans="1:9" s="34" customFormat="1" ht="9.75" customHeight="1">
      <c r="A126" s="53"/>
      <c r="B126" s="28" t="s">
        <v>292</v>
      </c>
      <c r="C126" s="15">
        <v>40185</v>
      </c>
      <c r="D126" s="15"/>
      <c r="E126" s="14">
        <f t="shared" si="19"/>
        <v>40185</v>
      </c>
      <c r="F126" s="15">
        <v>20088</v>
      </c>
      <c r="G126" s="15"/>
      <c r="H126" s="14">
        <f t="shared" si="18"/>
        <v>20088</v>
      </c>
      <c r="I126" s="114">
        <f t="shared" si="20"/>
        <v>0.4998880179171333</v>
      </c>
    </row>
    <row r="127" spans="1:9" s="2" customFormat="1" ht="11.25" customHeight="1">
      <c r="A127" s="56"/>
      <c r="B127" s="43" t="s">
        <v>294</v>
      </c>
      <c r="C127" s="15"/>
      <c r="D127" s="15">
        <v>100000</v>
      </c>
      <c r="E127" s="14">
        <f t="shared" si="19"/>
        <v>100000</v>
      </c>
      <c r="F127" s="15"/>
      <c r="G127" s="15"/>
      <c r="H127" s="14">
        <f t="shared" si="18"/>
        <v>0</v>
      </c>
      <c r="I127" s="114">
        <f t="shared" si="20"/>
        <v>0</v>
      </c>
    </row>
    <row r="128" spans="1:9" s="2" customFormat="1" ht="10.5" customHeight="1">
      <c r="A128" s="56"/>
      <c r="B128" s="43" t="s">
        <v>295</v>
      </c>
      <c r="C128" s="15"/>
      <c r="D128" s="15">
        <v>69000</v>
      </c>
      <c r="E128" s="14">
        <f t="shared" si="19"/>
        <v>69000</v>
      </c>
      <c r="F128" s="15"/>
      <c r="G128" s="15"/>
      <c r="H128" s="14">
        <f t="shared" si="18"/>
        <v>0</v>
      </c>
      <c r="I128" s="114">
        <f t="shared" si="20"/>
        <v>0</v>
      </c>
    </row>
    <row r="129" spans="1:9" s="2" customFormat="1" ht="11.25" customHeight="1">
      <c r="A129" s="56"/>
      <c r="B129" s="43" t="s">
        <v>296</v>
      </c>
      <c r="C129" s="15"/>
      <c r="D129" s="15">
        <v>132000</v>
      </c>
      <c r="E129" s="14">
        <f t="shared" si="19"/>
        <v>132000</v>
      </c>
      <c r="F129" s="15"/>
      <c r="G129" s="15">
        <v>42416</v>
      </c>
      <c r="H129" s="14">
        <f t="shared" si="18"/>
        <v>42416</v>
      </c>
      <c r="I129" s="114">
        <f t="shared" si="20"/>
        <v>0.32133333333333336</v>
      </c>
    </row>
    <row r="130" spans="1:9" s="31" customFormat="1" ht="12" customHeight="1">
      <c r="A130" s="54"/>
      <c r="B130" s="33" t="s">
        <v>297</v>
      </c>
      <c r="C130" s="15"/>
      <c r="D130" s="15">
        <v>99600</v>
      </c>
      <c r="E130" s="14">
        <f t="shared" si="19"/>
        <v>99600</v>
      </c>
      <c r="F130" s="15"/>
      <c r="G130" s="15">
        <v>54000</v>
      </c>
      <c r="H130" s="14">
        <f t="shared" si="18"/>
        <v>54000</v>
      </c>
      <c r="I130" s="114">
        <f t="shared" si="20"/>
        <v>0.5421686746987951</v>
      </c>
    </row>
    <row r="131" spans="1:9" s="31" customFormat="1" ht="33.75" customHeight="1">
      <c r="A131" s="24">
        <v>2</v>
      </c>
      <c r="B131" s="26" t="s">
        <v>298</v>
      </c>
      <c r="C131" s="45">
        <f>SUM(C132:C132)</f>
        <v>35500</v>
      </c>
      <c r="D131" s="45">
        <f>SUM(D132:D132)</f>
        <v>0</v>
      </c>
      <c r="E131" s="27">
        <f t="shared" si="19"/>
        <v>35500</v>
      </c>
      <c r="F131" s="45">
        <f>SUM(F132:F132)</f>
        <v>35500</v>
      </c>
      <c r="G131" s="45">
        <f>SUM(G132:G132)</f>
        <v>0</v>
      </c>
      <c r="H131" s="27">
        <f t="shared" si="18"/>
        <v>35500</v>
      </c>
      <c r="I131" s="114">
        <f t="shared" si="20"/>
        <v>1</v>
      </c>
    </row>
    <row r="132" spans="1:9" s="2" customFormat="1" ht="11.25">
      <c r="A132" s="53"/>
      <c r="B132" s="33" t="s">
        <v>302</v>
      </c>
      <c r="C132" s="15">
        <v>35500</v>
      </c>
      <c r="D132" s="15"/>
      <c r="E132" s="14">
        <f t="shared" si="19"/>
        <v>35500</v>
      </c>
      <c r="F132" s="15">
        <v>35500</v>
      </c>
      <c r="G132" s="15"/>
      <c r="H132" s="14">
        <f t="shared" si="18"/>
        <v>35500</v>
      </c>
      <c r="I132" s="114">
        <f t="shared" si="20"/>
        <v>1</v>
      </c>
    </row>
    <row r="133" spans="1:9" s="1" customFormat="1" ht="22.5" customHeight="1">
      <c r="A133" s="24">
        <v>3</v>
      </c>
      <c r="B133" s="26" t="s">
        <v>303</v>
      </c>
      <c r="C133" s="27">
        <f>SUM(C134:C136)</f>
        <v>3118332</v>
      </c>
      <c r="D133" s="27">
        <f>SUM(D134:D136)</f>
        <v>1027845</v>
      </c>
      <c r="E133" s="27">
        <f t="shared" si="19"/>
        <v>4146177</v>
      </c>
      <c r="F133" s="27">
        <f>SUM(F134:F136)</f>
        <v>1760442</v>
      </c>
      <c r="G133" s="27">
        <f>SUM(G134:G136)</f>
        <v>573150</v>
      </c>
      <c r="H133" s="27">
        <f aca="true" t="shared" si="21" ref="H133:H138">SUM(F133:G133)</f>
        <v>2333592</v>
      </c>
      <c r="I133" s="114">
        <f t="shared" si="20"/>
        <v>0.5628298068316909</v>
      </c>
    </row>
    <row r="134" spans="1:9" s="1" customFormat="1" ht="10.5" customHeight="1">
      <c r="A134" s="53"/>
      <c r="B134" s="43" t="s">
        <v>304</v>
      </c>
      <c r="C134" s="15">
        <f>73933+143550</f>
        <v>217483</v>
      </c>
      <c r="D134" s="15"/>
      <c r="E134" s="14">
        <f aca="true" t="shared" si="22" ref="E134:E141">SUM(C134:D134)</f>
        <v>217483</v>
      </c>
      <c r="F134" s="15">
        <v>73933</v>
      </c>
      <c r="G134" s="15"/>
      <c r="H134" s="14">
        <f t="shared" si="21"/>
        <v>73933</v>
      </c>
      <c r="I134" s="114">
        <f t="shared" si="20"/>
        <v>0.3399484097607629</v>
      </c>
    </row>
    <row r="135" spans="1:9" s="1" customFormat="1" ht="12" customHeight="1">
      <c r="A135" s="53"/>
      <c r="B135" s="43" t="s">
        <v>305</v>
      </c>
      <c r="C135" s="15">
        <f>112635-102534</f>
        <v>10101</v>
      </c>
      <c r="D135" s="14"/>
      <c r="E135" s="14">
        <f t="shared" si="22"/>
        <v>10101</v>
      </c>
      <c r="F135" s="15">
        <v>10101</v>
      </c>
      <c r="G135" s="14"/>
      <c r="H135" s="14">
        <f t="shared" si="21"/>
        <v>10101</v>
      </c>
      <c r="I135" s="114">
        <f t="shared" si="20"/>
        <v>1</v>
      </c>
    </row>
    <row r="136" spans="1:9" s="2" customFormat="1" ht="10.5" customHeight="1">
      <c r="A136" s="53"/>
      <c r="B136" s="43" t="s">
        <v>308</v>
      </c>
      <c r="C136" s="15">
        <f>SUM(C137:C142)</f>
        <v>2890748</v>
      </c>
      <c r="D136" s="15">
        <f>SUM(D137:D142)</f>
        <v>1027845</v>
      </c>
      <c r="E136" s="14">
        <f t="shared" si="22"/>
        <v>3918593</v>
      </c>
      <c r="F136" s="15">
        <f>SUM(F137:F142)</f>
        <v>1676408</v>
      </c>
      <c r="G136" s="15">
        <f>SUM(G137:G142)</f>
        <v>573150</v>
      </c>
      <c r="H136" s="14">
        <f t="shared" si="21"/>
        <v>2249558</v>
      </c>
      <c r="I136" s="114">
        <f aca="true" t="shared" si="23" ref="I136:I142">H136/E136</f>
        <v>0.5740728878962423</v>
      </c>
    </row>
    <row r="137" spans="1:9" s="22" customFormat="1" ht="12.75" customHeight="1">
      <c r="A137" s="49"/>
      <c r="B137" s="60" t="s">
        <v>361</v>
      </c>
      <c r="C137" s="21">
        <f>955000+100000</f>
        <v>1055000</v>
      </c>
      <c r="D137" s="21"/>
      <c r="E137" s="20">
        <f t="shared" si="22"/>
        <v>1055000</v>
      </c>
      <c r="F137" s="21">
        <v>676000</v>
      </c>
      <c r="G137" s="21"/>
      <c r="H137" s="20">
        <f t="shared" si="21"/>
        <v>676000</v>
      </c>
      <c r="I137" s="114">
        <f t="shared" si="23"/>
        <v>0.6407582938388625</v>
      </c>
    </row>
    <row r="138" spans="1:9" s="31" customFormat="1" ht="11.25" customHeight="1">
      <c r="A138" s="54"/>
      <c r="B138" s="60" t="s">
        <v>310</v>
      </c>
      <c r="C138" s="21"/>
      <c r="D138" s="21">
        <f>906000+23265-51340</f>
        <v>877925</v>
      </c>
      <c r="E138" s="20">
        <f t="shared" si="22"/>
        <v>877925</v>
      </c>
      <c r="F138" s="21"/>
      <c r="G138" s="21">
        <v>499010</v>
      </c>
      <c r="H138" s="20">
        <f t="shared" si="21"/>
        <v>499010</v>
      </c>
      <c r="I138" s="114">
        <f t="shared" si="23"/>
        <v>0.5683970726428795</v>
      </c>
    </row>
    <row r="139" spans="1:9" s="31" customFormat="1" ht="10.5" customHeight="1">
      <c r="A139" s="54"/>
      <c r="B139" s="60" t="s">
        <v>311</v>
      </c>
      <c r="C139" s="21"/>
      <c r="D139" s="21">
        <f>144960+3960</f>
        <v>148920</v>
      </c>
      <c r="E139" s="20">
        <f t="shared" si="22"/>
        <v>148920</v>
      </c>
      <c r="F139" s="62"/>
      <c r="G139" s="21">
        <v>73140</v>
      </c>
      <c r="H139" s="20">
        <f>SUM(G139:G139)</f>
        <v>73140</v>
      </c>
      <c r="I139" s="114">
        <f t="shared" si="23"/>
        <v>0.4911361804995971</v>
      </c>
    </row>
    <row r="140" spans="1:9" s="31" customFormat="1" ht="9" customHeight="1">
      <c r="A140" s="54"/>
      <c r="B140" s="60" t="s">
        <v>264</v>
      </c>
      <c r="C140" s="21"/>
      <c r="D140" s="21">
        <v>1000</v>
      </c>
      <c r="E140" s="20">
        <f t="shared" si="22"/>
        <v>1000</v>
      </c>
      <c r="F140" s="21"/>
      <c r="G140" s="21">
        <v>1000</v>
      </c>
      <c r="H140" s="20"/>
      <c r="I140" s="114">
        <f t="shared" si="23"/>
        <v>0</v>
      </c>
    </row>
    <row r="141" spans="1:9" s="6" customFormat="1" ht="9.75" customHeight="1">
      <c r="A141" s="50"/>
      <c r="B141" s="61" t="s">
        <v>312</v>
      </c>
      <c r="C141" s="21">
        <v>260000</v>
      </c>
      <c r="D141" s="21"/>
      <c r="E141" s="20">
        <f t="shared" si="22"/>
        <v>260000</v>
      </c>
      <c r="F141" s="21">
        <v>125060</v>
      </c>
      <c r="G141" s="21"/>
      <c r="H141" s="20">
        <f>SUM(F141:G141)</f>
        <v>125060</v>
      </c>
      <c r="I141" s="114">
        <f t="shared" si="23"/>
        <v>0.481</v>
      </c>
    </row>
    <row r="142" spans="1:9" s="6" customFormat="1" ht="15" customHeight="1">
      <c r="A142" s="50"/>
      <c r="B142" s="61" t="s">
        <v>313</v>
      </c>
      <c r="C142" s="21">
        <f>1483000+92748</f>
        <v>1575748</v>
      </c>
      <c r="D142" s="21"/>
      <c r="E142" s="20">
        <f>SUM(C142:D142)</f>
        <v>1575748</v>
      </c>
      <c r="F142" s="21">
        <v>875348</v>
      </c>
      <c r="G142" s="21"/>
      <c r="H142" s="20">
        <f>SUM(F142:G142)</f>
        <v>875348</v>
      </c>
      <c r="I142" s="114">
        <f t="shared" si="23"/>
        <v>0.5555126835001536</v>
      </c>
    </row>
    <row r="144" spans="5:6" ht="11.25">
      <c r="E144" s="211"/>
      <c r="F144" s="107" t="s">
        <v>89</v>
      </c>
    </row>
    <row r="146" spans="4:5" ht="11.25">
      <c r="D146" s="107"/>
      <c r="E146" s="94" t="s">
        <v>89</v>
      </c>
    </row>
    <row r="150" ht="11.25">
      <c r="H150" s="139"/>
    </row>
  </sheetData>
  <mergeCells count="10">
    <mergeCell ref="A1:I1"/>
    <mergeCell ref="A2:A3"/>
    <mergeCell ref="B2:B3"/>
    <mergeCell ref="C2:E2"/>
    <mergeCell ref="I2:I3"/>
    <mergeCell ref="F2:H2"/>
    <mergeCell ref="A106:B106"/>
    <mergeCell ref="A5:B5"/>
    <mergeCell ref="A6:B6"/>
    <mergeCell ref="A103:B103"/>
  </mergeCells>
  <printOptions/>
  <pageMargins left="0.45" right="0.31" top="0.55" bottom="0.36" header="0.5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kbaza</cp:lastModifiedBy>
  <cp:lastPrinted>2009-08-07T10:23:34Z</cp:lastPrinted>
  <dcterms:created xsi:type="dcterms:W3CDTF">2005-11-15T08:37:02Z</dcterms:created>
  <dcterms:modified xsi:type="dcterms:W3CDTF">2009-08-07T10:25:14Z</dcterms:modified>
  <cp:category/>
  <cp:version/>
  <cp:contentType/>
  <cp:contentStatus/>
</cp:coreProperties>
</file>