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90" windowHeight="12270" activeTab="0"/>
  </bookViews>
  <sheets>
    <sheet name="PROJEKT DO KSIĄŻKI 2010r." sheetId="1" r:id="rId1"/>
  </sheets>
  <definedNames>
    <definedName name="_xlnm.Print_Titles" localSheetId="0">'PROJEKT DO KSIĄŻKI 2010r.'!$2:$3</definedName>
  </definedNames>
  <calcPr fullCalcOnLoad="1"/>
</workbook>
</file>

<file path=xl/sharedStrings.xml><?xml version="1.0" encoding="utf-8"?>
<sst xmlns="http://schemas.openxmlformats.org/spreadsheetml/2006/main" count="172" uniqueCount="158">
  <si>
    <t>Projekt dochodów budżetu miasta Gdyni na 2010 rok wg źródeł</t>
  </si>
  <si>
    <t>Lp.</t>
  </si>
  <si>
    <t>Treść</t>
  </si>
  <si>
    <t xml:space="preserve">Plan 2009 rok (wg stanu na 31.10.2009r.)  </t>
  </si>
  <si>
    <t>Przewidywane wykonanie 2009r.</t>
  </si>
  <si>
    <t>dynamika (kol.8:5)</t>
  </si>
  <si>
    <t xml:space="preserve">Projekt na 2010 rok </t>
  </si>
  <si>
    <t>dynamika (kol.12:8)</t>
  </si>
  <si>
    <t>Gmina</t>
  </si>
  <si>
    <t>Powiat</t>
  </si>
  <si>
    <t>Razem</t>
  </si>
  <si>
    <t>DOCHODY OGÓŁEM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</si>
  <si>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</si>
  <si>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Podatki i opłaty pobierane przez miasto</t>
  </si>
  <si>
    <t xml:space="preserve">podatek od nieruchomości </t>
  </si>
  <si>
    <t xml:space="preserve">podatek od środków transportowych </t>
  </si>
  <si>
    <t>podatek rolny</t>
  </si>
  <si>
    <t xml:space="preserve">podatek leśny </t>
  </si>
  <si>
    <t>zaległości z podatków zniesionych</t>
  </si>
  <si>
    <t xml:space="preserve">rekompensata utraconych dochodów (z PFRON - u) z tytułu zwolnień w podatkach </t>
  </si>
  <si>
    <t>opłata skarbowa</t>
  </si>
  <si>
    <t>dochody z tyt. ustawy o przeciwdziałaniu alkoholizmowi</t>
  </si>
  <si>
    <t>opłaty komunikacyjna</t>
  </si>
  <si>
    <t>opłaty lokalne (opłata targowa i miejscowa)</t>
  </si>
  <si>
    <t>opłaty za parkowanie, za zajęcie pasa drogowego, umieszczanie reklam i stoisk w pasie drogowym i in.</t>
  </si>
  <si>
    <t>opłata adiacencka i renta planistyczna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</si>
  <si>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</si>
  <si>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</si>
  <si>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</si>
  <si>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</si>
  <si>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</si>
  <si>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odsetki od należności podatkowych pobieranych przez US</t>
  </si>
  <si>
    <t>Dochody z majątku miasta</t>
  </si>
  <si>
    <t>wpływy ze sprzedaży mienia komunalnego</t>
  </si>
  <si>
    <t>wpływy z tytułu przekształcenia użytkowania wieczystego na własność</t>
  </si>
  <si>
    <t xml:space="preserve">                                                                                                                </t>
  </si>
  <si>
    <t>dochody z dzierżawy</t>
  </si>
  <si>
    <t>wpływy z lokali użytkowych</t>
  </si>
  <si>
    <t>użytkowanie wieczyste</t>
  </si>
  <si>
    <t>pozostałe</t>
  </si>
  <si>
    <t xml:space="preserve">sprzedaż składników majątkowych </t>
  </si>
  <si>
    <t>dochody z najmu i dzierżawy skł. majątkowych gminy oddanych w użytkowanie jednostkom i zakł. budżetowym</t>
  </si>
  <si>
    <t>wpływy z czynszów za mieszkania służbowe</t>
  </si>
  <si>
    <t xml:space="preserve">Inne dochody własne </t>
  </si>
  <si>
    <t>wpływy Zarządu Komunikacji Miejskiej</t>
  </si>
  <si>
    <t>wpływy ze sprzedaży biletów na "tramwaj wodny"</t>
  </si>
  <si>
    <t>wpływy Urzędu Miasta</t>
  </si>
  <si>
    <t>wpływy z opłat rodziców za pobyt dzieci w żłobku</t>
  </si>
  <si>
    <t>wpływy z usług opiekuńczych i opłaty za pobyt w ośrodkach wsparcia</t>
  </si>
  <si>
    <t>wpływy za pobyt dzieci w placówkach opiekuńczo - wychowawczych</t>
  </si>
  <si>
    <t>wpływy z usług Gdyńskiego Centrum Innowacji</t>
  </si>
  <si>
    <t>wpływy z usług Zespołu Placówek Specjalistycznych im. Lisieckiego "Dziadka"</t>
  </si>
  <si>
    <t xml:space="preserve">wpływy z opłat za pobyt w domu opieki społecznej </t>
  </si>
  <si>
    <t>rozliczenie mediów zużywanych przez Krytą Pływalnie przy ZS nr 10</t>
  </si>
  <si>
    <t xml:space="preserve">opłaty za wpis do rejestru działalności gospodarczej za egzaminy i dokumenty wydawane w związku z wykonywaniem transportu drogowego oraz inne opłaty pobierane przez UM </t>
  </si>
  <si>
    <t xml:space="preserve">50% zwrotów zaliczek alimentacyjnych </t>
  </si>
  <si>
    <t>25% dochodów z nieruchom.Skarbu Państwa</t>
  </si>
  <si>
    <t xml:space="preserve">5% dochodów uzysk. na rzecz budżetu państwa w związku z real. zad. zleconych </t>
  </si>
  <si>
    <t>opłaty za usuwanie pojazdów z pasa drogowego</t>
  </si>
  <si>
    <t>odsetki od środków na rachunkach bankowych</t>
  </si>
  <si>
    <t>pozostałe dochody</t>
  </si>
  <si>
    <t>wpłata części zysku gospodarstwa pomocniczego</t>
  </si>
  <si>
    <t>grzywny i kary - Straż Miejska</t>
  </si>
  <si>
    <t>różne dochody jednostek organizacyjnych miasta</t>
  </si>
  <si>
    <t>rozliczenia z lat ubiegłych oraz zwroty dotacji wykorzystanych niezgodnie z przeznaczeniem lub pobranych w nadmiernej wysokości</t>
  </si>
  <si>
    <t>Dotacje od jednostek samorządu terytorialnego</t>
  </si>
  <si>
    <t xml:space="preserve">zadania oświatowe </t>
  </si>
  <si>
    <t>Miejski Rzecznik Konsumentów</t>
  </si>
  <si>
    <t>obsługa mieszkańców Sopotu przez Powiatowy Urząd Pracy w Gdyni</t>
  </si>
  <si>
    <t xml:space="preserve">rodziny zastępcze </t>
  </si>
  <si>
    <t>środki dla Powiatowego Zespołu ds.Orzekania o Niepełnosprawności zgodnie z zawartym porozumieniem pomiędzy Miastem Gdynia, a Mastem Sopot</t>
  </si>
  <si>
    <t>placówki opiekuńczo - wychowawcze</t>
  </si>
  <si>
    <t>środki z gmin ościennych na organizację usług komunikacyjnych na ich terenie przez ZKM w Gdyni na podstawie porozumień</t>
  </si>
  <si>
    <t>środki z Sopotu i Gdańska na realizację zadania - Inteligentny System Zarządzania Ruchem w Trójmieście - TRISTAR"</t>
  </si>
  <si>
    <t xml:space="preserve">środki z Sejmiku Województwa Pomorskiego na budowę kompleksu sportowego w ramach programu "Moje boisko - Orlik 2012" </t>
  </si>
  <si>
    <t>środki na realizację zadania: rozwój turystyki w rejonie Zatoki Gdańskiej współfinansowanego ze środków funduszu PHARE</t>
  </si>
  <si>
    <t>dotacje z Helu i Jastarni na dofinansowanie funkcjonowania "Tramwaju wodnego"</t>
  </si>
  <si>
    <t>Dotacje i inne środki zewnętrzne na dofinansowanie zadań własnych</t>
  </si>
  <si>
    <t>z Funduszu Pracy na finansowanie wynagrodzeń i składek na ubezpieczenie pracowników Powiatowego Urzędu Pracy</t>
  </si>
  <si>
    <t>środki z MinisterstwaNauki i Szkolnictwa Wyższego na realizację projektu "BioBusinessSchool"</t>
  </si>
  <si>
    <t xml:space="preserve">środki z Sejmiku Województwa Pomorskiego na dofinansowanie lokalnego transportu zbiorowego na liniach komunikacyjnych regularnego transportu wodnego </t>
  </si>
  <si>
    <t xml:space="preserve">środki z Samorządu Województwa Pomorskiego na integrację lokalnego transportu zbiorowego w ramach Metropolitarnego Związku Komunikacyjnego Zatoki Gdańskiej </t>
  </si>
  <si>
    <t xml:space="preserve">środki na realizację projektu "Dobry zawód gwarancją sukcesu" </t>
  </si>
  <si>
    <t>środki na realizację projektu systemowego "Rodzina Bliżej Siebie"</t>
  </si>
  <si>
    <t xml:space="preserve">środki z budżetu państwa na dofinansowanie projektu "Fundusz stypendialny dla uczniów gdyńskich szkół ponadgimnazjalnych" </t>
  </si>
  <si>
    <t>dotacja na Modernizację Przystani Rybackiej na Oksywiu</t>
  </si>
  <si>
    <t>dofinansowanie projektu "Efektywny samorząd - kompetentna kadra w Urzędzie Miasta Gdyni i Gminy Kosakowo"</t>
  </si>
  <si>
    <t>dotacja z Narodowego Centrum Kultury na realizację Ogólnopolskiego programu rozwoju chórów szkolnych Ministra Kultury i Dziedzictwa Narodowego "Śpiewająca Polska"</t>
  </si>
  <si>
    <t>zwrot refundacji kosztów projektu "Pomorski Park Naukowo-Technologiczny- Rozbudowa etap 3"</t>
  </si>
  <si>
    <t>dotacja z Funduszu Rozwoju Kultury Fizycznej na dofinansowanie budowy hali sportowo - widowiskowej</t>
  </si>
  <si>
    <t>środki z PZU na poprawę bezpieczeństwa w budynku Urzędu Miasta</t>
  </si>
  <si>
    <t>środki z Funduszu Rozwoju Kultury Fizycznej na dofinansowanie programu szkolenia młodzieży uzdolnionej sportowo</t>
  </si>
  <si>
    <t>Środki z UE na dofinansowanie zadań własnych</t>
  </si>
  <si>
    <t>środki na rozbudowę ul. J.Wiśniewskiego</t>
  </si>
  <si>
    <t>środki na budowę Trasy Kwiatkowskiego</t>
  </si>
  <si>
    <t xml:space="preserve">Droga Różowa IV etap - rozbudowa ul. Lotników </t>
  </si>
  <si>
    <t>przebudowa układu drogowego węzła Św.Maksymiliana wraz z budową tunelu drogowego pod Drogą Gdyńską, torami SKM i PKP w Gdyni</t>
  </si>
  <si>
    <t xml:space="preserve">środki na dofinansowanie projektu "Fundusz stypendialny dla uczniów gdyńskich szkół ponadgimnazjalnych" </t>
  </si>
  <si>
    <t>rozliczenie projektu SEBTrans - Link - nowoczesny Terminal Promowy w Porcie Wschodnim w Gdyni</t>
  </si>
  <si>
    <t>środki na dofinansowanie programu "Uczenie się przez całe życie" Projekt Partnerski COMENIUS</t>
  </si>
  <si>
    <t>program "Młodzież w działaniu"</t>
  </si>
  <si>
    <t>zwrot refundacji kosztów projektu "Pomorski Park Naukowo-Technologiczny- Rozbudowa etap 3 i 4</t>
  </si>
  <si>
    <t>projekt "YOUTH" Młodzieżowa Rewizja Dzisiejszych Miejskich Zwyczajów Transportowych</t>
  </si>
  <si>
    <t>projekt "CreActive NET"</t>
  </si>
  <si>
    <t>środki z Norweskiego Mechanizmu Finansowego na dofinansowanie realizacji projektu "Kompleksowa termomodernizacja siedmiu budynków placówek oświatowych na terenie Gdyni"</t>
  </si>
  <si>
    <t>środki z Europejskiego Funduszu Społecznego na dofinansowanie projektu " Doradca na plus"</t>
  </si>
  <si>
    <t>środki z Europejskiego Funduszu Społecznego na dofinansowanie projektu " Gimnastyka umysłowa urzędnika"</t>
  </si>
  <si>
    <t>Stowarzyszenie Miast Autostrady Bursztynowej (refundacja wydatków za 2007r.)</t>
  </si>
  <si>
    <t>projekt " Wzmocnienie współpracy między Akademią Medyczną w Gdańsku a PPNT i GPNT"</t>
  </si>
  <si>
    <t>Program Współpracy Transgranicznej Południowy Bałtyk 2007-2013 "eduPEOPLE"</t>
  </si>
  <si>
    <t>udział w targach Let s EXPO</t>
  </si>
  <si>
    <t>Program Współpracy Transgranicznej Południowy Bałtyk 2007-2013 "Diske"</t>
  </si>
  <si>
    <t>projekt "Przyroda - eksperyment o nieograniczonych możliwościach"</t>
  </si>
  <si>
    <t>Udziały we wpływach z podatków dochodowych</t>
  </si>
  <si>
    <t xml:space="preserve">udziały w podatku dochodowym od osób fizycznych </t>
  </si>
  <si>
    <t>udziały w podatku dochodowym od osób prawnych</t>
  </si>
  <si>
    <t>II.  SUBWENCJA OGÓLNA</t>
  </si>
  <si>
    <t>część oświatowa</t>
  </si>
  <si>
    <t>część równoważąca</t>
  </si>
  <si>
    <t>III.  DOTACJE CELOWE Z BUDŻETU PAŃSTWA</t>
  </si>
  <si>
    <t>NA ZADANIA ZLECONE</t>
  </si>
  <si>
    <t>Inspektorat Nadzoru Budowlanego (na zadania bieżące i inwestycyjne)</t>
  </si>
  <si>
    <t>Komenda Powiatowa Państwowej Straży Pożarnej (na zadania bieżące)</t>
  </si>
  <si>
    <t>Komenda Powiatowa Państwowej Straży Pożarnej (na zadania inwestycyjne)</t>
  </si>
  <si>
    <t xml:space="preserve"> ośrodki wsparcia</t>
  </si>
  <si>
    <t>ośrodki pomocy społecznej</t>
  </si>
  <si>
    <t>realizacja programu korekcyjno - edukacyjnego dla sprawców przemocy w rodzinie</t>
  </si>
  <si>
    <t xml:space="preserve"> składki na ubezp. zdrowotne</t>
  </si>
  <si>
    <t xml:space="preserve"> zasiłki i pomoc w naturze</t>
  </si>
  <si>
    <t>świadczenia rodzinne</t>
  </si>
  <si>
    <t xml:space="preserve"> usługi opiekuńcze, specjalistyczne usługi opiekuńcze</t>
  </si>
  <si>
    <t>zespół ds. orzekania o stopniu niepełnosprawn.</t>
  </si>
  <si>
    <t xml:space="preserve">składki na ubezpieczenia zdrowotne </t>
  </si>
  <si>
    <t>koszty wydawania decyzji w sprawie świadczeń zdrowotnych</t>
  </si>
  <si>
    <t>koszty związane z postępowaniem w sprawie zwrotu podatku akcyzowego zawartego w cenie oleju napędowego wykorzystywanego do produkcji rolnej</t>
  </si>
  <si>
    <t>administracja państwowa (na zadania bieżące i inwestycyjne)</t>
  </si>
  <si>
    <t>wybory do Parlamentu Europejskiego</t>
  </si>
  <si>
    <t>aktualizacja spisu wyborców</t>
  </si>
  <si>
    <t xml:space="preserve">prace geodezyjne i kartograficzne </t>
  </si>
  <si>
    <t>opracowania geodezyjne i kartograficzne</t>
  </si>
  <si>
    <t>gospodarka gruntami i nieruchomościami</t>
  </si>
  <si>
    <t>kwalifikacja wojskowa</t>
  </si>
  <si>
    <t>NA ZADANIA REALIZOWANE NA MOCY POROZUMIEŃ Z ORGANAMI ADMINISTRACJI RZĄDOWEJ</t>
  </si>
  <si>
    <t>utrzymanie grobów wojennych</t>
  </si>
  <si>
    <t>NA FINANSOWANIE LUB DOFINANSOWANIE ZADAŃ WŁASNYCH</t>
  </si>
  <si>
    <t>pomoc materialna dla uczniów</t>
  </si>
  <si>
    <t>program "Radosna szkoła"</t>
  </si>
  <si>
    <t>uczniowskie praktyki zawodowe</t>
  </si>
  <si>
    <t>w ramach wdrażania reformy oświaty- wypłaty wynagrodzeń dla nauczycieli za przeprowadzenie (poza tygodniowym obowiązkowym wymiarem zajęć) ustnego egzaminu maturalnego</t>
  </si>
  <si>
    <t>zadania z zakresu opieki społecznej:</t>
  </si>
  <si>
    <t>program "Posiłek dla potrzebujących"</t>
  </si>
  <si>
    <t>Dom Pomocy Społecznej</t>
  </si>
  <si>
    <t>opieka w domach o zasięgu ponadgminnym</t>
  </si>
  <si>
    <t>składki na ubezpieczenia zdrowotne</t>
  </si>
  <si>
    <t>zasiłki i pomoc w naturze</t>
  </si>
  <si>
    <t>zasiłki stałe</t>
  </si>
  <si>
    <t xml:space="preserve"> </t>
  </si>
  <si>
    <r>
      <t xml:space="preserve">opieka społeczna, </t>
    </r>
    <r>
      <rPr>
        <i/>
        <sz val="8"/>
        <rFont val="Arial CE"/>
        <family val="2"/>
      </rPr>
      <t>w tym:</t>
    </r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</si>
</sst>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0.0000000000"/>
    <numFmt numFmtId="193" formatCode="_-* #,##0.000\ _z_ł_-;\-* #,##0.000\ _z_ł_-;_-* &quot;-&quot;??\ _z_ł_-;_-@_-"/>
    <numFmt numFmtId="194" formatCode="h:mm"/>
    <numFmt numFmtId="195" formatCode="#,##0.00\ &quot;zł&quot;"/>
  </numFmts>
  <fonts count="19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8"/>
      <name val="Arial CE"/>
      <family val="0"/>
    </font>
    <font>
      <i/>
      <sz val="8"/>
      <color indexed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sz val="8"/>
      <name val="MS Sans Serif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" fontId="5" fillId="0" borderId="1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Fill="1" applyBorder="1" applyAlignment="1">
      <alignment vertical="center"/>
      <protection/>
    </xf>
    <xf numFmtId="1" fontId="6" fillId="0" borderId="2" xfId="19" applyNumberFormat="1" applyFont="1" applyFill="1" applyBorder="1" applyAlignment="1">
      <alignment horizontal="center" vertical="center" wrapText="1"/>
      <protection/>
    </xf>
    <xf numFmtId="4" fontId="6" fillId="0" borderId="2" xfId="19" applyNumberFormat="1" applyFont="1" applyFill="1" applyBorder="1" applyAlignment="1">
      <alignment horizontal="center" vertical="center" wrapText="1"/>
      <protection/>
    </xf>
    <xf numFmtId="1" fontId="6" fillId="0" borderId="3" xfId="19" applyNumberFormat="1" applyFont="1" applyFill="1" applyBorder="1" applyAlignment="1">
      <alignment horizontal="center" vertical="center" wrapText="1"/>
      <protection/>
    </xf>
    <xf numFmtId="1" fontId="6" fillId="0" borderId="0" xfId="19" applyNumberFormat="1" applyFont="1" applyFill="1">
      <alignment/>
      <protection/>
    </xf>
    <xf numFmtId="3" fontId="6" fillId="0" borderId="2" xfId="19" applyNumberFormat="1" applyFont="1" applyFill="1" applyBorder="1" applyAlignment="1">
      <alignment horizontal="center" vertical="center" wrapText="1"/>
      <protection/>
    </xf>
    <xf numFmtId="1" fontId="6" fillId="0" borderId="4" xfId="19" applyNumberFormat="1" applyFont="1" applyFill="1" applyBorder="1" applyAlignment="1">
      <alignment horizontal="center" vertical="center" wrapText="1"/>
      <protection/>
    </xf>
    <xf numFmtId="1" fontId="6" fillId="0" borderId="0" xfId="19" applyNumberFormat="1" applyFont="1" applyFill="1" applyBorder="1">
      <alignment/>
      <protection/>
    </xf>
    <xf numFmtId="1" fontId="6" fillId="0" borderId="2" xfId="19" applyNumberFormat="1" applyFont="1" applyFill="1" applyBorder="1" applyAlignment="1">
      <alignment horizontal="center" vertical="center"/>
      <protection/>
    </xf>
    <xf numFmtId="3" fontId="6" fillId="0" borderId="2" xfId="19" applyNumberFormat="1" applyFont="1" applyFill="1" applyBorder="1" applyAlignment="1">
      <alignment horizontal="center" vertical="center" wrapText="1"/>
      <protection/>
    </xf>
    <xf numFmtId="4" fontId="7" fillId="0" borderId="0" xfId="19" applyNumberFormat="1" applyFont="1" applyFill="1" applyBorder="1">
      <alignment/>
      <protection/>
    </xf>
    <xf numFmtId="4" fontId="7" fillId="0" borderId="0" xfId="19" applyNumberFormat="1" applyFont="1" applyFill="1">
      <alignment/>
      <protection/>
    </xf>
    <xf numFmtId="4" fontId="8" fillId="0" borderId="5" xfId="19" applyNumberFormat="1" applyFont="1" applyFill="1" applyBorder="1" applyAlignment="1">
      <alignment horizontal="center" vertical="center" wrapText="1"/>
      <protection/>
    </xf>
    <xf numFmtId="4" fontId="8" fillId="0" borderId="6" xfId="19" applyNumberFormat="1" applyFont="1" applyFill="1" applyBorder="1" applyAlignment="1">
      <alignment horizontal="center" vertical="center" wrapText="1"/>
      <protection/>
    </xf>
    <xf numFmtId="3" fontId="9" fillId="0" borderId="6" xfId="19" applyNumberFormat="1" applyFont="1" applyFill="1" applyBorder="1" applyAlignment="1">
      <alignment horizontal="right" vertical="center" wrapText="1"/>
      <protection/>
    </xf>
    <xf numFmtId="3" fontId="9" fillId="0" borderId="2" xfId="19" applyNumberFormat="1" applyFont="1" applyFill="1" applyBorder="1" applyAlignment="1">
      <alignment horizontal="right" vertical="center" wrapText="1"/>
      <protection/>
    </xf>
    <xf numFmtId="164" fontId="6" fillId="0" borderId="2" xfId="19" applyNumberFormat="1" applyFont="1" applyFill="1" applyBorder="1" applyAlignment="1">
      <alignment horizontal="center" vertical="center" wrapText="1"/>
      <protection/>
    </xf>
    <xf numFmtId="3" fontId="10" fillId="0" borderId="0" xfId="19" applyNumberFormat="1" applyFont="1" applyFill="1" applyBorder="1" applyAlignment="1">
      <alignment horizontal="center" vertical="center" wrapText="1"/>
      <protection/>
    </xf>
    <xf numFmtId="3" fontId="10" fillId="0" borderId="0" xfId="19" applyNumberFormat="1" applyFont="1" applyFill="1" applyAlignment="1">
      <alignment horizontal="center" vertical="center" wrapText="1"/>
      <protection/>
    </xf>
    <xf numFmtId="4" fontId="11" fillId="0" borderId="2" xfId="19" applyNumberFormat="1" applyFont="1" applyFill="1" applyBorder="1" applyAlignment="1">
      <alignment horizontal="left" vertical="center" wrapText="1"/>
      <protection/>
    </xf>
    <xf numFmtId="4" fontId="6" fillId="0" borderId="2" xfId="19" applyNumberFormat="1" applyFont="1" applyFill="1" applyBorder="1" applyAlignment="1">
      <alignment horizontal="left" vertical="center" wrapText="1"/>
      <protection/>
    </xf>
    <xf numFmtId="3" fontId="9" fillId="0" borderId="6" xfId="19" applyNumberFormat="1" applyFont="1" applyFill="1" applyBorder="1" applyAlignment="1">
      <alignment vertical="center"/>
      <protection/>
    </xf>
    <xf numFmtId="4" fontId="6" fillId="0" borderId="0" xfId="19" applyNumberFormat="1" applyFont="1" applyFill="1" applyBorder="1" applyAlignment="1">
      <alignment vertical="center"/>
      <protection/>
    </xf>
    <xf numFmtId="4" fontId="6" fillId="0" borderId="0" xfId="19" applyNumberFormat="1" applyFont="1" applyFill="1" applyAlignment="1">
      <alignment vertical="center"/>
      <protection/>
    </xf>
    <xf numFmtId="1" fontId="12" fillId="0" borderId="2" xfId="19" applyNumberFormat="1" applyFont="1" applyFill="1" applyBorder="1" applyAlignment="1">
      <alignment horizontal="center" vertical="center"/>
      <protection/>
    </xf>
    <xf numFmtId="4" fontId="12" fillId="0" borderId="2" xfId="19" applyNumberFormat="1" applyFont="1" applyFill="1" applyBorder="1" applyAlignment="1">
      <alignment vertical="center" wrapText="1"/>
      <protection/>
    </xf>
    <xf numFmtId="3" fontId="12" fillId="0" borderId="2" xfId="19" applyNumberFormat="1" applyFont="1" applyFill="1" applyBorder="1" applyAlignment="1">
      <alignment vertical="center"/>
      <protection/>
    </xf>
    <xf numFmtId="4" fontId="13" fillId="0" borderId="0" xfId="19" applyNumberFormat="1" applyFont="1" applyFill="1" applyBorder="1" applyAlignment="1">
      <alignment vertical="center"/>
      <protection/>
    </xf>
    <xf numFmtId="4" fontId="13" fillId="0" borderId="0" xfId="19" applyNumberFormat="1" applyFont="1" applyFill="1" applyAlignment="1">
      <alignment vertical="center"/>
      <protection/>
    </xf>
    <xf numFmtId="0" fontId="6" fillId="0" borderId="2" xfId="18" applyFont="1" applyFill="1" applyBorder="1" applyAlignment="1">
      <alignment horizontal="center" vertical="center"/>
      <protection/>
    </xf>
    <xf numFmtId="0" fontId="0" fillId="0" borderId="2" xfId="18" applyFont="1" applyFill="1" applyBorder="1" applyAlignment="1">
      <alignment horizontal="left" vertical="center" wrapText="1"/>
      <protection/>
    </xf>
    <xf numFmtId="3" fontId="0" fillId="0" borderId="2" xfId="19" applyNumberFormat="1" applyFont="1" applyFill="1" applyBorder="1" applyAlignment="1">
      <alignment horizontal="right" vertical="center" wrapText="1"/>
      <protection/>
    </xf>
    <xf numFmtId="3" fontId="6" fillId="0" borderId="2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>
      <alignment/>
      <protection/>
    </xf>
    <xf numFmtId="0" fontId="0" fillId="0" borderId="2" xfId="18" applyFont="1" applyFill="1" applyBorder="1" applyAlignment="1">
      <alignment horizontal="left" vertical="center" wrapText="1"/>
      <protection/>
    </xf>
    <xf numFmtId="0" fontId="14" fillId="0" borderId="2" xfId="18" applyFont="1" applyFill="1" applyBorder="1" applyAlignment="1">
      <alignment horizontal="center" vertical="center"/>
      <protection/>
    </xf>
    <xf numFmtId="0" fontId="0" fillId="0" borderId="2" xfId="18" applyFont="1" applyFill="1" applyBorder="1" applyAlignment="1">
      <alignment vertical="center" wrapText="1"/>
      <protection/>
    </xf>
    <xf numFmtId="3" fontId="15" fillId="0" borderId="2" xfId="19" applyNumberFormat="1" applyFont="1" applyFill="1" applyBorder="1" applyAlignment="1">
      <alignment horizontal="right" vertical="center" wrapText="1"/>
      <protection/>
    </xf>
    <xf numFmtId="3" fontId="14" fillId="0" borderId="2" xfId="19" applyNumberFormat="1" applyFont="1" applyFill="1" applyBorder="1" applyAlignment="1">
      <alignment horizontal="right" vertical="center" wrapText="1"/>
      <protection/>
    </xf>
    <xf numFmtId="0" fontId="15" fillId="0" borderId="0" xfId="18" applyFont="1" applyFill="1">
      <alignment/>
      <protection/>
    </xf>
    <xf numFmtId="0" fontId="6" fillId="0" borderId="2" xfId="18" applyFont="1" applyFill="1" applyBorder="1" applyAlignment="1">
      <alignment horizontal="center" vertical="center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0" fontId="0" fillId="0" borderId="2" xfId="18" applyFont="1" applyFill="1" applyBorder="1" applyAlignment="1">
      <alignment horizontal="center" vertical="center"/>
      <protection/>
    </xf>
    <xf numFmtId="4" fontId="0" fillId="0" borderId="2" xfId="19" applyNumberFormat="1" applyFont="1" applyFill="1" applyBorder="1" applyAlignment="1">
      <alignment horizontal="left" vertical="center" wrapText="1"/>
      <protection/>
    </xf>
    <xf numFmtId="1" fontId="0" fillId="0" borderId="2" xfId="19" applyNumberFormat="1" applyFont="1" applyFill="1" applyBorder="1" applyAlignment="1">
      <alignment horizontal="center" vertical="center"/>
      <protection/>
    </xf>
    <xf numFmtId="4" fontId="0" fillId="0" borderId="2" xfId="19" applyNumberFormat="1" applyFont="1" applyFill="1" applyBorder="1" applyAlignment="1">
      <alignment vertical="center" wrapText="1"/>
      <protection/>
    </xf>
    <xf numFmtId="1" fontId="0" fillId="0" borderId="2" xfId="19" applyNumberFormat="1" applyFont="1" applyFill="1" applyBorder="1" applyAlignment="1">
      <alignment horizontal="center" vertical="center"/>
      <protection/>
    </xf>
    <xf numFmtId="4" fontId="0" fillId="0" borderId="2" xfId="19" applyNumberFormat="1" applyFont="1" applyFill="1" applyBorder="1" applyAlignment="1">
      <alignment vertical="center" wrapText="1"/>
      <protection/>
    </xf>
    <xf numFmtId="4" fontId="0" fillId="0" borderId="0" xfId="19" applyNumberFormat="1" applyFont="1" applyFill="1">
      <alignment/>
      <protection/>
    </xf>
    <xf numFmtId="4" fontId="12" fillId="0" borderId="2" xfId="19" applyNumberFormat="1" applyFont="1" applyFill="1" applyBorder="1" applyAlignment="1">
      <alignment horizontal="left" vertical="center" wrapText="1"/>
      <protection/>
    </xf>
    <xf numFmtId="4" fontId="16" fillId="0" borderId="0" xfId="19" applyNumberFormat="1" applyFont="1" applyFill="1" applyAlignment="1">
      <alignment vertical="center"/>
      <protection/>
    </xf>
    <xf numFmtId="0" fontId="0" fillId="0" borderId="2" xfId="18" applyFont="1" applyFill="1" applyBorder="1" applyAlignment="1">
      <alignment vertical="center" wrapText="1"/>
      <protection/>
    </xf>
    <xf numFmtId="3" fontId="12" fillId="0" borderId="2" xfId="19" applyNumberFormat="1" applyFont="1" applyFill="1" applyBorder="1" applyAlignment="1">
      <alignment horizontal="right" vertical="center" wrapText="1"/>
      <protection/>
    </xf>
    <xf numFmtId="0" fontId="15" fillId="0" borderId="2" xfId="18" applyFont="1" applyFill="1" applyBorder="1" applyAlignment="1">
      <alignment horizontal="center" vertical="center"/>
      <protection/>
    </xf>
    <xf numFmtId="0" fontId="15" fillId="0" borderId="2" xfId="18" applyFont="1" applyFill="1" applyBorder="1" applyAlignment="1">
      <alignment vertical="center" wrapText="1"/>
      <protection/>
    </xf>
    <xf numFmtId="0" fontId="15" fillId="0" borderId="2" xfId="18" applyFont="1" applyFill="1" applyBorder="1" applyAlignment="1">
      <alignment horizontal="center" vertical="center"/>
      <protection/>
    </xf>
    <xf numFmtId="0" fontId="15" fillId="0" borderId="2" xfId="18" applyFont="1" applyFill="1" applyBorder="1" applyAlignment="1">
      <alignment vertical="center" wrapText="1"/>
      <protection/>
    </xf>
    <xf numFmtId="0" fontId="15" fillId="0" borderId="0" xfId="18" applyFont="1" applyFill="1" applyAlignment="1">
      <alignment vertical="center"/>
      <protection/>
    </xf>
    <xf numFmtId="0" fontId="15" fillId="0" borderId="0" xfId="18" applyFont="1" applyFill="1" applyAlignment="1">
      <alignment vertical="center"/>
      <protection/>
    </xf>
    <xf numFmtId="3" fontId="0" fillId="0" borderId="0" xfId="18" applyNumberFormat="1" applyFont="1" applyFill="1">
      <alignment/>
      <protection/>
    </xf>
    <xf numFmtId="9" fontId="0" fillId="0" borderId="2" xfId="18" applyNumberFormat="1" applyFont="1" applyFill="1" applyBorder="1" applyAlignment="1">
      <alignment vertical="center" wrapText="1"/>
      <protection/>
    </xf>
    <xf numFmtId="0" fontId="0" fillId="0" borderId="2" xfId="18" applyFont="1" applyFill="1" applyBorder="1" applyAlignment="1">
      <alignment horizontal="center" vertical="center"/>
      <protection/>
    </xf>
    <xf numFmtId="4" fontId="0" fillId="0" borderId="0" xfId="19" applyNumberFormat="1" applyFont="1" applyFill="1" applyAlignment="1">
      <alignment vertical="center"/>
      <protection/>
    </xf>
    <xf numFmtId="0" fontId="17" fillId="0" borderId="2" xfId="18" applyFont="1" applyFill="1" applyBorder="1" applyAlignment="1">
      <alignment horizontal="left" vertical="center" wrapText="1"/>
      <protection/>
    </xf>
    <xf numFmtId="4" fontId="14" fillId="0" borderId="0" xfId="19" applyNumberFormat="1" applyFont="1" applyFill="1">
      <alignment/>
      <protection/>
    </xf>
    <xf numFmtId="4" fontId="0" fillId="0" borderId="2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>
      <alignment/>
      <protection/>
    </xf>
    <xf numFmtId="3" fontId="15" fillId="0" borderId="0" xfId="19" applyNumberFormat="1" applyFont="1" applyFill="1">
      <alignment/>
      <protection/>
    </xf>
    <xf numFmtId="4" fontId="15" fillId="0" borderId="0" xfId="19" applyNumberFormat="1" applyFont="1" applyFill="1">
      <alignment/>
      <protection/>
    </xf>
    <xf numFmtId="164" fontId="6" fillId="0" borderId="4" xfId="19" applyNumberFormat="1" applyFont="1" applyFill="1" applyBorder="1" applyAlignment="1">
      <alignment horizontal="center" vertical="center" wrapText="1"/>
      <protection/>
    </xf>
    <xf numFmtId="3" fontId="6" fillId="0" borderId="4" xfId="19" applyNumberFormat="1" applyFont="1" applyFill="1" applyBorder="1" applyAlignment="1">
      <alignment horizontal="center" vertical="center" wrapText="1"/>
      <protection/>
    </xf>
    <xf numFmtId="4" fontId="15" fillId="0" borderId="2" xfId="19" applyNumberFormat="1" applyFont="1" applyFill="1" applyBorder="1">
      <alignment/>
      <protection/>
    </xf>
    <xf numFmtId="3" fontId="0" fillId="0" borderId="2" xfId="19" applyNumberFormat="1" applyFont="1" applyFill="1" applyBorder="1" applyAlignment="1">
      <alignment vertical="center"/>
      <protection/>
    </xf>
    <xf numFmtId="3" fontId="0" fillId="0" borderId="2" xfId="18" applyNumberFormat="1" applyFont="1" applyFill="1" applyBorder="1" applyAlignment="1">
      <alignment vertical="center"/>
      <protection/>
    </xf>
    <xf numFmtId="4" fontId="0" fillId="0" borderId="2" xfId="19" applyNumberFormat="1" applyFont="1" applyFill="1" applyBorder="1" applyAlignment="1">
      <alignment vertical="center"/>
      <protection/>
    </xf>
    <xf numFmtId="0" fontId="17" fillId="0" borderId="2" xfId="18" applyFont="1" applyFill="1" applyBorder="1" applyAlignment="1">
      <alignment vertical="center" wrapText="1"/>
      <protection/>
    </xf>
    <xf numFmtId="1" fontId="11" fillId="0" borderId="2" xfId="19" applyNumberFormat="1" applyFont="1" applyFill="1" applyBorder="1" applyAlignment="1">
      <alignment horizontal="left" vertical="center" wrapText="1"/>
      <protection/>
    </xf>
    <xf numFmtId="3" fontId="9" fillId="0" borderId="2" xfId="19" applyNumberFormat="1" applyFont="1" applyFill="1" applyBorder="1" applyAlignment="1">
      <alignment vertical="center"/>
      <protection/>
    </xf>
    <xf numFmtId="4" fontId="15" fillId="0" borderId="0" xfId="19" applyNumberFormat="1" applyFont="1" applyFill="1" applyAlignment="1">
      <alignment vertical="center"/>
      <protection/>
    </xf>
    <xf numFmtId="3" fontId="12" fillId="0" borderId="2" xfId="19" applyNumberFormat="1" applyFont="1" applyFill="1" applyBorder="1" applyAlignment="1">
      <alignment horizontal="center" vertical="center"/>
      <protection/>
    </xf>
    <xf numFmtId="3" fontId="12" fillId="0" borderId="2" xfId="19" applyNumberFormat="1" applyFont="1" applyFill="1" applyBorder="1" applyAlignment="1">
      <alignment horizontal="left" vertical="center" wrapText="1"/>
      <protection/>
    </xf>
    <xf numFmtId="3" fontId="6" fillId="0" borderId="0" xfId="19" applyNumberFormat="1" applyFont="1" applyFill="1" applyAlignment="1">
      <alignment vertical="center"/>
      <protection/>
    </xf>
    <xf numFmtId="1" fontId="0" fillId="0" borderId="2" xfId="19" applyNumberFormat="1" applyFont="1" applyFill="1" applyBorder="1" applyAlignment="1">
      <alignment vertical="center" wrapText="1"/>
      <protection/>
    </xf>
    <xf numFmtId="1" fontId="15" fillId="0" borderId="2" xfId="19" applyNumberFormat="1" applyFont="1" applyFill="1" applyBorder="1" applyAlignment="1">
      <alignment horizontal="center" vertical="center"/>
      <protection/>
    </xf>
    <xf numFmtId="1" fontId="15" fillId="0" borderId="2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 applyFill="1" applyBorder="1">
      <alignment/>
      <protection/>
    </xf>
    <xf numFmtId="4" fontId="0" fillId="0" borderId="2" xfId="19" applyNumberFormat="1" applyFont="1" applyFill="1" applyBorder="1" applyAlignment="1">
      <alignment horizontal="center" vertical="center"/>
      <protection/>
    </xf>
    <xf numFmtId="1" fontId="0" fillId="0" borderId="2" xfId="19" applyNumberFormat="1" applyFont="1" applyFill="1" applyBorder="1" applyAlignment="1">
      <alignment horizontal="left" vertical="center" wrapText="1"/>
      <protection/>
    </xf>
    <xf numFmtId="1" fontId="14" fillId="0" borderId="2" xfId="19" applyNumberFormat="1" applyFont="1" applyFill="1" applyBorder="1" applyAlignment="1">
      <alignment horizontal="center" vertical="center"/>
      <protection/>
    </xf>
    <xf numFmtId="3" fontId="12" fillId="0" borderId="2" xfId="18" applyNumberFormat="1" applyFont="1" applyFill="1" applyBorder="1" applyAlignment="1">
      <alignment vertical="center"/>
      <protection/>
    </xf>
    <xf numFmtId="0" fontId="18" fillId="0" borderId="2" xfId="18" applyFont="1" applyFill="1" applyBorder="1" applyAlignment="1">
      <alignment horizontal="right" vertical="center" wrapText="1"/>
      <protection/>
    </xf>
    <xf numFmtId="3" fontId="14" fillId="0" borderId="0" xfId="19" applyNumberFormat="1" applyFont="1" applyFill="1">
      <alignment/>
      <protection/>
    </xf>
    <xf numFmtId="1" fontId="18" fillId="0" borderId="2" xfId="19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95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tabSelected="1" workbookViewId="0" topLeftCell="A1">
      <pane ySplit="4" topLeftCell="BM113" activePane="bottomLeft" state="frozen"/>
      <selection pane="topLeft" activeCell="A1" sqref="A1"/>
      <selection pane="bottomLeft" activeCell="B146" sqref="B146"/>
    </sheetView>
  </sheetViews>
  <sheetFormatPr defaultColWidth="9.140625" defaultRowHeight="12"/>
  <cols>
    <col min="1" max="1" width="4.140625" style="96" customWidth="1"/>
    <col min="2" max="2" width="43.8515625" style="96" customWidth="1"/>
    <col min="3" max="3" width="13.421875" style="97" customWidth="1"/>
    <col min="4" max="4" width="13.8515625" style="97" customWidth="1"/>
    <col min="5" max="5" width="13.140625" style="97" customWidth="1"/>
    <col min="6" max="6" width="13.28125" style="99" customWidth="1"/>
    <col min="7" max="7" width="13.140625" style="99" customWidth="1"/>
    <col min="8" max="8" width="13.28125" style="97" customWidth="1"/>
    <col min="9" max="9" width="8.8515625" style="97" customWidth="1"/>
    <col min="10" max="10" width="13.8515625" style="99" customWidth="1"/>
    <col min="11" max="11" width="13.28125" style="99" customWidth="1"/>
    <col min="12" max="12" width="13.140625" style="97" customWidth="1"/>
    <col min="13" max="13" width="9.140625" style="96" customWidth="1"/>
    <col min="14" max="34" width="9.28125" style="96" customWidth="1"/>
    <col min="35" max="16384" width="9.140625" style="96" customWidth="1"/>
  </cols>
  <sheetData>
    <row r="1" spans="1:13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7.25" customHeight="1">
      <c r="A2" s="3" t="s">
        <v>1</v>
      </c>
      <c r="B2" s="4" t="s">
        <v>2</v>
      </c>
      <c r="C2" s="3" t="s">
        <v>3</v>
      </c>
      <c r="D2" s="3"/>
      <c r="E2" s="3"/>
      <c r="F2" s="3" t="s">
        <v>4</v>
      </c>
      <c r="G2" s="3"/>
      <c r="H2" s="3"/>
      <c r="I2" s="5" t="s">
        <v>5</v>
      </c>
      <c r="J2" s="3" t="s">
        <v>6</v>
      </c>
      <c r="K2" s="3"/>
      <c r="L2" s="3"/>
      <c r="M2" s="5" t="s">
        <v>7</v>
      </c>
    </row>
    <row r="3" spans="1:23" s="6" customFormat="1" ht="14.25" customHeight="1">
      <c r="A3" s="3"/>
      <c r="B3" s="4"/>
      <c r="C3" s="7" t="s">
        <v>8</v>
      </c>
      <c r="D3" s="7" t="s">
        <v>9</v>
      </c>
      <c r="E3" s="7" t="s">
        <v>10</v>
      </c>
      <c r="F3" s="7" t="s">
        <v>8</v>
      </c>
      <c r="G3" s="7" t="s">
        <v>9</v>
      </c>
      <c r="H3" s="7" t="s">
        <v>10</v>
      </c>
      <c r="I3" s="8"/>
      <c r="J3" s="7" t="s">
        <v>8</v>
      </c>
      <c r="K3" s="7" t="s">
        <v>9</v>
      </c>
      <c r="L3" s="7" t="s">
        <v>10</v>
      </c>
      <c r="M3" s="8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13" customFormat="1" ht="9" customHeight="1">
      <c r="A4" s="10">
        <v>1</v>
      </c>
      <c r="B4" s="10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11">
        <v>9</v>
      </c>
      <c r="J4" s="7">
        <v>10</v>
      </c>
      <c r="K4" s="7">
        <v>11</v>
      </c>
      <c r="L4" s="7">
        <v>12</v>
      </c>
      <c r="M4" s="7">
        <v>13</v>
      </c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20" customFormat="1" ht="12.75">
      <c r="A5" s="14" t="s">
        <v>11</v>
      </c>
      <c r="B5" s="15"/>
      <c r="C5" s="16">
        <f>SUM(C6,C113,C116)</f>
        <v>695154870</v>
      </c>
      <c r="D5" s="16">
        <f>SUM(D6,D113,D116)</f>
        <v>213353343</v>
      </c>
      <c r="E5" s="17">
        <f aca="true" t="shared" si="0" ref="E5:E23">SUM(C5:D5)</f>
        <v>908508213</v>
      </c>
      <c r="F5" s="16">
        <f>SUM(F6,F113,F116)</f>
        <v>696191349.12</v>
      </c>
      <c r="G5" s="16">
        <f>SUM(G6,G113,G116)</f>
        <v>216638708.89</v>
      </c>
      <c r="H5" s="17">
        <f aca="true" t="shared" si="1" ref="H5:H36">SUM(F5:G5)</f>
        <v>912830058.01</v>
      </c>
      <c r="I5" s="18">
        <f aca="true" t="shared" si="2" ref="I5:I24">H5/E5</f>
        <v>1.0047570786352373</v>
      </c>
      <c r="J5" s="16">
        <f>SUM(J6,J113,J116)</f>
        <v>783636992</v>
      </c>
      <c r="K5" s="16">
        <f>SUM(K6,K113,K116)</f>
        <v>210995482</v>
      </c>
      <c r="L5" s="17">
        <f aca="true" t="shared" si="3" ref="L5:L36">SUM(J5:K5)</f>
        <v>994632474</v>
      </c>
      <c r="M5" s="18">
        <f aca="true" t="shared" si="4" ref="M5:M36">L5/H5</f>
        <v>1.0896140692040006</v>
      </c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25" customFormat="1" ht="12.75">
      <c r="A6" s="21" t="s">
        <v>12</v>
      </c>
      <c r="B6" s="22"/>
      <c r="C6" s="23">
        <f>SUM(C7,C21,C26,C36,C70,C85,C58,C110)</f>
        <v>558772214</v>
      </c>
      <c r="D6" s="23">
        <f>SUM(D7,D21,D26,D36,D70,D85,D58,D110)</f>
        <v>103628184</v>
      </c>
      <c r="E6" s="23">
        <f t="shared" si="0"/>
        <v>662400398</v>
      </c>
      <c r="F6" s="23">
        <f>SUM(F7,F21,F26,F36,F70,F85,F58,F110)</f>
        <v>559808693.12</v>
      </c>
      <c r="G6" s="23">
        <f>SUM(G7,G21,G26,G36,G70,G85,G58,G110)</f>
        <v>106913549.89</v>
      </c>
      <c r="H6" s="23">
        <f t="shared" si="1"/>
        <v>666722243.01</v>
      </c>
      <c r="I6" s="18">
        <f t="shared" si="2"/>
        <v>1.0065245205513902</v>
      </c>
      <c r="J6" s="23">
        <f>SUM(J7,J21,J26,J36,J70,J85,J58,J110)</f>
        <v>634266016</v>
      </c>
      <c r="K6" s="23">
        <f>SUM(K7,K21,K26,K36,K70,K85,K58,K110)</f>
        <v>102318722</v>
      </c>
      <c r="L6" s="23">
        <f t="shared" si="3"/>
        <v>736584738</v>
      </c>
      <c r="M6" s="18">
        <f t="shared" si="4"/>
        <v>1.104785007133701</v>
      </c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30" customFormat="1" ht="15" customHeight="1">
      <c r="A7" s="26">
        <v>1</v>
      </c>
      <c r="B7" s="27" t="s">
        <v>13</v>
      </c>
      <c r="C7" s="28">
        <f>SUM(C8:C20)</f>
        <v>126423314</v>
      </c>
      <c r="D7" s="28">
        <f>SUM(D8:D20)</f>
        <v>9526200</v>
      </c>
      <c r="E7" s="28">
        <f t="shared" si="0"/>
        <v>135949514</v>
      </c>
      <c r="F7" s="28">
        <f>SUM(F8:F20)</f>
        <v>126324700</v>
      </c>
      <c r="G7" s="28">
        <f>SUM(G8:G20)</f>
        <v>9526200</v>
      </c>
      <c r="H7" s="28">
        <f t="shared" si="1"/>
        <v>135850900</v>
      </c>
      <c r="I7" s="18">
        <f t="shared" si="2"/>
        <v>0.9992746277857234</v>
      </c>
      <c r="J7" s="28">
        <f>SUM(J8:J20)</f>
        <v>130024800</v>
      </c>
      <c r="K7" s="28">
        <f>SUM(K8:K20)</f>
        <v>12623530</v>
      </c>
      <c r="L7" s="28">
        <f t="shared" si="3"/>
        <v>142648330</v>
      </c>
      <c r="M7" s="18">
        <f t="shared" si="4"/>
        <v>1.0500359585398404</v>
      </c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13" s="35" customFormat="1" ht="12.75" customHeight="1">
      <c r="A8" s="31"/>
      <c r="B8" s="32" t="s">
        <v>14</v>
      </c>
      <c r="C8" s="33">
        <f>86000000+16359400+1750000+1750000</f>
        <v>105859400</v>
      </c>
      <c r="D8" s="33"/>
      <c r="E8" s="34">
        <f t="shared" si="0"/>
        <v>105859400</v>
      </c>
      <c r="F8" s="33">
        <f>87750000+18109400</f>
        <v>105859400</v>
      </c>
      <c r="G8" s="33"/>
      <c r="H8" s="34">
        <f t="shared" si="1"/>
        <v>105859400</v>
      </c>
      <c r="I8" s="18">
        <f t="shared" si="2"/>
        <v>1</v>
      </c>
      <c r="J8" s="33">
        <f>90480000+18679400</f>
        <v>109159400</v>
      </c>
      <c r="K8" s="33"/>
      <c r="L8" s="34">
        <f t="shared" si="3"/>
        <v>109159400</v>
      </c>
      <c r="M8" s="18">
        <f t="shared" si="4"/>
        <v>1.0311734243723278</v>
      </c>
    </row>
    <row r="9" spans="1:13" s="35" customFormat="1" ht="13.5" customHeight="1">
      <c r="A9" s="31"/>
      <c r="B9" s="36" t="s">
        <v>15</v>
      </c>
      <c r="C9" s="33">
        <f>4480600+2344500+1200000+300000</f>
        <v>8325100</v>
      </c>
      <c r="D9" s="33"/>
      <c r="E9" s="34">
        <f t="shared" si="0"/>
        <v>8325100</v>
      </c>
      <c r="F9" s="33">
        <f>5680600+2644500</f>
        <v>8325100</v>
      </c>
      <c r="G9" s="33"/>
      <c r="H9" s="34">
        <f t="shared" si="1"/>
        <v>8325100</v>
      </c>
      <c r="I9" s="18">
        <f t="shared" si="2"/>
        <v>1</v>
      </c>
      <c r="J9" s="33">
        <f>5880600+2724500</f>
        <v>8605100</v>
      </c>
      <c r="K9" s="33"/>
      <c r="L9" s="34">
        <f t="shared" si="3"/>
        <v>8605100</v>
      </c>
      <c r="M9" s="18">
        <f t="shared" si="4"/>
        <v>1.0336332296308752</v>
      </c>
    </row>
    <row r="10" spans="1:13" s="41" customFormat="1" ht="11.25">
      <c r="A10" s="37"/>
      <c r="B10" s="38" t="s">
        <v>16</v>
      </c>
      <c r="C10" s="33">
        <f>2000+39000</f>
        <v>41000</v>
      </c>
      <c r="D10" s="39"/>
      <c r="E10" s="40">
        <f t="shared" si="0"/>
        <v>41000</v>
      </c>
      <c r="F10" s="33">
        <v>45000</v>
      </c>
      <c r="G10" s="39"/>
      <c r="H10" s="40">
        <f t="shared" si="1"/>
        <v>45000</v>
      </c>
      <c r="I10" s="18">
        <f t="shared" si="2"/>
        <v>1.0975609756097562</v>
      </c>
      <c r="J10" s="33">
        <f>2050+39500</f>
        <v>41550</v>
      </c>
      <c r="K10" s="39"/>
      <c r="L10" s="40">
        <f t="shared" si="3"/>
        <v>41550</v>
      </c>
      <c r="M10" s="18">
        <f t="shared" si="4"/>
        <v>0.9233333333333333</v>
      </c>
    </row>
    <row r="11" spans="1:13" s="43" customFormat="1" ht="11.25">
      <c r="A11" s="42"/>
      <c r="B11" s="32" t="s">
        <v>17</v>
      </c>
      <c r="C11" s="33">
        <f>70000+4200</f>
        <v>74200</v>
      </c>
      <c r="D11" s="33"/>
      <c r="E11" s="34">
        <f t="shared" si="0"/>
        <v>74200</v>
      </c>
      <c r="F11" s="33">
        <f>70000+4200</f>
        <v>74200</v>
      </c>
      <c r="G11" s="33"/>
      <c r="H11" s="34">
        <f t="shared" si="1"/>
        <v>74200</v>
      </c>
      <c r="I11" s="18">
        <f t="shared" si="2"/>
        <v>1</v>
      </c>
      <c r="J11" s="33">
        <f>70500+4250</f>
        <v>74750</v>
      </c>
      <c r="K11" s="33"/>
      <c r="L11" s="34">
        <f t="shared" si="3"/>
        <v>74750</v>
      </c>
      <c r="M11" s="18">
        <f t="shared" si="4"/>
        <v>1.0074123989218329</v>
      </c>
    </row>
    <row r="12" spans="1:13" s="44" customFormat="1" ht="12" customHeight="1">
      <c r="A12" s="42"/>
      <c r="B12" s="38" t="s">
        <v>18</v>
      </c>
      <c r="C12" s="33">
        <v>2000</v>
      </c>
      <c r="D12" s="33"/>
      <c r="E12" s="34">
        <f t="shared" si="0"/>
        <v>2000</v>
      </c>
      <c r="F12" s="33">
        <v>1000</v>
      </c>
      <c r="G12" s="33"/>
      <c r="H12" s="34">
        <f t="shared" si="1"/>
        <v>1000</v>
      </c>
      <c r="I12" s="18">
        <f t="shared" si="2"/>
        <v>0.5</v>
      </c>
      <c r="J12" s="33">
        <v>1000</v>
      </c>
      <c r="K12" s="33"/>
      <c r="L12" s="34">
        <f t="shared" si="3"/>
        <v>1000</v>
      </c>
      <c r="M12" s="18">
        <f t="shared" si="4"/>
        <v>1</v>
      </c>
    </row>
    <row r="13" spans="1:13" s="43" customFormat="1" ht="22.5" customHeight="1">
      <c r="A13" s="45"/>
      <c r="B13" s="46" t="s">
        <v>19</v>
      </c>
      <c r="C13" s="33">
        <f>440000+51614</f>
        <v>491614</v>
      </c>
      <c r="D13" s="33"/>
      <c r="E13" s="34">
        <f t="shared" si="0"/>
        <v>491614</v>
      </c>
      <c r="F13" s="33">
        <v>420000</v>
      </c>
      <c r="G13" s="33"/>
      <c r="H13" s="34">
        <f t="shared" si="1"/>
        <v>420000</v>
      </c>
      <c r="I13" s="18">
        <f t="shared" si="2"/>
        <v>0.8543288026785242</v>
      </c>
      <c r="J13" s="33">
        <v>420000</v>
      </c>
      <c r="K13" s="33"/>
      <c r="L13" s="34">
        <f t="shared" si="3"/>
        <v>420000</v>
      </c>
      <c r="M13" s="18">
        <f t="shared" si="4"/>
        <v>1</v>
      </c>
    </row>
    <row r="14" spans="1:13" s="35" customFormat="1" ht="11.25">
      <c r="A14" s="31"/>
      <c r="B14" s="36" t="s">
        <v>20</v>
      </c>
      <c r="C14" s="33">
        <v>4100000</v>
      </c>
      <c r="D14" s="33"/>
      <c r="E14" s="34">
        <f t="shared" si="0"/>
        <v>4100000</v>
      </c>
      <c r="F14" s="33">
        <v>4100000</v>
      </c>
      <c r="G14" s="33"/>
      <c r="H14" s="34">
        <f t="shared" si="1"/>
        <v>4100000</v>
      </c>
      <c r="I14" s="18">
        <f t="shared" si="2"/>
        <v>1</v>
      </c>
      <c r="J14" s="33">
        <v>4100000</v>
      </c>
      <c r="K14" s="33"/>
      <c r="L14" s="34">
        <f t="shared" si="3"/>
        <v>4100000</v>
      </c>
      <c r="M14" s="18">
        <f t="shared" si="4"/>
        <v>1</v>
      </c>
    </row>
    <row r="15" spans="1:13" s="35" customFormat="1" ht="22.5">
      <c r="A15" s="31"/>
      <c r="B15" s="36" t="s">
        <v>21</v>
      </c>
      <c r="C15" s="33">
        <v>5200000</v>
      </c>
      <c r="D15" s="33"/>
      <c r="E15" s="34">
        <f t="shared" si="0"/>
        <v>5200000</v>
      </c>
      <c r="F15" s="33">
        <v>5200000</v>
      </c>
      <c r="G15" s="33"/>
      <c r="H15" s="34">
        <f t="shared" si="1"/>
        <v>5200000</v>
      </c>
      <c r="I15" s="18">
        <f t="shared" si="2"/>
        <v>1</v>
      </c>
      <c r="J15" s="33">
        <v>5200000</v>
      </c>
      <c r="K15" s="33"/>
      <c r="L15" s="34">
        <f t="shared" si="3"/>
        <v>5200000</v>
      </c>
      <c r="M15" s="18">
        <f t="shared" si="4"/>
        <v>1</v>
      </c>
    </row>
    <row r="16" spans="1:13" s="35" customFormat="1" ht="11.25">
      <c r="A16" s="47"/>
      <c r="B16" s="48" t="s">
        <v>22</v>
      </c>
      <c r="C16" s="33"/>
      <c r="D16" s="33">
        <f>5100000*104.2%</f>
        <v>5314200</v>
      </c>
      <c r="E16" s="34">
        <f t="shared" si="0"/>
        <v>5314200</v>
      </c>
      <c r="F16" s="33"/>
      <c r="G16" s="33">
        <v>5314200</v>
      </c>
      <c r="H16" s="34">
        <f t="shared" si="1"/>
        <v>5314200</v>
      </c>
      <c r="I16" s="18">
        <f t="shared" si="2"/>
        <v>1</v>
      </c>
      <c r="J16" s="33"/>
      <c r="K16" s="33">
        <v>5365000</v>
      </c>
      <c r="L16" s="34">
        <f t="shared" si="3"/>
        <v>5365000</v>
      </c>
      <c r="M16" s="18">
        <f t="shared" si="4"/>
        <v>1.009559293967107</v>
      </c>
    </row>
    <row r="17" spans="1:13" s="43" customFormat="1" ht="14.25" customHeight="1">
      <c r="A17" s="42"/>
      <c r="B17" s="38" t="s">
        <v>23</v>
      </c>
      <c r="C17" s="33">
        <f>800000+230000</f>
        <v>1030000</v>
      </c>
      <c r="D17" s="33"/>
      <c r="E17" s="34">
        <f t="shared" si="0"/>
        <v>1030000</v>
      </c>
      <c r="F17" s="33">
        <f>800000+200000</f>
        <v>1000000</v>
      </c>
      <c r="G17" s="33"/>
      <c r="H17" s="34">
        <f t="shared" si="1"/>
        <v>1000000</v>
      </c>
      <c r="I17" s="18">
        <f t="shared" si="2"/>
        <v>0.970873786407767</v>
      </c>
      <c r="J17" s="33">
        <f>823000+150000</f>
        <v>973000</v>
      </c>
      <c r="K17" s="33"/>
      <c r="L17" s="34">
        <f t="shared" si="3"/>
        <v>973000</v>
      </c>
      <c r="M17" s="18">
        <f t="shared" si="4"/>
        <v>0.973</v>
      </c>
    </row>
    <row r="18" spans="1:13" s="43" customFormat="1" ht="22.5" customHeight="1">
      <c r="A18" s="42"/>
      <c r="B18" s="38" t="s">
        <v>24</v>
      </c>
      <c r="C18" s="33"/>
      <c r="D18" s="33">
        <f>2100000+2112000</f>
        <v>4212000</v>
      </c>
      <c r="E18" s="34">
        <f t="shared" si="0"/>
        <v>4212000</v>
      </c>
      <c r="F18" s="33"/>
      <c r="G18" s="33">
        <v>4212000</v>
      </c>
      <c r="H18" s="34">
        <f t="shared" si="1"/>
        <v>4212000</v>
      </c>
      <c r="I18" s="18">
        <f t="shared" si="2"/>
        <v>1</v>
      </c>
      <c r="J18" s="33"/>
      <c r="K18" s="33">
        <f>5143620+40000+70910+610000+500000+60000+34000+800000</f>
        <v>7258530</v>
      </c>
      <c r="L18" s="34">
        <f t="shared" si="3"/>
        <v>7258530</v>
      </c>
      <c r="M18" s="18">
        <f t="shared" si="4"/>
        <v>1.7232977207977207</v>
      </c>
    </row>
    <row r="19" spans="1:13" s="44" customFormat="1" ht="11.25" customHeight="1">
      <c r="A19" s="45"/>
      <c r="B19" s="32" t="s">
        <v>25</v>
      </c>
      <c r="C19" s="33">
        <v>100000</v>
      </c>
      <c r="D19" s="33"/>
      <c r="E19" s="34">
        <f t="shared" si="0"/>
        <v>100000</v>
      </c>
      <c r="F19" s="33">
        <v>100000</v>
      </c>
      <c r="G19" s="33"/>
      <c r="H19" s="34">
        <f t="shared" si="1"/>
        <v>100000</v>
      </c>
      <c r="I19" s="18">
        <f t="shared" si="2"/>
        <v>1</v>
      </c>
      <c r="J19" s="33">
        <v>250000</v>
      </c>
      <c r="K19" s="33"/>
      <c r="L19" s="34">
        <f t="shared" si="3"/>
        <v>250000</v>
      </c>
      <c r="M19" s="18">
        <f t="shared" si="4"/>
        <v>2.5</v>
      </c>
    </row>
    <row r="20" spans="1:13" s="51" customFormat="1" ht="11.25">
      <c r="A20" s="49"/>
      <c r="B20" s="50" t="s">
        <v>26</v>
      </c>
      <c r="C20" s="33">
        <f>900000+300000</f>
        <v>1200000</v>
      </c>
      <c r="D20" s="33"/>
      <c r="E20" s="34">
        <f t="shared" si="0"/>
        <v>1200000</v>
      </c>
      <c r="F20" s="33">
        <v>1200000</v>
      </c>
      <c r="G20" s="33"/>
      <c r="H20" s="34">
        <f t="shared" si="1"/>
        <v>1200000</v>
      </c>
      <c r="I20" s="18">
        <f t="shared" si="2"/>
        <v>1</v>
      </c>
      <c r="J20" s="33">
        <f>900000+300000</f>
        <v>1200000</v>
      </c>
      <c r="K20" s="33"/>
      <c r="L20" s="34">
        <f t="shared" si="3"/>
        <v>1200000</v>
      </c>
      <c r="M20" s="18">
        <f t="shared" si="4"/>
        <v>1</v>
      </c>
    </row>
    <row r="21" spans="1:13" s="53" customFormat="1" ht="14.25" customHeight="1">
      <c r="A21" s="26">
        <v>2</v>
      </c>
      <c r="B21" s="52" t="s">
        <v>27</v>
      </c>
      <c r="C21" s="28">
        <f>SUM(C22:C25)</f>
        <v>31900000</v>
      </c>
      <c r="D21" s="28">
        <f>SUM(D22:D25)</f>
        <v>0</v>
      </c>
      <c r="E21" s="28">
        <f t="shared" si="0"/>
        <v>31900000</v>
      </c>
      <c r="F21" s="28">
        <f>SUM(F22:F25)</f>
        <v>31935222</v>
      </c>
      <c r="G21" s="28">
        <f>SUM(G22:G25)</f>
        <v>0</v>
      </c>
      <c r="H21" s="28">
        <f t="shared" si="1"/>
        <v>31935222</v>
      </c>
      <c r="I21" s="18">
        <f t="shared" si="2"/>
        <v>1.0011041379310346</v>
      </c>
      <c r="J21" s="28">
        <f>SUM(J22:J25)</f>
        <v>31300000</v>
      </c>
      <c r="K21" s="28">
        <f>SUM(K22:K25)</f>
        <v>0</v>
      </c>
      <c r="L21" s="28">
        <f t="shared" si="3"/>
        <v>31300000</v>
      </c>
      <c r="M21" s="18">
        <f t="shared" si="4"/>
        <v>0.9801090469951954</v>
      </c>
    </row>
    <row r="22" spans="1:13" s="35" customFormat="1" ht="11.25">
      <c r="A22" s="31"/>
      <c r="B22" s="54" t="s">
        <v>28</v>
      </c>
      <c r="C22" s="33">
        <v>900000</v>
      </c>
      <c r="D22" s="33"/>
      <c r="E22" s="34">
        <f t="shared" si="0"/>
        <v>900000</v>
      </c>
      <c r="F22" s="33">
        <v>900000</v>
      </c>
      <c r="G22" s="33"/>
      <c r="H22" s="34">
        <f t="shared" si="1"/>
        <v>900000</v>
      </c>
      <c r="I22" s="18">
        <f t="shared" si="2"/>
        <v>1</v>
      </c>
      <c r="J22" s="33">
        <v>800000</v>
      </c>
      <c r="K22" s="33"/>
      <c r="L22" s="34">
        <f t="shared" si="3"/>
        <v>800000</v>
      </c>
      <c r="M22" s="18">
        <f t="shared" si="4"/>
        <v>0.8888888888888888</v>
      </c>
    </row>
    <row r="23" spans="1:13" s="35" customFormat="1" ht="12" customHeight="1">
      <c r="A23" s="31"/>
      <c r="B23" s="54" t="s">
        <v>29</v>
      </c>
      <c r="C23" s="33">
        <f>3600000+400000</f>
        <v>4000000</v>
      </c>
      <c r="D23" s="33"/>
      <c r="E23" s="34">
        <f t="shared" si="0"/>
        <v>4000000</v>
      </c>
      <c r="F23" s="33">
        <f>3600000+400000</f>
        <v>4000000</v>
      </c>
      <c r="G23" s="33"/>
      <c r="H23" s="34">
        <f t="shared" si="1"/>
        <v>4000000</v>
      </c>
      <c r="I23" s="18">
        <f t="shared" si="2"/>
        <v>1</v>
      </c>
      <c r="J23" s="33">
        <v>3500000</v>
      </c>
      <c r="K23" s="33"/>
      <c r="L23" s="34">
        <f t="shared" si="3"/>
        <v>3500000</v>
      </c>
      <c r="M23" s="18">
        <f t="shared" si="4"/>
        <v>0.875</v>
      </c>
    </row>
    <row r="24" spans="1:13" s="35" customFormat="1" ht="12" customHeight="1">
      <c r="A24" s="31"/>
      <c r="B24" s="54" t="s">
        <v>30</v>
      </c>
      <c r="C24" s="33">
        <f>3526100+33473900-10000000</f>
        <v>27000000</v>
      </c>
      <c r="E24" s="34">
        <f>SUM(C24:C24)</f>
        <v>27000000</v>
      </c>
      <c r="F24" s="33">
        <f>3526100+33473900-10000000</f>
        <v>27000000</v>
      </c>
      <c r="G24" s="33"/>
      <c r="H24" s="34">
        <f t="shared" si="1"/>
        <v>27000000</v>
      </c>
      <c r="I24" s="18">
        <f t="shared" si="2"/>
        <v>1</v>
      </c>
      <c r="J24" s="33">
        <v>27000000</v>
      </c>
      <c r="K24" s="33"/>
      <c r="L24" s="34">
        <f t="shared" si="3"/>
        <v>27000000</v>
      </c>
      <c r="M24" s="18">
        <f t="shared" si="4"/>
        <v>1</v>
      </c>
    </row>
    <row r="25" spans="1:13" s="35" customFormat="1" ht="21.75" customHeight="1">
      <c r="A25" s="31"/>
      <c r="B25" s="54" t="s">
        <v>31</v>
      </c>
      <c r="C25" s="33"/>
      <c r="D25" s="33"/>
      <c r="E25" s="34">
        <f aca="true" t="shared" si="5" ref="E25:E43">SUM(C25:D25)</f>
        <v>0</v>
      </c>
      <c r="F25" s="33">
        <v>35222</v>
      </c>
      <c r="G25" s="33"/>
      <c r="H25" s="34">
        <f t="shared" si="1"/>
        <v>35222</v>
      </c>
      <c r="I25" s="18"/>
      <c r="J25" s="33"/>
      <c r="K25" s="33"/>
      <c r="L25" s="34">
        <f t="shared" si="3"/>
        <v>0</v>
      </c>
      <c r="M25" s="18">
        <f t="shared" si="4"/>
        <v>0</v>
      </c>
    </row>
    <row r="26" spans="1:13" s="30" customFormat="1" ht="13.5" customHeight="1">
      <c r="A26" s="26">
        <v>3</v>
      </c>
      <c r="B26" s="27" t="s">
        <v>32</v>
      </c>
      <c r="C26" s="28">
        <f>SUM(C27:C32)</f>
        <v>59045939</v>
      </c>
      <c r="D26" s="28">
        <f>SUM(D27:D32)</f>
        <v>92616</v>
      </c>
      <c r="E26" s="55">
        <f t="shared" si="5"/>
        <v>59138555</v>
      </c>
      <c r="F26" s="28">
        <f>SUM(F27:F32)</f>
        <v>53488353</v>
      </c>
      <c r="G26" s="28">
        <f>SUM(G27:G32)</f>
        <v>100016</v>
      </c>
      <c r="H26" s="55">
        <f t="shared" si="1"/>
        <v>53588369</v>
      </c>
      <c r="I26" s="18">
        <f aca="true" t="shared" si="6" ref="I26:I41">H26/E26</f>
        <v>0.9061494485281218</v>
      </c>
      <c r="J26" s="28">
        <f>SUM(J27:J32)</f>
        <v>126555121</v>
      </c>
      <c r="K26" s="28">
        <f>SUM(K27:K32)</f>
        <v>103570</v>
      </c>
      <c r="L26" s="55">
        <f t="shared" si="3"/>
        <v>126658691</v>
      </c>
      <c r="M26" s="18">
        <f t="shared" si="4"/>
        <v>2.36354816098247</v>
      </c>
    </row>
    <row r="27" spans="1:13" s="35" customFormat="1" ht="15" customHeight="1">
      <c r="A27" s="31"/>
      <c r="B27" s="54" t="s">
        <v>33</v>
      </c>
      <c r="C27" s="33">
        <f>30000000-7000000</f>
        <v>23000000</v>
      </c>
      <c r="D27" s="33"/>
      <c r="E27" s="34">
        <f t="shared" si="5"/>
        <v>23000000</v>
      </c>
      <c r="F27" s="33">
        <v>15000000</v>
      </c>
      <c r="G27" s="33"/>
      <c r="H27" s="34">
        <f t="shared" si="1"/>
        <v>15000000</v>
      </c>
      <c r="I27" s="18">
        <f t="shared" si="6"/>
        <v>0.6521739130434783</v>
      </c>
      <c r="J27" s="33">
        <f>31300000+59500000</f>
        <v>90800000</v>
      </c>
      <c r="K27" s="33"/>
      <c r="L27" s="34">
        <f t="shared" si="3"/>
        <v>90800000</v>
      </c>
      <c r="M27" s="18">
        <f t="shared" si="4"/>
        <v>6.053333333333334</v>
      </c>
    </row>
    <row r="28" spans="1:13" s="35" customFormat="1" ht="21.75" customHeight="1">
      <c r="A28" s="31"/>
      <c r="B28" s="54" t="s">
        <v>34</v>
      </c>
      <c r="C28" s="33">
        <v>2600000</v>
      </c>
      <c r="D28" s="33"/>
      <c r="E28" s="34">
        <f t="shared" si="5"/>
        <v>2600000</v>
      </c>
      <c r="F28" s="33">
        <v>5000000</v>
      </c>
      <c r="G28" s="33"/>
      <c r="H28" s="34">
        <f t="shared" si="1"/>
        <v>5000000</v>
      </c>
      <c r="I28" s="18">
        <f t="shared" si="6"/>
        <v>1.9230769230769231</v>
      </c>
      <c r="J28" s="33">
        <v>3900000</v>
      </c>
      <c r="K28" s="33"/>
      <c r="L28" s="34">
        <f t="shared" si="3"/>
        <v>3900000</v>
      </c>
      <c r="M28" s="18">
        <f t="shared" si="4"/>
        <v>0.78</v>
      </c>
    </row>
    <row r="29" spans="1:13" s="35" customFormat="1" ht="11.25">
      <c r="A29" s="31" t="s">
        <v>35</v>
      </c>
      <c r="B29" s="54" t="s">
        <v>36</v>
      </c>
      <c r="C29" s="33">
        <f>7700000+1000000</f>
        <v>8700000</v>
      </c>
      <c r="D29" s="33"/>
      <c r="E29" s="34">
        <f t="shared" si="5"/>
        <v>8700000</v>
      </c>
      <c r="F29" s="33">
        <f>7700000+1000000</f>
        <v>8700000</v>
      </c>
      <c r="G29" s="33"/>
      <c r="H29" s="34">
        <f t="shared" si="1"/>
        <v>8700000</v>
      </c>
      <c r="I29" s="18">
        <f t="shared" si="6"/>
        <v>1</v>
      </c>
      <c r="J29" s="33">
        <v>9000000</v>
      </c>
      <c r="K29" s="33"/>
      <c r="L29" s="34">
        <f t="shared" si="3"/>
        <v>9000000</v>
      </c>
      <c r="M29" s="18">
        <f t="shared" si="4"/>
        <v>1.0344827586206897</v>
      </c>
    </row>
    <row r="30" spans="1:13" s="35" customFormat="1" ht="11.25">
      <c r="A30" s="31"/>
      <c r="B30" s="54" t="s">
        <v>37</v>
      </c>
      <c r="C30" s="33">
        <f>4500000-400000</f>
        <v>4100000</v>
      </c>
      <c r="D30" s="33"/>
      <c r="E30" s="34">
        <f t="shared" si="5"/>
        <v>4100000</v>
      </c>
      <c r="F30" s="33">
        <v>4100000</v>
      </c>
      <c r="G30" s="33"/>
      <c r="H30" s="34">
        <f t="shared" si="1"/>
        <v>4100000</v>
      </c>
      <c r="I30" s="18">
        <f t="shared" si="6"/>
        <v>1</v>
      </c>
      <c r="J30" s="33">
        <v>4000000</v>
      </c>
      <c r="K30" s="33"/>
      <c r="L30" s="34">
        <f t="shared" si="3"/>
        <v>4000000</v>
      </c>
      <c r="M30" s="18">
        <f t="shared" si="4"/>
        <v>0.975609756097561</v>
      </c>
    </row>
    <row r="31" spans="1:13" s="35" customFormat="1" ht="11.25">
      <c r="A31" s="31"/>
      <c r="B31" s="54" t="s">
        <v>38</v>
      </c>
      <c r="C31" s="33">
        <v>5500000</v>
      </c>
      <c r="D31" s="33"/>
      <c r="E31" s="34">
        <f t="shared" si="5"/>
        <v>5500000</v>
      </c>
      <c r="F31" s="33">
        <v>5500000</v>
      </c>
      <c r="G31" s="33"/>
      <c r="H31" s="34">
        <f t="shared" si="1"/>
        <v>5500000</v>
      </c>
      <c r="I31" s="18">
        <f t="shared" si="6"/>
        <v>1</v>
      </c>
      <c r="J31" s="33">
        <v>5700000</v>
      </c>
      <c r="K31" s="33"/>
      <c r="L31" s="34">
        <f t="shared" si="3"/>
        <v>5700000</v>
      </c>
      <c r="M31" s="18">
        <f t="shared" si="4"/>
        <v>1.0363636363636364</v>
      </c>
    </row>
    <row r="32" spans="1:13" s="35" customFormat="1" ht="11.25">
      <c r="A32" s="31"/>
      <c r="B32" s="54" t="s">
        <v>39</v>
      </c>
      <c r="C32" s="33">
        <f>SUM(C33:C35)</f>
        <v>15145939</v>
      </c>
      <c r="D32" s="33">
        <f>SUM(D33:D35)</f>
        <v>92616</v>
      </c>
      <c r="E32" s="34">
        <f t="shared" si="5"/>
        <v>15238555</v>
      </c>
      <c r="F32" s="33">
        <f>SUM(F33:F35)</f>
        <v>15188353</v>
      </c>
      <c r="G32" s="33">
        <f>SUM(G33:G35)</f>
        <v>100016</v>
      </c>
      <c r="H32" s="34">
        <f t="shared" si="1"/>
        <v>15288369</v>
      </c>
      <c r="I32" s="18">
        <f t="shared" si="6"/>
        <v>1.0032689451197965</v>
      </c>
      <c r="J32" s="33">
        <f>SUM(J33:J35)</f>
        <v>13155121</v>
      </c>
      <c r="K32" s="33">
        <f>SUM(K33:K35)</f>
        <v>103570</v>
      </c>
      <c r="L32" s="34">
        <f t="shared" si="3"/>
        <v>13258691</v>
      </c>
      <c r="M32" s="18">
        <f t="shared" si="4"/>
        <v>0.8672403838499712</v>
      </c>
    </row>
    <row r="33" spans="1:13" s="41" customFormat="1" ht="12.75" customHeight="1">
      <c r="A33" s="56"/>
      <c r="B33" s="57" t="s">
        <v>40</v>
      </c>
      <c r="C33" s="39">
        <v>460000</v>
      </c>
      <c r="D33" s="39">
        <v>5176</v>
      </c>
      <c r="E33" s="40">
        <f t="shared" si="5"/>
        <v>465176</v>
      </c>
      <c r="F33" s="39">
        <v>460000</v>
      </c>
      <c r="G33" s="39">
        <v>5277</v>
      </c>
      <c r="H33" s="40">
        <f t="shared" si="1"/>
        <v>465277</v>
      </c>
      <c r="I33" s="18">
        <f t="shared" si="6"/>
        <v>1.0002171221215197</v>
      </c>
      <c r="J33" s="39">
        <v>475000</v>
      </c>
      <c r="K33" s="39"/>
      <c r="L33" s="40">
        <f t="shared" si="3"/>
        <v>475000</v>
      </c>
      <c r="M33" s="18">
        <f t="shared" si="4"/>
        <v>1.020897228962532</v>
      </c>
    </row>
    <row r="34" spans="1:13" s="60" customFormat="1" ht="22.5" customHeight="1">
      <c r="A34" s="58"/>
      <c r="B34" s="59" t="s">
        <v>41</v>
      </c>
      <c r="C34" s="39">
        <f>5135929+5812649+1179661+50000+35341+360000+300000+1989000-279227</f>
        <v>14583353</v>
      </c>
      <c r="D34" s="39">
        <v>40000</v>
      </c>
      <c r="E34" s="40">
        <f t="shared" si="5"/>
        <v>14623353</v>
      </c>
      <c r="F34" s="39">
        <f>5135929+5812649+1179661+50000+35341+360000+300000+1989000-279227</f>
        <v>14583353</v>
      </c>
      <c r="G34" s="39">
        <v>40000</v>
      </c>
      <c r="H34" s="40">
        <f t="shared" si="1"/>
        <v>14623353</v>
      </c>
      <c r="I34" s="18">
        <f t="shared" si="6"/>
        <v>1</v>
      </c>
      <c r="J34" s="39">
        <f>10670958+300000+1185611+366000+28932+30000</f>
        <v>12581501</v>
      </c>
      <c r="K34" s="39">
        <f>8520+40000</f>
        <v>48520</v>
      </c>
      <c r="L34" s="40">
        <f t="shared" si="3"/>
        <v>12630021</v>
      </c>
      <c r="M34" s="18">
        <f t="shared" si="4"/>
        <v>0.863688444093499</v>
      </c>
    </row>
    <row r="35" spans="1:13" s="61" customFormat="1" ht="13.5" customHeight="1">
      <c r="A35" s="56"/>
      <c r="B35" s="57" t="s">
        <v>42</v>
      </c>
      <c r="C35" s="39">
        <f>102586</f>
        <v>102586</v>
      </c>
      <c r="D35" s="39">
        <v>47440</v>
      </c>
      <c r="E35" s="40">
        <f t="shared" si="5"/>
        <v>150026</v>
      </c>
      <c r="F35" s="39">
        <v>145000</v>
      </c>
      <c r="G35" s="39">
        <f>14414+6875+33450</f>
        <v>54739</v>
      </c>
      <c r="H35" s="40">
        <f t="shared" si="1"/>
        <v>199739</v>
      </c>
      <c r="I35" s="18">
        <f t="shared" si="6"/>
        <v>1.3313625638222708</v>
      </c>
      <c r="J35" s="39">
        <f>96220+2400</f>
        <v>98620</v>
      </c>
      <c r="K35" s="39">
        <f>13630+7000+34420</f>
        <v>55050</v>
      </c>
      <c r="L35" s="40">
        <f t="shared" si="3"/>
        <v>153670</v>
      </c>
      <c r="M35" s="18">
        <f t="shared" si="4"/>
        <v>0.7693540069791077</v>
      </c>
    </row>
    <row r="36" spans="1:13" s="30" customFormat="1" ht="12">
      <c r="A36" s="26">
        <v>4</v>
      </c>
      <c r="B36" s="27" t="s">
        <v>43</v>
      </c>
      <c r="C36" s="28">
        <f>SUM(C37:C53)</f>
        <v>75103822</v>
      </c>
      <c r="D36" s="28">
        <f>SUM(D37:D53)</f>
        <v>2542790</v>
      </c>
      <c r="E36" s="55">
        <f t="shared" si="5"/>
        <v>77646612</v>
      </c>
      <c r="F36" s="28">
        <f>SUM(F37:F53)</f>
        <v>77103408.02</v>
      </c>
      <c r="G36" s="28">
        <f>SUM(G37:G53)</f>
        <v>2719704.33</v>
      </c>
      <c r="H36" s="55">
        <f t="shared" si="1"/>
        <v>79823112.35</v>
      </c>
      <c r="I36" s="18">
        <f t="shared" si="6"/>
        <v>1.0280308476305444</v>
      </c>
      <c r="J36" s="28">
        <f>SUM(J37:J53)</f>
        <v>70401019</v>
      </c>
      <c r="K36" s="28">
        <f>SUM(K37:K53)</f>
        <v>2547470</v>
      </c>
      <c r="L36" s="55">
        <f t="shared" si="3"/>
        <v>72948489</v>
      </c>
      <c r="M36" s="18">
        <f t="shared" si="4"/>
        <v>0.9138767814532605</v>
      </c>
    </row>
    <row r="37" spans="1:13" s="35" customFormat="1" ht="11.25" customHeight="1">
      <c r="A37" s="31"/>
      <c r="B37" s="54" t="s">
        <v>44</v>
      </c>
      <c r="C37" s="33">
        <f>66662613-50000+5000</f>
        <v>66617613</v>
      </c>
      <c r="D37" s="33"/>
      <c r="E37" s="34">
        <f t="shared" si="5"/>
        <v>66617613</v>
      </c>
      <c r="F37" s="33">
        <v>66667613</v>
      </c>
      <c r="G37" s="33"/>
      <c r="H37" s="34">
        <f aca="true" t="shared" si="7" ref="H37:H68">SUM(F37:G37)</f>
        <v>66667613</v>
      </c>
      <c r="I37" s="18">
        <f t="shared" si="6"/>
        <v>1.0007505522601057</v>
      </c>
      <c r="J37" s="33">
        <f>63237486+3950000+30000-2690818-100000</f>
        <v>64426668</v>
      </c>
      <c r="K37" s="62"/>
      <c r="L37" s="34">
        <f>SUM(J37:J37)</f>
        <v>64426668</v>
      </c>
      <c r="M37" s="18">
        <f aca="true" t="shared" si="8" ref="M37:M68">L37/H37</f>
        <v>0.9663863021464411</v>
      </c>
    </row>
    <row r="38" spans="1:13" s="35" customFormat="1" ht="19.5" customHeight="1">
      <c r="A38" s="31"/>
      <c r="B38" s="54" t="s">
        <v>45</v>
      </c>
      <c r="C38" s="33">
        <f>2100000+200000</f>
        <v>2300000</v>
      </c>
      <c r="D38" s="33"/>
      <c r="E38" s="34">
        <f t="shared" si="5"/>
        <v>2300000</v>
      </c>
      <c r="F38" s="33">
        <v>2651574</v>
      </c>
      <c r="G38" s="33"/>
      <c r="H38" s="34">
        <f t="shared" si="7"/>
        <v>2651574</v>
      </c>
      <c r="I38" s="18">
        <f t="shared" si="6"/>
        <v>1.1528582608695652</v>
      </c>
      <c r="J38" s="33">
        <v>2690818</v>
      </c>
      <c r="K38" s="33"/>
      <c r="L38" s="34">
        <f aca="true" t="shared" si="9" ref="L38:L60">SUM(J38:K38)</f>
        <v>2690818</v>
      </c>
      <c r="M38" s="18">
        <f t="shared" si="8"/>
        <v>1.0148002658043864</v>
      </c>
    </row>
    <row r="39" spans="1:13" s="35" customFormat="1" ht="11.25">
      <c r="A39" s="31"/>
      <c r="B39" s="54" t="s">
        <v>46</v>
      </c>
      <c r="C39" s="33">
        <f>300000+15000</f>
        <v>315000</v>
      </c>
      <c r="D39" s="33"/>
      <c r="E39" s="34">
        <f t="shared" si="5"/>
        <v>315000</v>
      </c>
      <c r="F39" s="33">
        <v>300000</v>
      </c>
      <c r="G39" s="33"/>
      <c r="H39" s="34">
        <f t="shared" si="7"/>
        <v>300000</v>
      </c>
      <c r="I39" s="18">
        <f t="shared" si="6"/>
        <v>0.9523809523809523</v>
      </c>
      <c r="J39" s="33">
        <v>300000</v>
      </c>
      <c r="K39" s="33"/>
      <c r="L39" s="34">
        <f t="shared" si="9"/>
        <v>300000</v>
      </c>
      <c r="M39" s="18">
        <f t="shared" si="8"/>
        <v>1</v>
      </c>
    </row>
    <row r="40" spans="1:13" s="35" customFormat="1" ht="11.25">
      <c r="A40" s="31"/>
      <c r="B40" s="54" t="s">
        <v>47</v>
      </c>
      <c r="C40" s="33">
        <v>277295</v>
      </c>
      <c r="D40" s="33"/>
      <c r="E40" s="34">
        <f t="shared" si="5"/>
        <v>277295</v>
      </c>
      <c r="F40" s="33">
        <v>277295</v>
      </c>
      <c r="G40" s="33"/>
      <c r="H40" s="34">
        <f t="shared" si="7"/>
        <v>277295</v>
      </c>
      <c r="I40" s="18">
        <f t="shared" si="6"/>
        <v>1</v>
      </c>
      <c r="J40" s="33">
        <v>282034</v>
      </c>
      <c r="K40" s="33"/>
      <c r="L40" s="34">
        <f t="shared" si="9"/>
        <v>282034</v>
      </c>
      <c r="M40" s="18">
        <f t="shared" si="8"/>
        <v>1.017090102598316</v>
      </c>
    </row>
    <row r="41" spans="1:13" s="35" customFormat="1" ht="23.25" customHeight="1">
      <c r="A41" s="31"/>
      <c r="B41" s="54" t="s">
        <v>48</v>
      </c>
      <c r="C41" s="33">
        <v>871220</v>
      </c>
      <c r="D41" s="33"/>
      <c r="E41" s="34">
        <f t="shared" si="5"/>
        <v>871220</v>
      </c>
      <c r="F41" s="33">
        <f>429540+570000</f>
        <v>999540</v>
      </c>
      <c r="G41" s="33"/>
      <c r="H41" s="34">
        <f t="shared" si="7"/>
        <v>999540</v>
      </c>
      <c r="I41" s="18">
        <f t="shared" si="6"/>
        <v>1.147287711485044</v>
      </c>
      <c r="J41" s="33">
        <f>588320+436240</f>
        <v>1024560</v>
      </c>
      <c r="K41" s="33"/>
      <c r="L41" s="34">
        <f t="shared" si="9"/>
        <v>1024560</v>
      </c>
      <c r="M41" s="18">
        <f t="shared" si="8"/>
        <v>1.0250315144966684</v>
      </c>
    </row>
    <row r="42" spans="1:13" s="35" customFormat="1" ht="22.5">
      <c r="A42" s="31"/>
      <c r="B42" s="54" t="s">
        <v>49</v>
      </c>
      <c r="C42" s="33"/>
      <c r="D42" s="33"/>
      <c r="E42" s="34">
        <f t="shared" si="5"/>
        <v>0</v>
      </c>
      <c r="F42" s="33"/>
      <c r="G42" s="33">
        <v>3126</v>
      </c>
      <c r="H42" s="34">
        <f t="shared" si="7"/>
        <v>3126</v>
      </c>
      <c r="I42" s="18"/>
      <c r="J42" s="33"/>
      <c r="K42" s="33"/>
      <c r="L42" s="34">
        <f t="shared" si="9"/>
        <v>0</v>
      </c>
      <c r="M42" s="18">
        <f t="shared" si="8"/>
        <v>0</v>
      </c>
    </row>
    <row r="43" spans="1:13" s="35" customFormat="1" ht="16.5" customHeight="1">
      <c r="A43" s="31"/>
      <c r="B43" s="54" t="s">
        <v>50</v>
      </c>
      <c r="C43" s="33">
        <v>714308</v>
      </c>
      <c r="D43" s="33"/>
      <c r="E43" s="34">
        <f t="shared" si="5"/>
        <v>714308</v>
      </c>
      <c r="F43" s="33">
        <v>714308</v>
      </c>
      <c r="G43" s="33"/>
      <c r="H43" s="34">
        <f t="shared" si="7"/>
        <v>714308</v>
      </c>
      <c r="I43" s="18">
        <f>H43/E43</f>
        <v>1</v>
      </c>
      <c r="J43" s="33">
        <v>788831</v>
      </c>
      <c r="K43" s="33"/>
      <c r="L43" s="34">
        <f t="shared" si="9"/>
        <v>788831</v>
      </c>
      <c r="M43" s="18">
        <f t="shared" si="8"/>
        <v>1.104328944936918</v>
      </c>
    </row>
    <row r="44" spans="1:13" s="35" customFormat="1" ht="22.5" customHeight="1">
      <c r="A44" s="31"/>
      <c r="B44" s="54" t="s">
        <v>51</v>
      </c>
      <c r="D44" s="33"/>
      <c r="E44" s="34">
        <f>SUM(D44:D44)</f>
        <v>0</v>
      </c>
      <c r="F44" s="33"/>
      <c r="G44" s="33">
        <v>562</v>
      </c>
      <c r="H44" s="34">
        <f t="shared" si="7"/>
        <v>562</v>
      </c>
      <c r="I44" s="18"/>
      <c r="J44" s="33"/>
      <c r="K44" s="33"/>
      <c r="L44" s="34">
        <f t="shared" si="9"/>
        <v>0</v>
      </c>
      <c r="M44" s="18">
        <f t="shared" si="8"/>
        <v>0</v>
      </c>
    </row>
    <row r="45" spans="1:13" s="35" customFormat="1" ht="15" customHeight="1">
      <c r="A45" s="31"/>
      <c r="B45" s="54" t="s">
        <v>52</v>
      </c>
      <c r="C45" s="33"/>
      <c r="D45" s="33">
        <v>462490</v>
      </c>
      <c r="E45" s="34">
        <f aca="true" t="shared" si="10" ref="E45:E70">SUM(C45:D45)</f>
        <v>462490</v>
      </c>
      <c r="F45" s="33"/>
      <c r="G45" s="33">
        <v>462490</v>
      </c>
      <c r="H45" s="34">
        <f t="shared" si="7"/>
        <v>462490</v>
      </c>
      <c r="I45" s="18">
        <f aca="true" t="shared" si="11" ref="I45:I53">H45/E45</f>
        <v>1</v>
      </c>
      <c r="J45" s="33"/>
      <c r="K45" s="33">
        <v>467000</v>
      </c>
      <c r="L45" s="34">
        <f t="shared" si="9"/>
        <v>467000</v>
      </c>
      <c r="M45" s="18">
        <f t="shared" si="8"/>
        <v>1.0097515621959394</v>
      </c>
    </row>
    <row r="46" spans="1:13" s="35" customFormat="1" ht="21.75" customHeight="1">
      <c r="A46" s="31"/>
      <c r="B46" s="54" t="s">
        <v>53</v>
      </c>
      <c r="C46" s="33">
        <v>94000</v>
      </c>
      <c r="D46" s="33"/>
      <c r="E46" s="34">
        <f t="shared" si="10"/>
        <v>94000</v>
      </c>
      <c r="F46" s="33">
        <v>94000</v>
      </c>
      <c r="G46" s="33"/>
      <c r="H46" s="34">
        <f t="shared" si="7"/>
        <v>94000</v>
      </c>
      <c r="I46" s="18">
        <f t="shared" si="11"/>
        <v>1</v>
      </c>
      <c r="J46" s="33">
        <v>95000</v>
      </c>
      <c r="K46" s="33"/>
      <c r="L46" s="34">
        <f t="shared" si="9"/>
        <v>95000</v>
      </c>
      <c r="M46" s="18">
        <f t="shared" si="8"/>
        <v>1.0106382978723405</v>
      </c>
    </row>
    <row r="47" spans="1:13" s="35" customFormat="1" ht="45" customHeight="1">
      <c r="A47" s="31"/>
      <c r="B47" s="54" t="s">
        <v>54</v>
      </c>
      <c r="C47" s="33">
        <f>15000+40000+420000+145000-320000</f>
        <v>300000</v>
      </c>
      <c r="D47" s="33">
        <f>54000+50000+100000</f>
        <v>204000</v>
      </c>
      <c r="E47" s="34">
        <f t="shared" si="10"/>
        <v>504000</v>
      </c>
      <c r="F47" s="33">
        <v>320000</v>
      </c>
      <c r="G47" s="33">
        <v>100000</v>
      </c>
      <c r="H47" s="34">
        <f t="shared" si="7"/>
        <v>420000</v>
      </c>
      <c r="I47" s="18">
        <f t="shared" si="11"/>
        <v>0.8333333333333334</v>
      </c>
      <c r="J47" s="33">
        <f>28500+16000</f>
        <v>44500</v>
      </c>
      <c r="K47" s="33">
        <f>22000+38000</f>
        <v>60000</v>
      </c>
      <c r="L47" s="34">
        <f t="shared" si="9"/>
        <v>104500</v>
      </c>
      <c r="M47" s="18">
        <f t="shared" si="8"/>
        <v>0.2488095238095238</v>
      </c>
    </row>
    <row r="48" spans="1:13" s="35" customFormat="1" ht="12" customHeight="1">
      <c r="A48" s="31"/>
      <c r="B48" s="63" t="s">
        <v>55</v>
      </c>
      <c r="C48" s="33">
        <f>63900+336100</f>
        <v>400000</v>
      </c>
      <c r="D48" s="33"/>
      <c r="E48" s="34">
        <f t="shared" si="10"/>
        <v>400000</v>
      </c>
      <c r="F48" s="33">
        <v>400000</v>
      </c>
      <c r="G48" s="33"/>
      <c r="H48" s="34">
        <f t="shared" si="7"/>
        <v>400000</v>
      </c>
      <c r="I48" s="18">
        <f t="shared" si="11"/>
        <v>1</v>
      </c>
      <c r="J48" s="33">
        <v>289290</v>
      </c>
      <c r="K48" s="33"/>
      <c r="L48" s="34">
        <f t="shared" si="9"/>
        <v>289290</v>
      </c>
      <c r="M48" s="18">
        <f t="shared" si="8"/>
        <v>0.723225</v>
      </c>
    </row>
    <row r="49" spans="1:13" s="35" customFormat="1" ht="14.25" customHeight="1">
      <c r="A49" s="64"/>
      <c r="B49" s="36" t="s">
        <v>56</v>
      </c>
      <c r="C49" s="33"/>
      <c r="D49" s="33">
        <v>1875000</v>
      </c>
      <c r="E49" s="34">
        <f t="shared" si="10"/>
        <v>1875000</v>
      </c>
      <c r="F49" s="33"/>
      <c r="G49" s="33">
        <v>2051720</v>
      </c>
      <c r="H49" s="34">
        <f t="shared" si="7"/>
        <v>2051720</v>
      </c>
      <c r="I49" s="18">
        <f t="shared" si="11"/>
        <v>1.0942506666666667</v>
      </c>
      <c r="J49" s="33"/>
      <c r="K49" s="33">
        <v>1992500</v>
      </c>
      <c r="L49" s="34">
        <f t="shared" si="9"/>
        <v>1992500</v>
      </c>
      <c r="M49" s="18">
        <f t="shared" si="8"/>
        <v>0.9711364123759577</v>
      </c>
    </row>
    <row r="50" spans="1:13" s="35" customFormat="1" ht="21.75" customHeight="1">
      <c r="A50" s="64"/>
      <c r="B50" s="54" t="s">
        <v>57</v>
      </c>
      <c r="C50" s="33">
        <f>61366+925+2095</f>
        <v>64386</v>
      </c>
      <c r="D50" s="33">
        <f>1300</f>
        <v>1300</v>
      </c>
      <c r="E50" s="34">
        <f t="shared" si="10"/>
        <v>65686</v>
      </c>
      <c r="F50" s="33">
        <f>17324.89+4593.99+344380.24+0.44+1671.25</f>
        <v>367970.81</v>
      </c>
      <c r="G50" s="33">
        <f>436.67+144.85+827.04</f>
        <v>1408.56</v>
      </c>
      <c r="H50" s="34">
        <f t="shared" si="7"/>
        <v>369379.37</v>
      </c>
      <c r="I50" s="18">
        <f t="shared" si="11"/>
        <v>5.623410924702372</v>
      </c>
      <c r="J50" s="33">
        <f>2356+5282+1790</f>
        <v>9428</v>
      </c>
      <c r="K50" s="33">
        <v>900</v>
      </c>
      <c r="L50" s="34">
        <f t="shared" si="9"/>
        <v>10328</v>
      </c>
      <c r="M50" s="18">
        <f t="shared" si="8"/>
        <v>0.02796041370691601</v>
      </c>
    </row>
    <row r="51" spans="1:13" s="35" customFormat="1" ht="11.25" customHeight="1">
      <c r="A51" s="31"/>
      <c r="B51" s="54" t="s">
        <v>58</v>
      </c>
      <c r="C51" s="33">
        <v>15000</v>
      </c>
      <c r="D51" s="33"/>
      <c r="E51" s="34">
        <f t="shared" si="10"/>
        <v>15000</v>
      </c>
      <c r="F51" s="33">
        <v>15000</v>
      </c>
      <c r="G51" s="33"/>
      <c r="H51" s="34">
        <f t="shared" si="7"/>
        <v>15000</v>
      </c>
      <c r="I51" s="18">
        <f t="shared" si="11"/>
        <v>1</v>
      </c>
      <c r="J51" s="33">
        <v>10000</v>
      </c>
      <c r="K51" s="33"/>
      <c r="L51" s="34">
        <f t="shared" si="9"/>
        <v>10000</v>
      </c>
      <c r="M51" s="18">
        <f t="shared" si="8"/>
        <v>0.6666666666666666</v>
      </c>
    </row>
    <row r="52" spans="1:13" s="65" customFormat="1" ht="10.5" customHeight="1">
      <c r="A52" s="47"/>
      <c r="B52" s="48" t="s">
        <v>59</v>
      </c>
      <c r="C52" s="33">
        <v>3000000</v>
      </c>
      <c r="D52" s="33"/>
      <c r="E52" s="34">
        <f t="shared" si="10"/>
        <v>3000000</v>
      </c>
      <c r="F52" s="33">
        <v>3000000</v>
      </c>
      <c r="G52" s="33"/>
      <c r="H52" s="34">
        <f t="shared" si="7"/>
        <v>3000000</v>
      </c>
      <c r="I52" s="18">
        <f t="shared" si="11"/>
        <v>1</v>
      </c>
      <c r="J52" s="33">
        <v>100000</v>
      </c>
      <c r="K52" s="33"/>
      <c r="L52" s="34">
        <f t="shared" si="9"/>
        <v>100000</v>
      </c>
      <c r="M52" s="18">
        <f t="shared" si="8"/>
        <v>0.03333333333333333</v>
      </c>
    </row>
    <row r="53" spans="1:13" s="35" customFormat="1" ht="12.75" customHeight="1">
      <c r="A53" s="31"/>
      <c r="B53" s="54" t="s">
        <v>60</v>
      </c>
      <c r="C53" s="33">
        <f>SUM(C54:C57)</f>
        <v>135000</v>
      </c>
      <c r="D53" s="33">
        <f>SUM(D54:D57)</f>
        <v>0</v>
      </c>
      <c r="E53" s="34">
        <f t="shared" si="10"/>
        <v>135000</v>
      </c>
      <c r="F53" s="33">
        <f>SUM(F54:F57)</f>
        <v>1296107.21</v>
      </c>
      <c r="G53" s="33">
        <f>SUM(G54:G57)</f>
        <v>100397.77</v>
      </c>
      <c r="H53" s="34">
        <f t="shared" si="7"/>
        <v>1396504.98</v>
      </c>
      <c r="I53" s="18">
        <f t="shared" si="11"/>
        <v>10.344481333333333</v>
      </c>
      <c r="J53" s="33">
        <f>SUM(J54:J57)</f>
        <v>339890</v>
      </c>
      <c r="K53" s="33">
        <f>SUM(K54:K57)</f>
        <v>27070</v>
      </c>
      <c r="L53" s="34">
        <f t="shared" si="9"/>
        <v>366960</v>
      </c>
      <c r="M53" s="18">
        <f t="shared" si="8"/>
        <v>0.26277027669460945</v>
      </c>
    </row>
    <row r="54" spans="1:13" s="60" customFormat="1" ht="11.25" customHeight="1">
      <c r="A54" s="58"/>
      <c r="B54" s="59" t="s">
        <v>61</v>
      </c>
      <c r="C54" s="39"/>
      <c r="D54" s="39"/>
      <c r="E54" s="40">
        <f t="shared" si="10"/>
        <v>0</v>
      </c>
      <c r="F54" s="39">
        <v>17387</v>
      </c>
      <c r="G54" s="39"/>
      <c r="H54" s="40">
        <f t="shared" si="7"/>
        <v>17387</v>
      </c>
      <c r="I54" s="18"/>
      <c r="J54" s="39"/>
      <c r="K54" s="39"/>
      <c r="L54" s="40">
        <f t="shared" si="9"/>
        <v>0</v>
      </c>
      <c r="M54" s="18">
        <f t="shared" si="8"/>
        <v>0</v>
      </c>
    </row>
    <row r="55" spans="1:13" s="41" customFormat="1" ht="11.25" customHeight="1">
      <c r="A55" s="56"/>
      <c r="B55" s="57" t="s">
        <v>62</v>
      </c>
      <c r="C55" s="39">
        <v>135000</v>
      </c>
      <c r="D55" s="39"/>
      <c r="E55" s="40">
        <f t="shared" si="10"/>
        <v>135000</v>
      </c>
      <c r="F55" s="39">
        <v>215000</v>
      </c>
      <c r="G55" s="39"/>
      <c r="H55" s="40">
        <f t="shared" si="7"/>
        <v>215000</v>
      </c>
      <c r="I55" s="18">
        <f>H55/E55</f>
        <v>1.5925925925925926</v>
      </c>
      <c r="J55" s="39">
        <v>300000</v>
      </c>
      <c r="K55" s="39"/>
      <c r="L55" s="40">
        <f t="shared" si="9"/>
        <v>300000</v>
      </c>
      <c r="M55" s="18">
        <f t="shared" si="8"/>
        <v>1.3953488372093024</v>
      </c>
    </row>
    <row r="56" spans="1:13" s="41" customFormat="1" ht="14.25" customHeight="1">
      <c r="A56" s="37"/>
      <c r="B56" s="57" t="s">
        <v>63</v>
      </c>
      <c r="C56" s="39"/>
      <c r="D56" s="39"/>
      <c r="E56" s="40">
        <f t="shared" si="10"/>
        <v>0</v>
      </c>
      <c r="F56" s="39">
        <v>750000</v>
      </c>
      <c r="G56" s="39">
        <v>100000</v>
      </c>
      <c r="H56" s="40">
        <f t="shared" si="7"/>
        <v>850000</v>
      </c>
      <c r="I56" s="18"/>
      <c r="J56" s="39">
        <f>34000+800+3808+1282</f>
        <v>39890</v>
      </c>
      <c r="K56" s="39">
        <f>1700+220+25150</f>
        <v>27070</v>
      </c>
      <c r="L56" s="40">
        <f t="shared" si="9"/>
        <v>66960</v>
      </c>
      <c r="M56" s="18">
        <f t="shared" si="8"/>
        <v>0.0787764705882353</v>
      </c>
    </row>
    <row r="57" spans="1:13" s="41" customFormat="1" ht="34.5" customHeight="1">
      <c r="A57" s="37"/>
      <c r="B57" s="57" t="s">
        <v>64</v>
      </c>
      <c r="C57" s="39"/>
      <c r="D57" s="39"/>
      <c r="E57" s="40">
        <f t="shared" si="10"/>
        <v>0</v>
      </c>
      <c r="F57" s="39">
        <f>1105.42+805.32+1870+769.95+118529.88+40523.47+0.44+14611.26+2202.37+8630.64+194.73+118995.77+2202.96+976.4+22+53.44+64+693.15+81.3+14.72+1322+5.39+45.6</f>
        <v>313720.21</v>
      </c>
      <c r="G57" s="39">
        <f>393.26+0.17+4.34</f>
        <v>397.77</v>
      </c>
      <c r="H57" s="40">
        <f t="shared" si="7"/>
        <v>314117.98000000004</v>
      </c>
      <c r="I57" s="18"/>
      <c r="J57" s="39"/>
      <c r="K57" s="39"/>
      <c r="L57" s="40">
        <f t="shared" si="9"/>
        <v>0</v>
      </c>
      <c r="M57" s="18">
        <f t="shared" si="8"/>
        <v>0</v>
      </c>
    </row>
    <row r="58" spans="1:13" s="30" customFormat="1" ht="24">
      <c r="A58" s="26">
        <v>5</v>
      </c>
      <c r="B58" s="27" t="s">
        <v>65</v>
      </c>
      <c r="C58" s="28">
        <f>SUM(C59:C69)</f>
        <v>7884912</v>
      </c>
      <c r="D58" s="28">
        <f>SUM(D59:D69)</f>
        <v>1360327</v>
      </c>
      <c r="E58" s="55">
        <f t="shared" si="10"/>
        <v>9245239</v>
      </c>
      <c r="F58" s="28">
        <f>SUM(F59:F69)</f>
        <v>7884912</v>
      </c>
      <c r="G58" s="28">
        <f>SUM(G59:G69)</f>
        <v>1360327</v>
      </c>
      <c r="H58" s="55">
        <f t="shared" si="7"/>
        <v>9245239</v>
      </c>
      <c r="I58" s="18">
        <f aca="true" t="shared" si="12" ref="I58:I77">H58/E58</f>
        <v>1</v>
      </c>
      <c r="J58" s="28">
        <f>SUM(J59:J69)</f>
        <v>7371624</v>
      </c>
      <c r="K58" s="28">
        <f>SUM(K59:K69)</f>
        <v>829820</v>
      </c>
      <c r="L58" s="55">
        <f t="shared" si="9"/>
        <v>8201444</v>
      </c>
      <c r="M58" s="18">
        <f t="shared" si="8"/>
        <v>0.8870991869436798</v>
      </c>
    </row>
    <row r="59" spans="1:13" s="67" customFormat="1" ht="12.75" customHeight="1">
      <c r="A59" s="47"/>
      <c r="B59" s="66" t="s">
        <v>66</v>
      </c>
      <c r="C59" s="33">
        <v>52000</v>
      </c>
      <c r="D59" s="33"/>
      <c r="E59" s="34">
        <f t="shared" si="10"/>
        <v>52000</v>
      </c>
      <c r="F59" s="33">
        <v>52000</v>
      </c>
      <c r="G59" s="33"/>
      <c r="H59" s="34">
        <f t="shared" si="7"/>
        <v>52000</v>
      </c>
      <c r="I59" s="18">
        <f t="shared" si="12"/>
        <v>1</v>
      </c>
      <c r="J59" s="33">
        <f>123312+15708</f>
        <v>139020</v>
      </c>
      <c r="K59" s="33"/>
      <c r="L59" s="34">
        <f t="shared" si="9"/>
        <v>139020</v>
      </c>
      <c r="M59" s="18">
        <f t="shared" si="8"/>
        <v>2.6734615384615386</v>
      </c>
    </row>
    <row r="60" spans="1:13" s="69" customFormat="1" ht="12.75" customHeight="1">
      <c r="A60" s="47"/>
      <c r="B60" s="68" t="s">
        <v>67</v>
      </c>
      <c r="C60" s="33"/>
      <c r="D60" s="33">
        <v>17680</v>
      </c>
      <c r="E60" s="34">
        <f t="shared" si="10"/>
        <v>17680</v>
      </c>
      <c r="F60" s="33"/>
      <c r="G60" s="33">
        <v>17680</v>
      </c>
      <c r="H60" s="34">
        <f t="shared" si="7"/>
        <v>17680</v>
      </c>
      <c r="I60" s="18">
        <f t="shared" si="12"/>
        <v>1</v>
      </c>
      <c r="J60" s="33"/>
      <c r="K60" s="33"/>
      <c r="L60" s="34">
        <f t="shared" si="9"/>
        <v>0</v>
      </c>
      <c r="M60" s="18">
        <f t="shared" si="8"/>
        <v>0</v>
      </c>
    </row>
    <row r="61" spans="1:13" s="71" customFormat="1" ht="22.5" customHeight="1">
      <c r="A61" s="47"/>
      <c r="B61" s="68" t="s">
        <v>68</v>
      </c>
      <c r="C61" s="33"/>
      <c r="D61" s="33">
        <v>394125</v>
      </c>
      <c r="E61" s="34">
        <f t="shared" si="10"/>
        <v>394125</v>
      </c>
      <c r="F61" s="33"/>
      <c r="G61" s="33">
        <v>394125</v>
      </c>
      <c r="H61" s="34">
        <f t="shared" si="7"/>
        <v>394125</v>
      </c>
      <c r="I61" s="18">
        <f t="shared" si="12"/>
        <v>1</v>
      </c>
      <c r="J61" s="70"/>
      <c r="K61" s="33">
        <v>403800</v>
      </c>
      <c r="L61" s="34">
        <f>SUM(K61:K61)</f>
        <v>403800</v>
      </c>
      <c r="M61" s="18">
        <f t="shared" si="8"/>
        <v>1.0245480494766888</v>
      </c>
    </row>
    <row r="62" spans="1:13" s="71" customFormat="1" ht="12" customHeight="1">
      <c r="A62" s="47"/>
      <c r="B62" s="68" t="s">
        <v>69</v>
      </c>
      <c r="C62" s="33"/>
      <c r="D62" s="33">
        <v>262932</v>
      </c>
      <c r="E62" s="34">
        <f t="shared" si="10"/>
        <v>262932</v>
      </c>
      <c r="F62" s="33"/>
      <c r="G62" s="33">
        <v>262932</v>
      </c>
      <c r="H62" s="34">
        <f t="shared" si="7"/>
        <v>262932</v>
      </c>
      <c r="I62" s="18">
        <f t="shared" si="12"/>
        <v>1</v>
      </c>
      <c r="J62" s="33"/>
      <c r="K62" s="33">
        <v>300000</v>
      </c>
      <c r="L62" s="34">
        <f aca="true" t="shared" si="13" ref="L62:L93">SUM(J62:K62)</f>
        <v>300000</v>
      </c>
      <c r="M62" s="18">
        <f t="shared" si="8"/>
        <v>1.140979416731322</v>
      </c>
    </row>
    <row r="63" spans="1:13" s="71" customFormat="1" ht="45">
      <c r="A63" s="47"/>
      <c r="B63" s="68" t="s">
        <v>70</v>
      </c>
      <c r="C63" s="33"/>
      <c r="D63" s="33">
        <f>47000+18790</f>
        <v>65790</v>
      </c>
      <c r="E63" s="34">
        <f t="shared" si="10"/>
        <v>65790</v>
      </c>
      <c r="F63" s="33"/>
      <c r="G63" s="33">
        <f>47000+18790</f>
        <v>65790</v>
      </c>
      <c r="H63" s="34">
        <f t="shared" si="7"/>
        <v>65790</v>
      </c>
      <c r="I63" s="18">
        <f t="shared" si="12"/>
        <v>1</v>
      </c>
      <c r="J63" s="33"/>
      <c r="K63" s="33">
        <v>55000</v>
      </c>
      <c r="L63" s="34">
        <f t="shared" si="13"/>
        <v>55000</v>
      </c>
      <c r="M63" s="18">
        <f t="shared" si="8"/>
        <v>0.8359933120535036</v>
      </c>
    </row>
    <row r="64" spans="1:13" s="71" customFormat="1" ht="11.25" customHeight="1">
      <c r="A64" s="47"/>
      <c r="B64" s="68" t="s">
        <v>71</v>
      </c>
      <c r="C64" s="72"/>
      <c r="D64" s="33">
        <v>39800</v>
      </c>
      <c r="E64" s="34">
        <f t="shared" si="10"/>
        <v>39800</v>
      </c>
      <c r="F64" s="73"/>
      <c r="G64" s="33">
        <v>39800</v>
      </c>
      <c r="H64" s="34">
        <f t="shared" si="7"/>
        <v>39800</v>
      </c>
      <c r="I64" s="18">
        <f t="shared" si="12"/>
        <v>1</v>
      </c>
      <c r="J64" s="73"/>
      <c r="K64" s="33">
        <v>71020</v>
      </c>
      <c r="L64" s="34">
        <f t="shared" si="13"/>
        <v>71020</v>
      </c>
      <c r="M64" s="18">
        <f t="shared" si="8"/>
        <v>1.7844221105527638</v>
      </c>
    </row>
    <row r="65" spans="1:13" s="35" customFormat="1" ht="36" customHeight="1">
      <c r="A65" s="64"/>
      <c r="B65" s="36" t="s">
        <v>72</v>
      </c>
      <c r="C65" s="33">
        <f>5491028+1072901</f>
        <v>6563929</v>
      </c>
      <c r="D65" s="33"/>
      <c r="E65" s="34">
        <f t="shared" si="10"/>
        <v>6563929</v>
      </c>
      <c r="F65" s="33">
        <f>5491028+1072901</f>
        <v>6563929</v>
      </c>
      <c r="G65" s="33"/>
      <c r="H65" s="34">
        <f t="shared" si="7"/>
        <v>6563929</v>
      </c>
      <c r="I65" s="18">
        <f t="shared" si="12"/>
        <v>1</v>
      </c>
      <c r="J65" s="33">
        <v>6563929</v>
      </c>
      <c r="K65" s="33"/>
      <c r="L65" s="34">
        <f t="shared" si="13"/>
        <v>6563929</v>
      </c>
      <c r="M65" s="18">
        <f t="shared" si="8"/>
        <v>1</v>
      </c>
    </row>
    <row r="66" spans="1:13" s="35" customFormat="1" ht="33" customHeight="1">
      <c r="A66" s="64"/>
      <c r="B66" s="36" t="s">
        <v>73</v>
      </c>
      <c r="C66" s="33"/>
      <c r="D66" s="33">
        <f>5850000-5270000</f>
        <v>580000</v>
      </c>
      <c r="E66" s="34">
        <f t="shared" si="10"/>
        <v>580000</v>
      </c>
      <c r="F66" s="33"/>
      <c r="G66" s="33">
        <f>5850000-5270000</f>
        <v>580000</v>
      </c>
      <c r="H66" s="34">
        <f t="shared" si="7"/>
        <v>580000</v>
      </c>
      <c r="I66" s="18">
        <f t="shared" si="12"/>
        <v>1</v>
      </c>
      <c r="J66" s="33"/>
      <c r="K66" s="33"/>
      <c r="L66" s="34">
        <f t="shared" si="13"/>
        <v>0</v>
      </c>
      <c r="M66" s="18">
        <f t="shared" si="8"/>
        <v>0</v>
      </c>
    </row>
    <row r="67" spans="1:13" s="35" customFormat="1" ht="35.25" customHeight="1">
      <c r="A67" s="64"/>
      <c r="B67" s="36" t="s">
        <v>74</v>
      </c>
      <c r="C67" s="33">
        <v>333000</v>
      </c>
      <c r="D67" s="33"/>
      <c r="E67" s="34">
        <f t="shared" si="10"/>
        <v>333000</v>
      </c>
      <c r="F67" s="33">
        <v>333000</v>
      </c>
      <c r="G67" s="33"/>
      <c r="H67" s="34">
        <f t="shared" si="7"/>
        <v>333000</v>
      </c>
      <c r="I67" s="18">
        <f t="shared" si="12"/>
        <v>1</v>
      </c>
      <c r="J67" s="33"/>
      <c r="K67" s="33"/>
      <c r="L67" s="34">
        <f t="shared" si="13"/>
        <v>0</v>
      </c>
      <c r="M67" s="18">
        <f t="shared" si="8"/>
        <v>0</v>
      </c>
    </row>
    <row r="68" spans="1:13" s="69" customFormat="1" ht="33" customHeight="1">
      <c r="A68" s="47"/>
      <c r="B68" s="48" t="s">
        <v>75</v>
      </c>
      <c r="C68" s="33">
        <v>309657</v>
      </c>
      <c r="D68" s="33"/>
      <c r="E68" s="34">
        <f t="shared" si="10"/>
        <v>309657</v>
      </c>
      <c r="F68" s="33">
        <v>309657</v>
      </c>
      <c r="G68" s="33"/>
      <c r="H68" s="34">
        <f t="shared" si="7"/>
        <v>309657</v>
      </c>
      <c r="I68" s="18">
        <f t="shared" si="12"/>
        <v>1</v>
      </c>
      <c r="J68" s="33"/>
      <c r="K68" s="33"/>
      <c r="L68" s="34">
        <f t="shared" si="13"/>
        <v>0</v>
      </c>
      <c r="M68" s="18">
        <f t="shared" si="8"/>
        <v>0</v>
      </c>
    </row>
    <row r="69" spans="1:13" s="35" customFormat="1" ht="24.75" customHeight="1">
      <c r="A69" s="64"/>
      <c r="B69" s="36" t="s">
        <v>76</v>
      </c>
      <c r="C69" s="33">
        <f>976326-350000</f>
        <v>626326</v>
      </c>
      <c r="D69" s="33"/>
      <c r="E69" s="34">
        <f t="shared" si="10"/>
        <v>626326</v>
      </c>
      <c r="F69" s="33">
        <f>976326-350000</f>
        <v>626326</v>
      </c>
      <c r="G69" s="33"/>
      <c r="H69" s="34">
        <f aca="true" t="shared" si="14" ref="H69:H100">SUM(F69:G69)</f>
        <v>626326</v>
      </c>
      <c r="I69" s="18">
        <f t="shared" si="12"/>
        <v>1</v>
      </c>
      <c r="J69" s="33">
        <v>668675</v>
      </c>
      <c r="K69" s="33"/>
      <c r="L69" s="34">
        <f t="shared" si="13"/>
        <v>668675</v>
      </c>
      <c r="M69" s="18">
        <f aca="true" t="shared" si="15" ref="M69:M100">L69/H69</f>
        <v>1.0676149481260557</v>
      </c>
    </row>
    <row r="70" spans="1:13" s="30" customFormat="1" ht="28.5" customHeight="1">
      <c r="A70" s="26">
        <v>6</v>
      </c>
      <c r="B70" s="27" t="s">
        <v>77</v>
      </c>
      <c r="C70" s="28">
        <f>SUM(C71:C84)</f>
        <v>877849</v>
      </c>
      <c r="D70" s="28">
        <f>SUM(D71:D84)</f>
        <v>423927</v>
      </c>
      <c r="E70" s="55">
        <f t="shared" si="10"/>
        <v>1301776</v>
      </c>
      <c r="F70" s="28">
        <f>SUM(F71:F84)</f>
        <v>1677235</v>
      </c>
      <c r="G70" s="28">
        <f>SUM(G71:G84)</f>
        <v>423927</v>
      </c>
      <c r="H70" s="55">
        <f t="shared" si="14"/>
        <v>2101162</v>
      </c>
      <c r="I70" s="18">
        <f t="shared" si="12"/>
        <v>1.6140733889701453</v>
      </c>
      <c r="J70" s="28">
        <f>SUM(J71:J84)</f>
        <v>2693737</v>
      </c>
      <c r="K70" s="28">
        <f>SUM(K71:K84)</f>
        <v>242000</v>
      </c>
      <c r="L70" s="55">
        <f t="shared" si="13"/>
        <v>2935737</v>
      </c>
      <c r="M70" s="18">
        <f t="shared" si="15"/>
        <v>1.3971968843906373</v>
      </c>
    </row>
    <row r="71" spans="1:13" s="71" customFormat="1" ht="33.75" customHeight="1">
      <c r="A71" s="47"/>
      <c r="B71" s="68" t="s">
        <v>78</v>
      </c>
      <c r="C71" s="74"/>
      <c r="D71" s="33">
        <v>351500</v>
      </c>
      <c r="E71" s="34">
        <f>SUM(F71:G71)</f>
        <v>351500</v>
      </c>
      <c r="F71" s="33"/>
      <c r="G71" s="33">
        <v>351500</v>
      </c>
      <c r="H71" s="34">
        <f t="shared" si="14"/>
        <v>351500</v>
      </c>
      <c r="I71" s="18">
        <f t="shared" si="12"/>
        <v>1</v>
      </c>
      <c r="J71" s="33"/>
      <c r="K71" s="33">
        <v>242000</v>
      </c>
      <c r="L71" s="34">
        <f t="shared" si="13"/>
        <v>242000</v>
      </c>
      <c r="M71" s="18">
        <f t="shared" si="15"/>
        <v>0.6884779516358464</v>
      </c>
    </row>
    <row r="72" spans="1:13" s="71" customFormat="1" ht="24" customHeight="1">
      <c r="A72" s="47"/>
      <c r="B72" s="36" t="s">
        <v>79</v>
      </c>
      <c r="C72" s="33">
        <v>160400</v>
      </c>
      <c r="D72" s="74"/>
      <c r="E72" s="34">
        <f>SUM(F72:G72)</f>
        <v>160400</v>
      </c>
      <c r="F72" s="75">
        <v>160400</v>
      </c>
      <c r="G72" s="33"/>
      <c r="H72" s="34">
        <f t="shared" si="14"/>
        <v>160400</v>
      </c>
      <c r="I72" s="18">
        <f t="shared" si="12"/>
        <v>1</v>
      </c>
      <c r="J72" s="33"/>
      <c r="K72" s="33"/>
      <c r="L72" s="34">
        <f t="shared" si="13"/>
        <v>0</v>
      </c>
      <c r="M72" s="18">
        <f t="shared" si="15"/>
        <v>0</v>
      </c>
    </row>
    <row r="73" spans="1:13" s="71" customFormat="1" ht="45">
      <c r="A73" s="47"/>
      <c r="B73" s="68" t="s">
        <v>80</v>
      </c>
      <c r="C73" s="33">
        <v>250000</v>
      </c>
      <c r="D73" s="74"/>
      <c r="E73" s="34">
        <f>SUM(F73:G73)</f>
        <v>250000</v>
      </c>
      <c r="F73" s="75">
        <f>350000-100000</f>
        <v>250000</v>
      </c>
      <c r="G73" s="33"/>
      <c r="H73" s="34">
        <f t="shared" si="14"/>
        <v>250000</v>
      </c>
      <c r="I73" s="18">
        <f t="shared" si="12"/>
        <v>1</v>
      </c>
      <c r="J73" s="33"/>
      <c r="K73" s="33"/>
      <c r="L73" s="34">
        <f t="shared" si="13"/>
        <v>0</v>
      </c>
      <c r="M73" s="18">
        <f t="shared" si="15"/>
        <v>0</v>
      </c>
    </row>
    <row r="74" spans="1:13" s="71" customFormat="1" ht="45">
      <c r="A74" s="47"/>
      <c r="B74" s="68" t="s">
        <v>81</v>
      </c>
      <c r="C74" s="33">
        <v>37566</v>
      </c>
      <c r="D74" s="74"/>
      <c r="E74" s="34">
        <f>SUM(F74:G74)</f>
        <v>37566</v>
      </c>
      <c r="F74" s="33">
        <v>37566</v>
      </c>
      <c r="G74" s="33"/>
      <c r="H74" s="34">
        <f t="shared" si="14"/>
        <v>37566</v>
      </c>
      <c r="I74" s="18">
        <f t="shared" si="12"/>
        <v>1</v>
      </c>
      <c r="J74" s="33"/>
      <c r="K74" s="33"/>
      <c r="L74" s="34">
        <f t="shared" si="13"/>
        <v>0</v>
      </c>
      <c r="M74" s="18">
        <f t="shared" si="15"/>
        <v>0</v>
      </c>
    </row>
    <row r="75" spans="1:13" s="71" customFormat="1" ht="22.5" customHeight="1">
      <c r="A75" s="47"/>
      <c r="B75" s="36" t="s">
        <v>82</v>
      </c>
      <c r="C75" s="33">
        <v>21159</v>
      </c>
      <c r="D75" s="33"/>
      <c r="E75" s="34">
        <f aca="true" t="shared" si="16" ref="E75:E106">SUM(C75:D75)</f>
        <v>21159</v>
      </c>
      <c r="F75" s="33">
        <v>18582</v>
      </c>
      <c r="G75" s="33"/>
      <c r="H75" s="34">
        <f t="shared" si="14"/>
        <v>18582</v>
      </c>
      <c r="I75" s="18">
        <f t="shared" si="12"/>
        <v>0.8782078548135546</v>
      </c>
      <c r="J75" s="33">
        <v>11174</v>
      </c>
      <c r="K75" s="33"/>
      <c r="L75" s="34">
        <f t="shared" si="13"/>
        <v>11174</v>
      </c>
      <c r="M75" s="18">
        <f t="shared" si="15"/>
        <v>0.6013346249058228</v>
      </c>
    </row>
    <row r="76" spans="1:13" s="71" customFormat="1" ht="22.5" customHeight="1">
      <c r="A76" s="47"/>
      <c r="B76" s="36" t="s">
        <v>83</v>
      </c>
      <c r="C76" s="33">
        <v>115673</v>
      </c>
      <c r="D76" s="33"/>
      <c r="E76" s="34">
        <f t="shared" si="16"/>
        <v>115673</v>
      </c>
      <c r="F76" s="33">
        <v>115673</v>
      </c>
      <c r="G76" s="33"/>
      <c r="H76" s="34">
        <f t="shared" si="14"/>
        <v>115673</v>
      </c>
      <c r="I76" s="18">
        <f t="shared" si="12"/>
        <v>1</v>
      </c>
      <c r="J76" s="33"/>
      <c r="K76" s="33"/>
      <c r="L76" s="34">
        <f t="shared" si="13"/>
        <v>0</v>
      </c>
      <c r="M76" s="18">
        <f t="shared" si="15"/>
        <v>0</v>
      </c>
    </row>
    <row r="77" spans="1:13" s="71" customFormat="1" ht="33.75" customHeight="1">
      <c r="A77" s="47"/>
      <c r="B77" s="36" t="s">
        <v>84</v>
      </c>
      <c r="C77" s="75">
        <v>55194</v>
      </c>
      <c r="D77" s="33"/>
      <c r="E77" s="34">
        <f t="shared" si="16"/>
        <v>55194</v>
      </c>
      <c r="F77" s="75">
        <v>55194</v>
      </c>
      <c r="G77" s="33"/>
      <c r="H77" s="34">
        <f t="shared" si="14"/>
        <v>55194</v>
      </c>
      <c r="I77" s="18">
        <f t="shared" si="12"/>
        <v>1</v>
      </c>
      <c r="J77" s="33"/>
      <c r="K77" s="33"/>
      <c r="L77" s="34">
        <f t="shared" si="13"/>
        <v>0</v>
      </c>
      <c r="M77" s="18">
        <f t="shared" si="15"/>
        <v>0</v>
      </c>
    </row>
    <row r="78" spans="1:13" s="71" customFormat="1" ht="13.5" customHeight="1">
      <c r="A78" s="47"/>
      <c r="B78" s="36" t="s">
        <v>85</v>
      </c>
      <c r="C78" s="75"/>
      <c r="D78" s="33"/>
      <c r="E78" s="34">
        <f t="shared" si="16"/>
        <v>0</v>
      </c>
      <c r="F78" s="33">
        <v>339759</v>
      </c>
      <c r="G78" s="33"/>
      <c r="H78" s="34">
        <f t="shared" si="14"/>
        <v>339759</v>
      </c>
      <c r="I78" s="18"/>
      <c r="J78" s="33"/>
      <c r="K78" s="33"/>
      <c r="L78" s="34">
        <f t="shared" si="13"/>
        <v>0</v>
      </c>
      <c r="M78" s="18">
        <f t="shared" si="15"/>
        <v>0</v>
      </c>
    </row>
    <row r="79" spans="1:13" s="71" customFormat="1" ht="35.25" customHeight="1">
      <c r="A79" s="47"/>
      <c r="B79" s="68" t="s">
        <v>86</v>
      </c>
      <c r="C79" s="33">
        <v>72295</v>
      </c>
      <c r="D79" s="33"/>
      <c r="E79" s="34">
        <f t="shared" si="16"/>
        <v>72295</v>
      </c>
      <c r="F79" s="33">
        <v>57932</v>
      </c>
      <c r="G79" s="33"/>
      <c r="H79" s="34">
        <f t="shared" si="14"/>
        <v>57932</v>
      </c>
      <c r="I79" s="18">
        <f>H79/E79</f>
        <v>0.8013278926620098</v>
      </c>
      <c r="J79" s="33">
        <v>37827</v>
      </c>
      <c r="K79" s="33"/>
      <c r="L79" s="34">
        <f t="shared" si="13"/>
        <v>37827</v>
      </c>
      <c r="M79" s="18">
        <f t="shared" si="15"/>
        <v>0.6529551888420907</v>
      </c>
    </row>
    <row r="80" spans="1:13" s="71" customFormat="1" ht="43.5" customHeight="1">
      <c r="A80" s="47"/>
      <c r="B80" s="36" t="s">
        <v>87</v>
      </c>
      <c r="C80" s="33">
        <v>6858</v>
      </c>
      <c r="D80" s="33"/>
      <c r="E80" s="34">
        <f t="shared" si="16"/>
        <v>6858</v>
      </c>
      <c r="F80" s="33">
        <v>6858</v>
      </c>
      <c r="G80" s="33"/>
      <c r="H80" s="34">
        <f t="shared" si="14"/>
        <v>6858</v>
      </c>
      <c r="I80" s="18">
        <f>H80/E80</f>
        <v>1</v>
      </c>
      <c r="J80" s="33"/>
      <c r="K80" s="33"/>
      <c r="L80" s="34">
        <f t="shared" si="13"/>
        <v>0</v>
      </c>
      <c r="M80" s="18">
        <f t="shared" si="15"/>
        <v>0</v>
      </c>
    </row>
    <row r="81" spans="1:13" s="71" customFormat="1" ht="24" customHeight="1">
      <c r="A81" s="47"/>
      <c r="B81" s="36" t="s">
        <v>88</v>
      </c>
      <c r="C81" s="33"/>
      <c r="D81" s="33"/>
      <c r="E81" s="34">
        <f t="shared" si="16"/>
        <v>0</v>
      </c>
      <c r="F81" s="33">
        <v>303567</v>
      </c>
      <c r="G81" s="33"/>
      <c r="H81" s="34">
        <f t="shared" si="14"/>
        <v>303567</v>
      </c>
      <c r="I81" s="18"/>
      <c r="J81" s="33">
        <v>2644736</v>
      </c>
      <c r="K81" s="33"/>
      <c r="L81" s="34">
        <f t="shared" si="13"/>
        <v>2644736</v>
      </c>
      <c r="M81" s="18">
        <f t="shared" si="15"/>
        <v>8.712198625015235</v>
      </c>
    </row>
    <row r="82" spans="1:13" s="71" customFormat="1" ht="33.75">
      <c r="A82" s="47"/>
      <c r="B82" s="68" t="s">
        <v>89</v>
      </c>
      <c r="C82" s="75"/>
      <c r="D82" s="75"/>
      <c r="E82" s="34">
        <f t="shared" si="16"/>
        <v>0</v>
      </c>
      <c r="F82" s="75">
        <v>158000</v>
      </c>
      <c r="G82" s="75"/>
      <c r="H82" s="34">
        <f t="shared" si="14"/>
        <v>158000</v>
      </c>
      <c r="I82" s="18"/>
      <c r="J82" s="75"/>
      <c r="K82" s="75"/>
      <c r="L82" s="34">
        <f t="shared" si="13"/>
        <v>0</v>
      </c>
      <c r="M82" s="18">
        <f t="shared" si="15"/>
        <v>0</v>
      </c>
    </row>
    <row r="83" spans="1:13" s="71" customFormat="1" ht="24" customHeight="1">
      <c r="A83" s="47"/>
      <c r="B83" s="36" t="s">
        <v>90</v>
      </c>
      <c r="C83" s="75"/>
      <c r="D83" s="75"/>
      <c r="E83" s="34">
        <f t="shared" si="16"/>
        <v>0</v>
      </c>
      <c r="F83" s="75">
        <v>15000</v>
      </c>
      <c r="G83" s="75"/>
      <c r="H83" s="34">
        <f t="shared" si="14"/>
        <v>15000</v>
      </c>
      <c r="I83" s="18"/>
      <c r="J83" s="75"/>
      <c r="K83" s="75"/>
      <c r="L83" s="34">
        <f t="shared" si="13"/>
        <v>0</v>
      </c>
      <c r="M83" s="18">
        <f t="shared" si="15"/>
        <v>0</v>
      </c>
    </row>
    <row r="84" spans="1:13" s="71" customFormat="1" ht="33.75" customHeight="1">
      <c r="A84" s="47"/>
      <c r="B84" s="68" t="s">
        <v>91</v>
      </c>
      <c r="C84" s="33">
        <v>158704</v>
      </c>
      <c r="D84" s="33">
        <f>75296-2869</f>
        <v>72427</v>
      </c>
      <c r="E84" s="34">
        <f t="shared" si="16"/>
        <v>231131</v>
      </c>
      <c r="F84" s="33">
        <v>158704</v>
      </c>
      <c r="G84" s="33">
        <f>75296-2869</f>
        <v>72427</v>
      </c>
      <c r="H84" s="34">
        <f t="shared" si="14"/>
        <v>231131</v>
      </c>
      <c r="I84" s="18">
        <f>H84/E84</f>
        <v>1</v>
      </c>
      <c r="J84" s="33"/>
      <c r="K84" s="33"/>
      <c r="L84" s="34">
        <f t="shared" si="13"/>
        <v>0</v>
      </c>
      <c r="M84" s="18">
        <f t="shared" si="15"/>
        <v>0</v>
      </c>
    </row>
    <row r="85" spans="1:13" s="30" customFormat="1" ht="24">
      <c r="A85" s="26">
        <v>7</v>
      </c>
      <c r="B85" s="27" t="s">
        <v>92</v>
      </c>
      <c r="C85" s="55">
        <f>SUM(C86:C109)</f>
        <v>7279651</v>
      </c>
      <c r="D85" s="55">
        <f>SUM(D86:D109)</f>
        <v>21147308</v>
      </c>
      <c r="E85" s="55">
        <f t="shared" si="16"/>
        <v>28426959</v>
      </c>
      <c r="F85" s="55">
        <f>SUM(F86:F109)</f>
        <v>11138136.100000001</v>
      </c>
      <c r="G85" s="55">
        <f>SUM(G86:G109)</f>
        <v>24248359.560000002</v>
      </c>
      <c r="H85" s="55">
        <f t="shared" si="14"/>
        <v>35386495.660000004</v>
      </c>
      <c r="I85" s="18">
        <f>H85/E85</f>
        <v>1.244821708153869</v>
      </c>
      <c r="J85" s="55">
        <f>SUM(J86:J109)</f>
        <v>23558568</v>
      </c>
      <c r="K85" s="55">
        <f>SUM(K86:K109)</f>
        <v>20016735</v>
      </c>
      <c r="L85" s="55">
        <f t="shared" si="13"/>
        <v>43575303</v>
      </c>
      <c r="M85" s="18">
        <f t="shared" si="15"/>
        <v>1.2314105193879488</v>
      </c>
    </row>
    <row r="86" spans="1:13" s="69" customFormat="1" ht="15" customHeight="1">
      <c r="A86" s="47"/>
      <c r="B86" s="48" t="s">
        <v>93</v>
      </c>
      <c r="C86" s="33"/>
      <c r="D86" s="33">
        <v>2740426</v>
      </c>
      <c r="E86" s="34">
        <f t="shared" si="16"/>
        <v>2740426</v>
      </c>
      <c r="F86" s="33"/>
      <c r="G86" s="33">
        <v>3361639.51</v>
      </c>
      <c r="H86" s="34">
        <f t="shared" si="14"/>
        <v>3361639.51</v>
      </c>
      <c r="I86" s="18">
        <f>H86/E86</f>
        <v>1.2266850153954165</v>
      </c>
      <c r="J86" s="33"/>
      <c r="K86" s="33"/>
      <c r="L86" s="34">
        <f t="shared" si="13"/>
        <v>0</v>
      </c>
      <c r="M86" s="18">
        <f t="shared" si="15"/>
        <v>0</v>
      </c>
    </row>
    <row r="87" spans="1:13" s="69" customFormat="1" ht="15" customHeight="1">
      <c r="A87" s="47"/>
      <c r="B87" s="48" t="s">
        <v>94</v>
      </c>
      <c r="C87" s="33"/>
      <c r="D87" s="33">
        <v>8493045</v>
      </c>
      <c r="E87" s="34">
        <f t="shared" si="16"/>
        <v>8493045</v>
      </c>
      <c r="F87" s="33"/>
      <c r="G87" s="33">
        <v>10972883.05</v>
      </c>
      <c r="H87" s="34">
        <f t="shared" si="14"/>
        <v>10972883.05</v>
      </c>
      <c r="I87" s="18">
        <f>H87/E87</f>
        <v>1.2919845650176116</v>
      </c>
      <c r="J87" s="33"/>
      <c r="K87" s="33"/>
      <c r="L87" s="34">
        <f t="shared" si="13"/>
        <v>0</v>
      </c>
      <c r="M87" s="18">
        <f t="shared" si="15"/>
        <v>0</v>
      </c>
    </row>
    <row r="88" spans="1:13" s="69" customFormat="1" ht="12.75" customHeight="1">
      <c r="A88" s="47"/>
      <c r="B88" s="48" t="s">
        <v>95</v>
      </c>
      <c r="C88" s="33"/>
      <c r="D88" s="33">
        <v>9749923</v>
      </c>
      <c r="E88" s="34">
        <f t="shared" si="16"/>
        <v>9749923</v>
      </c>
      <c r="F88" s="33"/>
      <c r="G88" s="33">
        <v>9749923</v>
      </c>
      <c r="H88" s="34">
        <f t="shared" si="14"/>
        <v>9749923</v>
      </c>
      <c r="I88" s="18">
        <f>H88/E88</f>
        <v>1</v>
      </c>
      <c r="J88" s="33"/>
      <c r="K88" s="33"/>
      <c r="L88" s="34">
        <f t="shared" si="13"/>
        <v>0</v>
      </c>
      <c r="M88" s="18">
        <f t="shared" si="15"/>
        <v>0</v>
      </c>
    </row>
    <row r="89" spans="1:13" s="69" customFormat="1" ht="34.5" customHeight="1">
      <c r="A89" s="47"/>
      <c r="B89" s="48" t="s">
        <v>96</v>
      </c>
      <c r="C89" s="33"/>
      <c r="D89" s="33"/>
      <c r="E89" s="34">
        <f t="shared" si="16"/>
        <v>0</v>
      </c>
      <c r="F89" s="33"/>
      <c r="G89" s="33"/>
      <c r="H89" s="34">
        <f t="shared" si="14"/>
        <v>0</v>
      </c>
      <c r="I89" s="18"/>
      <c r="J89" s="33"/>
      <c r="K89" s="33">
        <v>20000000</v>
      </c>
      <c r="L89" s="34">
        <f t="shared" si="13"/>
        <v>20000000</v>
      </c>
      <c r="M89" s="18"/>
    </row>
    <row r="90" spans="1:13" s="69" customFormat="1" ht="33.75">
      <c r="A90" s="47"/>
      <c r="B90" s="36" t="s">
        <v>97</v>
      </c>
      <c r="C90" s="33">
        <v>117557</v>
      </c>
      <c r="D90" s="33"/>
      <c r="E90" s="34">
        <f t="shared" si="16"/>
        <v>117557</v>
      </c>
      <c r="F90" s="33">
        <v>117557</v>
      </c>
      <c r="G90" s="33"/>
      <c r="H90" s="34">
        <f t="shared" si="14"/>
        <v>117557</v>
      </c>
      <c r="I90" s="18">
        <f>H90/E90</f>
        <v>1</v>
      </c>
      <c r="J90" s="33"/>
      <c r="K90" s="33"/>
      <c r="L90" s="34">
        <f t="shared" si="13"/>
        <v>0</v>
      </c>
      <c r="M90" s="18">
        <f>L90/H90</f>
        <v>0</v>
      </c>
    </row>
    <row r="91" spans="1:13" s="69" customFormat="1" ht="21.75" customHeight="1">
      <c r="A91" s="47"/>
      <c r="B91" s="36" t="s">
        <v>82</v>
      </c>
      <c r="C91" s="33">
        <v>898702</v>
      </c>
      <c r="D91" s="33"/>
      <c r="E91" s="34">
        <f t="shared" si="16"/>
        <v>898702</v>
      </c>
      <c r="F91" s="33">
        <v>884079</v>
      </c>
      <c r="G91" s="33"/>
      <c r="H91" s="34">
        <f t="shared" si="14"/>
        <v>884079</v>
      </c>
      <c r="I91" s="18">
        <f>H91/E91</f>
        <v>0.9837287554717804</v>
      </c>
      <c r="J91" s="33">
        <v>474540</v>
      </c>
      <c r="K91" s="33"/>
      <c r="L91" s="34">
        <f t="shared" si="13"/>
        <v>474540</v>
      </c>
      <c r="M91" s="18">
        <f>L91/H91</f>
        <v>0.5367619862025905</v>
      </c>
    </row>
    <row r="92" spans="1:13" s="69" customFormat="1" ht="22.5">
      <c r="A92" s="47"/>
      <c r="B92" s="48" t="s">
        <v>98</v>
      </c>
      <c r="C92" s="33"/>
      <c r="D92" s="33"/>
      <c r="E92" s="34">
        <f t="shared" si="16"/>
        <v>0</v>
      </c>
      <c r="F92" s="33">
        <v>275956.69</v>
      </c>
      <c r="G92" s="33"/>
      <c r="H92" s="34">
        <f t="shared" si="14"/>
        <v>275956.69</v>
      </c>
      <c r="I92" s="18"/>
      <c r="J92" s="33"/>
      <c r="K92" s="33"/>
      <c r="L92" s="34">
        <f t="shared" si="13"/>
        <v>0</v>
      </c>
      <c r="M92" s="18">
        <f>L92/H92</f>
        <v>0</v>
      </c>
    </row>
    <row r="93" spans="1:13" s="35" customFormat="1" ht="22.5" customHeight="1">
      <c r="A93" s="64"/>
      <c r="B93" s="36" t="s">
        <v>83</v>
      </c>
      <c r="C93" s="33">
        <v>1871823</v>
      </c>
      <c r="D93" s="76"/>
      <c r="E93" s="34">
        <f t="shared" si="16"/>
        <v>1871823</v>
      </c>
      <c r="F93" s="33">
        <v>1871823</v>
      </c>
      <c r="G93" s="76"/>
      <c r="H93" s="34">
        <f t="shared" si="14"/>
        <v>1871823</v>
      </c>
      <c r="I93" s="18">
        <f>H93/E93</f>
        <v>1</v>
      </c>
      <c r="J93" s="76"/>
      <c r="K93" s="76"/>
      <c r="L93" s="34">
        <f t="shared" si="13"/>
        <v>0</v>
      </c>
      <c r="M93" s="18">
        <f>L93/H93</f>
        <v>0</v>
      </c>
    </row>
    <row r="94" spans="1:13" s="35" customFormat="1" ht="24" customHeight="1">
      <c r="A94" s="64"/>
      <c r="B94" s="36" t="s">
        <v>99</v>
      </c>
      <c r="C94" s="76">
        <f>11414+57+819+47837+76539</f>
        <v>136666</v>
      </c>
      <c r="D94" s="76">
        <f>11423+11276</f>
        <v>22699</v>
      </c>
      <c r="E94" s="34">
        <f t="shared" si="16"/>
        <v>159365</v>
      </c>
      <c r="F94" s="76">
        <f>11414+57+819+47837+76539</f>
        <v>136666</v>
      </c>
      <c r="G94" s="76">
        <f>11423+11276</f>
        <v>22699</v>
      </c>
      <c r="H94" s="34">
        <f t="shared" si="14"/>
        <v>159365</v>
      </c>
      <c r="I94" s="18">
        <f>H94/E94</f>
        <v>1</v>
      </c>
      <c r="J94" s="33">
        <f>8368+19347+15887+15812+15888</f>
        <v>75302</v>
      </c>
      <c r="K94" s="76">
        <v>16735</v>
      </c>
      <c r="L94" s="34">
        <f aca="true" t="shared" si="17" ref="L94:L125">SUM(J94:K94)</f>
        <v>92037</v>
      </c>
      <c r="M94" s="18">
        <f>L94/H94</f>
        <v>0.5775232955793305</v>
      </c>
    </row>
    <row r="95" spans="1:13" s="69" customFormat="1" ht="15" customHeight="1">
      <c r="A95" s="47"/>
      <c r="B95" s="48" t="s">
        <v>100</v>
      </c>
      <c r="C95" s="33"/>
      <c r="D95" s="75">
        <v>15517</v>
      </c>
      <c r="E95" s="34">
        <f t="shared" si="16"/>
        <v>15517</v>
      </c>
      <c r="F95" s="33"/>
      <c r="G95" s="75">
        <v>15517</v>
      </c>
      <c r="H95" s="34"/>
      <c r="I95" s="18">
        <f>H95/E95</f>
        <v>0</v>
      </c>
      <c r="J95" s="33"/>
      <c r="K95" s="75"/>
      <c r="L95" s="34">
        <f t="shared" si="17"/>
        <v>0</v>
      </c>
      <c r="M95" s="18"/>
    </row>
    <row r="96" spans="1:13" s="69" customFormat="1" ht="24.75" customHeight="1">
      <c r="A96" s="47"/>
      <c r="B96" s="48" t="s">
        <v>101</v>
      </c>
      <c r="C96" s="33"/>
      <c r="D96" s="77"/>
      <c r="E96" s="34">
        <f t="shared" si="16"/>
        <v>0</v>
      </c>
      <c r="F96" s="33">
        <f>1720216+697361</f>
        <v>2417577</v>
      </c>
      <c r="G96" s="75"/>
      <c r="H96" s="34">
        <f aca="true" t="shared" si="18" ref="H96:H143">SUM(F96:G96)</f>
        <v>2417577</v>
      </c>
      <c r="I96" s="18"/>
      <c r="J96" s="33">
        <f>14986840+6658628</f>
        <v>21645468</v>
      </c>
      <c r="K96" s="75"/>
      <c r="L96" s="34">
        <f t="shared" si="17"/>
        <v>21645468</v>
      </c>
      <c r="M96" s="18">
        <f aca="true" t="shared" si="19" ref="M96:M103">L96/H96</f>
        <v>8.953372736421633</v>
      </c>
    </row>
    <row r="97" spans="1:13" s="69" customFormat="1" ht="25.5" customHeight="1">
      <c r="A97" s="47"/>
      <c r="B97" s="48" t="s">
        <v>102</v>
      </c>
      <c r="C97" s="33">
        <v>39456</v>
      </c>
      <c r="D97" s="77"/>
      <c r="E97" s="34">
        <f t="shared" si="16"/>
        <v>39456</v>
      </c>
      <c r="F97" s="33">
        <v>39456</v>
      </c>
      <c r="G97" s="75"/>
      <c r="H97" s="34">
        <f t="shared" si="18"/>
        <v>39456</v>
      </c>
      <c r="I97" s="18">
        <f>H97/E97</f>
        <v>1</v>
      </c>
      <c r="J97" s="33"/>
      <c r="K97" s="75"/>
      <c r="L97" s="34">
        <f t="shared" si="17"/>
        <v>0</v>
      </c>
      <c r="M97" s="18">
        <f t="shared" si="19"/>
        <v>0</v>
      </c>
    </row>
    <row r="98" spans="1:13" s="69" customFormat="1" ht="12.75" customHeight="1">
      <c r="A98" s="47"/>
      <c r="B98" s="68" t="s">
        <v>103</v>
      </c>
      <c r="C98" s="33"/>
      <c r="D98" s="77"/>
      <c r="E98" s="34">
        <f t="shared" si="16"/>
        <v>0</v>
      </c>
      <c r="F98" s="33">
        <v>226854.61</v>
      </c>
      <c r="G98" s="75"/>
      <c r="H98" s="34">
        <f t="shared" si="18"/>
        <v>226854.61</v>
      </c>
      <c r="I98" s="18"/>
      <c r="J98" s="33"/>
      <c r="K98" s="75"/>
      <c r="L98" s="34">
        <f t="shared" si="17"/>
        <v>0</v>
      </c>
      <c r="M98" s="18">
        <f t="shared" si="19"/>
        <v>0</v>
      </c>
    </row>
    <row r="99" spans="1:13" s="69" customFormat="1" ht="48" customHeight="1">
      <c r="A99" s="47"/>
      <c r="B99" s="68" t="s">
        <v>104</v>
      </c>
      <c r="C99" s="33">
        <v>3793884</v>
      </c>
      <c r="D99" s="77"/>
      <c r="E99" s="34">
        <f t="shared" si="16"/>
        <v>3793884</v>
      </c>
      <c r="F99" s="33">
        <v>3793884</v>
      </c>
      <c r="G99" s="75"/>
      <c r="H99" s="34">
        <f t="shared" si="18"/>
        <v>3793884</v>
      </c>
      <c r="I99" s="18">
        <f>H99/E99</f>
        <v>1</v>
      </c>
      <c r="J99" s="33"/>
      <c r="K99" s="75"/>
      <c r="L99" s="34">
        <f t="shared" si="17"/>
        <v>0</v>
      </c>
      <c r="M99" s="18">
        <f t="shared" si="19"/>
        <v>0</v>
      </c>
    </row>
    <row r="100" spans="1:13" s="69" customFormat="1" ht="26.25" customHeight="1">
      <c r="A100" s="47"/>
      <c r="B100" s="68" t="s">
        <v>105</v>
      </c>
      <c r="C100" s="33"/>
      <c r="D100" s="33">
        <v>55386</v>
      </c>
      <c r="E100" s="34">
        <f t="shared" si="16"/>
        <v>55386</v>
      </c>
      <c r="F100" s="33"/>
      <c r="G100" s="33">
        <v>55386</v>
      </c>
      <c r="H100" s="34">
        <f t="shared" si="18"/>
        <v>55386</v>
      </c>
      <c r="I100" s="18">
        <f>H100/E100</f>
        <v>1</v>
      </c>
      <c r="J100" s="33"/>
      <c r="K100" s="75"/>
      <c r="L100" s="34">
        <f t="shared" si="17"/>
        <v>0</v>
      </c>
      <c r="M100" s="18">
        <f t="shared" si="19"/>
        <v>0</v>
      </c>
    </row>
    <row r="101" spans="1:13" s="69" customFormat="1" ht="33" customHeight="1">
      <c r="A101" s="47"/>
      <c r="B101" s="68" t="s">
        <v>106</v>
      </c>
      <c r="C101" s="33"/>
      <c r="D101" s="33">
        <v>70312</v>
      </c>
      <c r="E101" s="34">
        <f t="shared" si="16"/>
        <v>70312</v>
      </c>
      <c r="F101" s="33"/>
      <c r="G101" s="33">
        <v>70312</v>
      </c>
      <c r="H101" s="34">
        <f t="shared" si="18"/>
        <v>70312</v>
      </c>
      <c r="I101" s="18">
        <f>H101/E101</f>
        <v>1</v>
      </c>
      <c r="J101" s="33"/>
      <c r="K101" s="75"/>
      <c r="L101" s="34">
        <f t="shared" si="17"/>
        <v>0</v>
      </c>
      <c r="M101" s="18">
        <f t="shared" si="19"/>
        <v>0</v>
      </c>
    </row>
    <row r="102" spans="1:13" s="69" customFormat="1" ht="22.5">
      <c r="A102" s="47"/>
      <c r="B102" s="36" t="s">
        <v>85</v>
      </c>
      <c r="C102" s="33"/>
      <c r="D102" s="33"/>
      <c r="E102" s="34">
        <f t="shared" si="16"/>
        <v>0</v>
      </c>
      <c r="F102" s="33">
        <v>1019275.5</v>
      </c>
      <c r="G102" s="75"/>
      <c r="H102" s="34">
        <f t="shared" si="18"/>
        <v>1019275.5</v>
      </c>
      <c r="I102" s="18"/>
      <c r="J102" s="33"/>
      <c r="K102" s="75"/>
      <c r="L102" s="34">
        <f t="shared" si="17"/>
        <v>0</v>
      </c>
      <c r="M102" s="18">
        <f t="shared" si="19"/>
        <v>0</v>
      </c>
    </row>
    <row r="103" spans="1:13" s="69" customFormat="1" ht="21.75" customHeight="1">
      <c r="A103" s="47"/>
      <c r="B103" s="36" t="s">
        <v>107</v>
      </c>
      <c r="C103" s="33"/>
      <c r="D103" s="33"/>
      <c r="E103" s="34">
        <f t="shared" si="16"/>
        <v>0</v>
      </c>
      <c r="F103" s="33">
        <v>14832.3</v>
      </c>
      <c r="G103" s="75"/>
      <c r="H103" s="34">
        <f t="shared" si="18"/>
        <v>14832.3</v>
      </c>
      <c r="I103" s="18"/>
      <c r="J103" s="33"/>
      <c r="K103" s="75"/>
      <c r="L103" s="34">
        <f t="shared" si="17"/>
        <v>0</v>
      </c>
      <c r="M103" s="18">
        <f t="shared" si="19"/>
        <v>0</v>
      </c>
    </row>
    <row r="104" spans="1:13" s="69" customFormat="1" ht="21" customHeight="1">
      <c r="A104" s="47"/>
      <c r="B104" s="36" t="s">
        <v>108</v>
      </c>
      <c r="C104" s="33"/>
      <c r="D104" s="33"/>
      <c r="E104" s="34">
        <f t="shared" si="16"/>
        <v>0</v>
      </c>
      <c r="F104" s="33"/>
      <c r="G104" s="75"/>
      <c r="H104" s="34">
        <f t="shared" si="18"/>
        <v>0</v>
      </c>
      <c r="I104" s="18"/>
      <c r="J104" s="33">
        <v>138947</v>
      </c>
      <c r="K104" s="75"/>
      <c r="L104" s="34">
        <f t="shared" si="17"/>
        <v>138947</v>
      </c>
      <c r="M104" s="18"/>
    </row>
    <row r="105" spans="1:13" s="69" customFormat="1" ht="24.75" customHeight="1">
      <c r="A105" s="47"/>
      <c r="B105" s="36" t="s">
        <v>109</v>
      </c>
      <c r="C105" s="33"/>
      <c r="D105" s="33"/>
      <c r="E105" s="34">
        <f t="shared" si="16"/>
        <v>0</v>
      </c>
      <c r="F105" s="33"/>
      <c r="G105" s="75"/>
      <c r="H105" s="34">
        <f t="shared" si="18"/>
        <v>0</v>
      </c>
      <c r="I105" s="18"/>
      <c r="J105" s="33">
        <v>228913</v>
      </c>
      <c r="K105" s="75"/>
      <c r="L105" s="34">
        <f t="shared" si="17"/>
        <v>228913</v>
      </c>
      <c r="M105" s="18"/>
    </row>
    <row r="106" spans="1:13" s="69" customFormat="1" ht="13.5" customHeight="1">
      <c r="A106" s="47"/>
      <c r="B106" s="36" t="s">
        <v>110</v>
      </c>
      <c r="C106" s="33"/>
      <c r="D106" s="33"/>
      <c r="E106" s="34">
        <f t="shared" si="16"/>
        <v>0</v>
      </c>
      <c r="F106" s="33"/>
      <c r="G106" s="75"/>
      <c r="H106" s="34">
        <f t="shared" si="18"/>
        <v>0</v>
      </c>
      <c r="I106" s="18"/>
      <c r="J106" s="33">
        <v>390034</v>
      </c>
      <c r="K106" s="75"/>
      <c r="L106" s="34">
        <f t="shared" si="17"/>
        <v>390034</v>
      </c>
      <c r="M106" s="18"/>
    </row>
    <row r="107" spans="1:13" s="69" customFormat="1" ht="22.5" customHeight="1">
      <c r="A107" s="47"/>
      <c r="B107" s="36" t="s">
        <v>111</v>
      </c>
      <c r="C107" s="33"/>
      <c r="D107" s="33"/>
      <c r="E107" s="34">
        <f aca="true" t="shared" si="20" ref="E107:E138">SUM(C107:D107)</f>
        <v>0</v>
      </c>
      <c r="F107" s="33"/>
      <c r="G107" s="75"/>
      <c r="H107" s="34">
        <f t="shared" si="18"/>
        <v>0</v>
      </c>
      <c r="I107" s="18"/>
      <c r="J107" s="33">
        <v>343440</v>
      </c>
      <c r="K107" s="75"/>
      <c r="L107" s="34">
        <f t="shared" si="17"/>
        <v>343440</v>
      </c>
      <c r="M107" s="18"/>
    </row>
    <row r="108" spans="1:13" s="69" customFormat="1" ht="22.5" customHeight="1">
      <c r="A108" s="47"/>
      <c r="B108" s="36" t="s">
        <v>112</v>
      </c>
      <c r="C108" s="33">
        <v>11892</v>
      </c>
      <c r="D108" s="33"/>
      <c r="E108" s="34">
        <f t="shared" si="20"/>
        <v>11892</v>
      </c>
      <c r="F108" s="33">
        <v>11892</v>
      </c>
      <c r="G108" s="75"/>
      <c r="H108" s="34">
        <f t="shared" si="18"/>
        <v>11892</v>
      </c>
      <c r="I108" s="18">
        <f aca="true" t="shared" si="21" ref="I108:I122">H108/E108</f>
        <v>1</v>
      </c>
      <c r="J108" s="33">
        <v>47570</v>
      </c>
      <c r="K108" s="75"/>
      <c r="L108" s="34">
        <f t="shared" si="17"/>
        <v>47570</v>
      </c>
      <c r="M108" s="18">
        <f aca="true" t="shared" si="22" ref="M108:M122">L108/H108</f>
        <v>4.00016818028927</v>
      </c>
    </row>
    <row r="109" spans="1:13" s="69" customFormat="1" ht="33.75" customHeight="1">
      <c r="A109" s="47"/>
      <c r="B109" s="68" t="s">
        <v>86</v>
      </c>
      <c r="C109" s="33">
        <f>481966-72295</f>
        <v>409671</v>
      </c>
      <c r="D109" s="33"/>
      <c r="E109" s="34">
        <f t="shared" si="20"/>
        <v>409671</v>
      </c>
      <c r="F109" s="33">
        <v>328283</v>
      </c>
      <c r="G109" s="75"/>
      <c r="H109" s="34">
        <f t="shared" si="18"/>
        <v>328283</v>
      </c>
      <c r="I109" s="18">
        <f t="shared" si="21"/>
        <v>0.8013332649858057</v>
      </c>
      <c r="J109" s="33">
        <v>214354</v>
      </c>
      <c r="K109" s="75"/>
      <c r="L109" s="34">
        <f t="shared" si="17"/>
        <v>214354</v>
      </c>
      <c r="M109" s="18">
        <f t="shared" si="22"/>
        <v>0.6529549199928111</v>
      </c>
    </row>
    <row r="110" spans="1:13" s="30" customFormat="1" ht="24">
      <c r="A110" s="26">
        <v>8</v>
      </c>
      <c r="B110" s="27" t="s">
        <v>113</v>
      </c>
      <c r="C110" s="55">
        <f>SUM(C111:C112)</f>
        <v>250256727</v>
      </c>
      <c r="D110" s="55">
        <f>SUM(D111:D112)</f>
        <v>68535016</v>
      </c>
      <c r="E110" s="55">
        <f t="shared" si="20"/>
        <v>318791743</v>
      </c>
      <c r="F110" s="55">
        <f>SUM(F111:F112)</f>
        <v>250256727</v>
      </c>
      <c r="G110" s="55">
        <f>SUM(G111:G112)</f>
        <v>68535016</v>
      </c>
      <c r="H110" s="55">
        <f t="shared" si="18"/>
        <v>318791743</v>
      </c>
      <c r="I110" s="18">
        <f t="shared" si="21"/>
        <v>1</v>
      </c>
      <c r="J110" s="55">
        <f>SUM(J111:J112)</f>
        <v>242361147</v>
      </c>
      <c r="K110" s="55">
        <f>SUM(K111:K112)</f>
        <v>65955597</v>
      </c>
      <c r="L110" s="55">
        <f t="shared" si="17"/>
        <v>308316744</v>
      </c>
      <c r="M110" s="18">
        <f t="shared" si="22"/>
        <v>0.9671415611288277</v>
      </c>
    </row>
    <row r="111" spans="1:13" s="69" customFormat="1" ht="12.75" customHeight="1">
      <c r="A111" s="47"/>
      <c r="B111" s="48" t="s">
        <v>114</v>
      </c>
      <c r="C111" s="33">
        <f>242056727-11600000</f>
        <v>230456727</v>
      </c>
      <c r="D111" s="33">
        <f>67567578-3232562</f>
        <v>64335016</v>
      </c>
      <c r="E111" s="34">
        <f t="shared" si="20"/>
        <v>294791743</v>
      </c>
      <c r="F111" s="33">
        <f>242056727-11600000</f>
        <v>230456727</v>
      </c>
      <c r="G111" s="33">
        <f>67567578-3232562</f>
        <v>64335016</v>
      </c>
      <c r="H111" s="34">
        <f t="shared" si="18"/>
        <v>294791743</v>
      </c>
      <c r="I111" s="18">
        <f t="shared" si="21"/>
        <v>1</v>
      </c>
      <c r="J111" s="33">
        <v>222561147</v>
      </c>
      <c r="K111" s="33">
        <v>61755597</v>
      </c>
      <c r="L111" s="34">
        <f t="shared" si="17"/>
        <v>284316744</v>
      </c>
      <c r="M111" s="18">
        <f t="shared" si="22"/>
        <v>0.9644664436886891</v>
      </c>
    </row>
    <row r="112" spans="1:13" s="69" customFormat="1" ht="12.75" customHeight="1">
      <c r="A112" s="47"/>
      <c r="B112" s="48" t="s">
        <v>115</v>
      </c>
      <c r="C112" s="33">
        <f>23900000-4100000</f>
        <v>19800000</v>
      </c>
      <c r="D112" s="33">
        <f>5100000-900000</f>
        <v>4200000</v>
      </c>
      <c r="E112" s="34">
        <f t="shared" si="20"/>
        <v>24000000</v>
      </c>
      <c r="F112" s="33">
        <f>23900000-4100000</f>
        <v>19800000</v>
      </c>
      <c r="G112" s="33">
        <f>5100000-900000</f>
        <v>4200000</v>
      </c>
      <c r="H112" s="34">
        <f t="shared" si="18"/>
        <v>24000000</v>
      </c>
      <c r="I112" s="18">
        <f t="shared" si="21"/>
        <v>1</v>
      </c>
      <c r="J112" s="33">
        <v>19800000</v>
      </c>
      <c r="K112" s="33">
        <v>4200000</v>
      </c>
      <c r="L112" s="34">
        <f t="shared" si="17"/>
        <v>24000000</v>
      </c>
      <c r="M112" s="18">
        <f t="shared" si="22"/>
        <v>1</v>
      </c>
    </row>
    <row r="113" spans="1:13" s="25" customFormat="1" ht="18" customHeight="1">
      <c r="A113" s="21" t="s">
        <v>116</v>
      </c>
      <c r="B113" s="21"/>
      <c r="C113" s="17">
        <f>SUM(C114:C115)</f>
        <v>89831092</v>
      </c>
      <c r="D113" s="17">
        <f>SUM(D114:D115)</f>
        <v>92074962</v>
      </c>
      <c r="E113" s="17">
        <f t="shared" si="20"/>
        <v>181906054</v>
      </c>
      <c r="F113" s="17">
        <f>SUM(F114:F115)</f>
        <v>89831092</v>
      </c>
      <c r="G113" s="17">
        <f>SUM(G114:G115)</f>
        <v>92074962</v>
      </c>
      <c r="H113" s="17">
        <f t="shared" si="18"/>
        <v>181906054</v>
      </c>
      <c r="I113" s="18">
        <f t="shared" si="21"/>
        <v>1</v>
      </c>
      <c r="J113" s="17">
        <f>SUM(J114:J115)</f>
        <v>99421646</v>
      </c>
      <c r="K113" s="17">
        <f>SUM(K114:K115)</f>
        <v>91580850</v>
      </c>
      <c r="L113" s="17">
        <f t="shared" si="17"/>
        <v>191002496</v>
      </c>
      <c r="M113" s="18">
        <f t="shared" si="22"/>
        <v>1.0500062631230513</v>
      </c>
    </row>
    <row r="114" spans="1:13" s="65" customFormat="1" ht="14.25" customHeight="1">
      <c r="A114" s="47">
        <v>1</v>
      </c>
      <c r="B114" s="48" t="s">
        <v>117</v>
      </c>
      <c r="C114" s="33">
        <f>80587643+9035839+195250+12360</f>
        <v>89831092</v>
      </c>
      <c r="D114" s="33">
        <f>95772194-11836037+126500</f>
        <v>84062657</v>
      </c>
      <c r="E114" s="34">
        <f t="shared" si="20"/>
        <v>173893749</v>
      </c>
      <c r="F114" s="33">
        <f>80587643+9035839+195250+12360</f>
        <v>89831092</v>
      </c>
      <c r="G114" s="33">
        <f>95772194-11836037+126500</f>
        <v>84062657</v>
      </c>
      <c r="H114" s="34">
        <f t="shared" si="18"/>
        <v>173893749</v>
      </c>
      <c r="I114" s="18">
        <f t="shared" si="21"/>
        <v>1</v>
      </c>
      <c r="J114" s="33">
        <v>99421646</v>
      </c>
      <c r="K114" s="33">
        <v>84402849</v>
      </c>
      <c r="L114" s="34">
        <f t="shared" si="17"/>
        <v>183824495</v>
      </c>
      <c r="M114" s="18">
        <f t="shared" si="22"/>
        <v>1.057108125261018</v>
      </c>
    </row>
    <row r="115" spans="1:13" s="65" customFormat="1" ht="13.5" customHeight="1">
      <c r="A115" s="47">
        <v>2</v>
      </c>
      <c r="B115" s="78" t="s">
        <v>118</v>
      </c>
      <c r="C115" s="33"/>
      <c r="D115" s="33">
        <f>8015783-3478</f>
        <v>8012305</v>
      </c>
      <c r="E115" s="34">
        <f t="shared" si="20"/>
        <v>8012305</v>
      </c>
      <c r="F115" s="33"/>
      <c r="G115" s="33">
        <f>8015783-3478</f>
        <v>8012305</v>
      </c>
      <c r="H115" s="34">
        <f t="shared" si="18"/>
        <v>8012305</v>
      </c>
      <c r="I115" s="18">
        <f t="shared" si="21"/>
        <v>1</v>
      </c>
      <c r="J115" s="33"/>
      <c r="K115" s="33">
        <v>7178001</v>
      </c>
      <c r="L115" s="34">
        <f t="shared" si="17"/>
        <v>7178001</v>
      </c>
      <c r="M115" s="18">
        <f t="shared" si="22"/>
        <v>0.8958721616313907</v>
      </c>
    </row>
    <row r="116" spans="1:13" s="81" customFormat="1" ht="32.25" customHeight="1">
      <c r="A116" s="79" t="s">
        <v>119</v>
      </c>
      <c r="B116" s="79"/>
      <c r="C116" s="80">
        <f>C117+C140+C142</f>
        <v>46551564</v>
      </c>
      <c r="D116" s="80">
        <f>D117+D140+D142</f>
        <v>17650197</v>
      </c>
      <c r="E116" s="17">
        <f t="shared" si="20"/>
        <v>64201761</v>
      </c>
      <c r="F116" s="80">
        <f>F117+F140+F142</f>
        <v>46551564</v>
      </c>
      <c r="G116" s="80">
        <f>G117+G140+G142</f>
        <v>17650197</v>
      </c>
      <c r="H116" s="17">
        <f t="shared" si="18"/>
        <v>64201761</v>
      </c>
      <c r="I116" s="18">
        <f t="shared" si="21"/>
        <v>1</v>
      </c>
      <c r="J116" s="80">
        <f>J117+J140+J142</f>
        <v>49949330</v>
      </c>
      <c r="K116" s="80">
        <f>K117+K140+K142</f>
        <v>17095910</v>
      </c>
      <c r="L116" s="17">
        <f t="shared" si="17"/>
        <v>67045240</v>
      </c>
      <c r="M116" s="18">
        <f t="shared" si="22"/>
        <v>1.0442897352924634</v>
      </c>
    </row>
    <row r="117" spans="1:13" s="84" customFormat="1" ht="15" customHeight="1">
      <c r="A117" s="82">
        <v>1</v>
      </c>
      <c r="B117" s="83" t="s">
        <v>120</v>
      </c>
      <c r="C117" s="28">
        <f>SUM(C118:C121,C130:C139)</f>
        <v>40841609</v>
      </c>
      <c r="D117" s="28">
        <f>SUM(D118:D121,D130:D139)</f>
        <v>16376344</v>
      </c>
      <c r="E117" s="55">
        <f t="shared" si="20"/>
        <v>57217953</v>
      </c>
      <c r="F117" s="28">
        <f>SUM(F118:F121,F130:F139)</f>
        <v>40841609</v>
      </c>
      <c r="G117" s="28">
        <f>SUM(G118:G121,G130:G139)</f>
        <v>16376344</v>
      </c>
      <c r="H117" s="55">
        <f t="shared" si="18"/>
        <v>57217953</v>
      </c>
      <c r="I117" s="18">
        <f t="shared" si="21"/>
        <v>1</v>
      </c>
      <c r="J117" s="28">
        <f>SUM(J118:J121,J130:J139)</f>
        <v>43088850</v>
      </c>
      <c r="K117" s="28">
        <f>SUM(K118:K121,K130:K139)</f>
        <v>16101250</v>
      </c>
      <c r="L117" s="55">
        <f t="shared" si="17"/>
        <v>59190100</v>
      </c>
      <c r="M117" s="18">
        <f t="shared" si="22"/>
        <v>1.034467276380894</v>
      </c>
    </row>
    <row r="118" spans="1:13" s="65" customFormat="1" ht="20.25" customHeight="1">
      <c r="A118" s="47"/>
      <c r="B118" s="85" t="s">
        <v>121</v>
      </c>
      <c r="C118" s="33"/>
      <c r="D118" s="33">
        <f>773000-4000</f>
        <v>769000</v>
      </c>
      <c r="E118" s="34">
        <f t="shared" si="20"/>
        <v>769000</v>
      </c>
      <c r="F118" s="33"/>
      <c r="G118" s="33">
        <f>773000-4000</f>
        <v>769000</v>
      </c>
      <c r="H118" s="34">
        <f t="shared" si="18"/>
        <v>769000</v>
      </c>
      <c r="I118" s="18">
        <f t="shared" si="21"/>
        <v>1</v>
      </c>
      <c r="J118" s="33"/>
      <c r="K118" s="33">
        <v>779000</v>
      </c>
      <c r="L118" s="34">
        <f t="shared" si="17"/>
        <v>779000</v>
      </c>
      <c r="M118" s="18">
        <f t="shared" si="22"/>
        <v>1.013003901170351</v>
      </c>
    </row>
    <row r="119" spans="1:13" s="69" customFormat="1" ht="20.25" customHeight="1">
      <c r="A119" s="47"/>
      <c r="B119" s="48" t="s">
        <v>122</v>
      </c>
      <c r="C119" s="33"/>
      <c r="D119" s="33">
        <f>11397000+13300-128700</f>
        <v>11281600</v>
      </c>
      <c r="E119" s="34">
        <f t="shared" si="20"/>
        <v>11281600</v>
      </c>
      <c r="F119" s="33"/>
      <c r="G119" s="33">
        <f>11397000+13300-128700</f>
        <v>11281600</v>
      </c>
      <c r="H119" s="34">
        <f t="shared" si="18"/>
        <v>11281600</v>
      </c>
      <c r="I119" s="18">
        <f t="shared" si="21"/>
        <v>1</v>
      </c>
      <c r="J119" s="33"/>
      <c r="K119" s="33">
        <v>11181000</v>
      </c>
      <c r="L119" s="34">
        <f t="shared" si="17"/>
        <v>11181000</v>
      </c>
      <c r="M119" s="18">
        <f t="shared" si="22"/>
        <v>0.9910828251311871</v>
      </c>
    </row>
    <row r="120" spans="1:13" s="69" customFormat="1" ht="21.75" customHeight="1">
      <c r="A120" s="47"/>
      <c r="B120" s="48" t="s">
        <v>123</v>
      </c>
      <c r="C120" s="33"/>
      <c r="D120" s="33">
        <v>300000</v>
      </c>
      <c r="E120" s="34">
        <f t="shared" si="20"/>
        <v>300000</v>
      </c>
      <c r="F120" s="33"/>
      <c r="G120" s="33">
        <v>300000</v>
      </c>
      <c r="H120" s="34">
        <f t="shared" si="18"/>
        <v>300000</v>
      </c>
      <c r="I120" s="18">
        <f t="shared" si="21"/>
        <v>1</v>
      </c>
      <c r="J120" s="33"/>
      <c r="K120" s="33">
        <v>500000</v>
      </c>
      <c r="L120" s="34">
        <f t="shared" si="17"/>
        <v>500000</v>
      </c>
      <c r="M120" s="18">
        <f t="shared" si="22"/>
        <v>1.6666666666666667</v>
      </c>
    </row>
    <row r="121" spans="1:13" s="69" customFormat="1" ht="12" customHeight="1">
      <c r="A121" s="47"/>
      <c r="B121" s="48" t="s">
        <v>157</v>
      </c>
      <c r="C121" s="33">
        <f>SUM(C122:C129)</f>
        <v>39159960</v>
      </c>
      <c r="D121" s="33">
        <f>SUM(D122:D129)</f>
        <v>716500</v>
      </c>
      <c r="E121" s="34">
        <f t="shared" si="20"/>
        <v>39876460</v>
      </c>
      <c r="F121" s="33">
        <f>SUM(F122:F129)</f>
        <v>39159960</v>
      </c>
      <c r="G121" s="33">
        <f>SUM(G122:G129)</f>
        <v>716500</v>
      </c>
      <c r="H121" s="34">
        <f t="shared" si="18"/>
        <v>39876460</v>
      </c>
      <c r="I121" s="18">
        <f t="shared" si="21"/>
        <v>1</v>
      </c>
      <c r="J121" s="33">
        <f>SUM(J122:J129)</f>
        <v>41664680</v>
      </c>
      <c r="K121" s="33">
        <f>SUM(K122:K129)</f>
        <v>688500</v>
      </c>
      <c r="L121" s="34">
        <f t="shared" si="17"/>
        <v>42353180</v>
      </c>
      <c r="M121" s="18">
        <f t="shared" si="22"/>
        <v>1.0621098261982131</v>
      </c>
    </row>
    <row r="122" spans="1:13" s="71" customFormat="1" ht="12" customHeight="1">
      <c r="A122" s="86"/>
      <c r="B122" s="87" t="s">
        <v>124</v>
      </c>
      <c r="C122" s="39">
        <f>1449000+27000+29500</f>
        <v>1505500</v>
      </c>
      <c r="D122" s="39">
        <v>354000</v>
      </c>
      <c r="E122" s="40">
        <f t="shared" si="20"/>
        <v>1859500</v>
      </c>
      <c r="F122" s="39">
        <f>1449000+27000+29500</f>
        <v>1505500</v>
      </c>
      <c r="G122" s="39">
        <v>354000</v>
      </c>
      <c r="H122" s="40">
        <f t="shared" si="18"/>
        <v>1859500</v>
      </c>
      <c r="I122" s="18">
        <f t="shared" si="21"/>
        <v>1</v>
      </c>
      <c r="J122" s="39">
        <v>1594080</v>
      </c>
      <c r="K122" s="39"/>
      <c r="L122" s="40">
        <f t="shared" si="17"/>
        <v>1594080</v>
      </c>
      <c r="M122" s="18">
        <f t="shared" si="22"/>
        <v>0.8572627050282334</v>
      </c>
    </row>
    <row r="123" spans="1:13" s="71" customFormat="1" ht="12" customHeight="1">
      <c r="A123" s="86"/>
      <c r="B123" s="87" t="s">
        <v>125</v>
      </c>
      <c r="C123" s="39"/>
      <c r="D123" s="39"/>
      <c r="E123" s="40">
        <f t="shared" si="20"/>
        <v>0</v>
      </c>
      <c r="F123" s="39"/>
      <c r="G123" s="39"/>
      <c r="H123" s="40">
        <f t="shared" si="18"/>
        <v>0</v>
      </c>
      <c r="I123" s="18"/>
      <c r="J123" s="39">
        <v>95000</v>
      </c>
      <c r="K123" s="39"/>
      <c r="L123" s="40">
        <f t="shared" si="17"/>
        <v>95000</v>
      </c>
      <c r="M123" s="18"/>
    </row>
    <row r="124" spans="1:13" s="71" customFormat="1" ht="21" customHeight="1">
      <c r="A124" s="86"/>
      <c r="B124" s="87" t="s">
        <v>126</v>
      </c>
      <c r="C124" s="39"/>
      <c r="D124" s="39">
        <v>43500</v>
      </c>
      <c r="E124" s="40">
        <f t="shared" si="20"/>
        <v>43500</v>
      </c>
      <c r="F124" s="39"/>
      <c r="G124" s="39">
        <v>43500</v>
      </c>
      <c r="H124" s="40">
        <f t="shared" si="18"/>
        <v>43500</v>
      </c>
      <c r="I124" s="18">
        <f aca="true" t="shared" si="23" ref="I124:I153">H124/E124</f>
        <v>1</v>
      </c>
      <c r="J124" s="39"/>
      <c r="K124" s="39">
        <v>397500</v>
      </c>
      <c r="L124" s="40">
        <f t="shared" si="17"/>
        <v>397500</v>
      </c>
      <c r="M124" s="18">
        <f aca="true" t="shared" si="24" ref="M124:M143">L124/H124</f>
        <v>9.137931034482758</v>
      </c>
    </row>
    <row r="125" spans="1:13" s="71" customFormat="1" ht="11.25">
      <c r="A125" s="86"/>
      <c r="B125" s="87" t="s">
        <v>127</v>
      </c>
      <c r="C125" s="39">
        <f>475000-25000-201646</f>
        <v>248354</v>
      </c>
      <c r="D125" s="39"/>
      <c r="E125" s="40">
        <f t="shared" si="20"/>
        <v>248354</v>
      </c>
      <c r="F125" s="39">
        <f>475000-25000-201646</f>
        <v>248354</v>
      </c>
      <c r="G125" s="39"/>
      <c r="H125" s="40">
        <f t="shared" si="18"/>
        <v>248354</v>
      </c>
      <c r="I125" s="18">
        <f t="shared" si="23"/>
        <v>1</v>
      </c>
      <c r="J125" s="39">
        <v>52500</v>
      </c>
      <c r="K125" s="39"/>
      <c r="L125" s="40">
        <f t="shared" si="17"/>
        <v>52500</v>
      </c>
      <c r="M125" s="18">
        <f t="shared" si="24"/>
        <v>0.2113918036351337</v>
      </c>
    </row>
    <row r="126" spans="1:13" s="71" customFormat="1" ht="11.25">
      <c r="A126" s="86"/>
      <c r="B126" s="87" t="s">
        <v>128</v>
      </c>
      <c r="C126" s="39">
        <f>4743000+7000-2039552</f>
        <v>2710448</v>
      </c>
      <c r="D126" s="39"/>
      <c r="E126" s="40">
        <f t="shared" si="20"/>
        <v>2710448</v>
      </c>
      <c r="F126" s="39">
        <f>4743000+7000-2039552</f>
        <v>2710448</v>
      </c>
      <c r="G126" s="39"/>
      <c r="H126" s="40">
        <f t="shared" si="18"/>
        <v>2710448</v>
      </c>
      <c r="I126" s="18">
        <f t="shared" si="23"/>
        <v>1</v>
      </c>
      <c r="J126" s="39"/>
      <c r="K126" s="39"/>
      <c r="L126" s="40">
        <f aca="true" t="shared" si="25" ref="L126:L157">SUM(J126:K126)</f>
        <v>0</v>
      </c>
      <c r="M126" s="18">
        <f t="shared" si="24"/>
        <v>0</v>
      </c>
    </row>
    <row r="127" spans="1:13" s="71" customFormat="1" ht="11.25">
      <c r="A127" s="86"/>
      <c r="B127" s="87" t="s">
        <v>129</v>
      </c>
      <c r="C127" s="39">
        <f>38288130+1379830-5462302</f>
        <v>34205658</v>
      </c>
      <c r="D127" s="39"/>
      <c r="E127" s="40">
        <f t="shared" si="20"/>
        <v>34205658</v>
      </c>
      <c r="F127" s="39">
        <f>38288130+1379830-5462302</f>
        <v>34205658</v>
      </c>
      <c r="G127" s="39"/>
      <c r="H127" s="40">
        <f t="shared" si="18"/>
        <v>34205658</v>
      </c>
      <c r="I127" s="18">
        <f t="shared" si="23"/>
        <v>1</v>
      </c>
      <c r="J127" s="39">
        <v>39453100</v>
      </c>
      <c r="K127" s="39"/>
      <c r="L127" s="40">
        <f t="shared" si="25"/>
        <v>39453100</v>
      </c>
      <c r="M127" s="18">
        <f t="shared" si="24"/>
        <v>1.1534085969052255</v>
      </c>
    </row>
    <row r="128" spans="1:13" s="71" customFormat="1" ht="11.25">
      <c r="A128" s="86"/>
      <c r="B128" s="87" t="s">
        <v>130</v>
      </c>
      <c r="C128" s="39">
        <f>540000-50000</f>
        <v>490000</v>
      </c>
      <c r="D128" s="39"/>
      <c r="E128" s="40">
        <f t="shared" si="20"/>
        <v>490000</v>
      </c>
      <c r="F128" s="39">
        <f>540000-50000</f>
        <v>490000</v>
      </c>
      <c r="G128" s="39"/>
      <c r="H128" s="40">
        <f t="shared" si="18"/>
        <v>490000</v>
      </c>
      <c r="I128" s="18">
        <f t="shared" si="23"/>
        <v>1</v>
      </c>
      <c r="J128" s="39">
        <v>470000</v>
      </c>
      <c r="K128" s="39"/>
      <c r="L128" s="40">
        <f t="shared" si="25"/>
        <v>470000</v>
      </c>
      <c r="M128" s="18">
        <f t="shared" si="24"/>
        <v>0.9591836734693877</v>
      </c>
    </row>
    <row r="129" spans="1:13" s="71" customFormat="1" ht="18.75" customHeight="1">
      <c r="A129" s="86"/>
      <c r="B129" s="87" t="s">
        <v>131</v>
      </c>
      <c r="C129" s="39"/>
      <c r="D129" s="39">
        <f>300000-9000+28000</f>
        <v>319000</v>
      </c>
      <c r="E129" s="40">
        <f t="shared" si="20"/>
        <v>319000</v>
      </c>
      <c r="F129" s="39"/>
      <c r="G129" s="39">
        <f>300000-9000+28000</f>
        <v>319000</v>
      </c>
      <c r="H129" s="40">
        <f t="shared" si="18"/>
        <v>319000</v>
      </c>
      <c r="I129" s="18">
        <f t="shared" si="23"/>
        <v>1</v>
      </c>
      <c r="J129" s="39"/>
      <c r="K129" s="39">
        <v>291000</v>
      </c>
      <c r="L129" s="40">
        <f t="shared" si="25"/>
        <v>291000</v>
      </c>
      <c r="M129" s="18">
        <f t="shared" si="24"/>
        <v>0.9122257053291536</v>
      </c>
    </row>
    <row r="130" spans="1:13" s="69" customFormat="1" ht="9.75" customHeight="1">
      <c r="A130" s="47"/>
      <c r="B130" s="48" t="s">
        <v>132</v>
      </c>
      <c r="C130" s="33"/>
      <c r="D130" s="33">
        <f>1386810+332000+55000</f>
        <v>1773810</v>
      </c>
      <c r="E130" s="34">
        <f t="shared" si="20"/>
        <v>1773810</v>
      </c>
      <c r="F130" s="33"/>
      <c r="G130" s="33">
        <f>1386810+332000+55000</f>
        <v>1773810</v>
      </c>
      <c r="H130" s="34">
        <f t="shared" si="18"/>
        <v>1773810</v>
      </c>
      <c r="I130" s="18">
        <f t="shared" si="23"/>
        <v>1</v>
      </c>
      <c r="J130" s="33"/>
      <c r="K130" s="33">
        <v>1988750</v>
      </c>
      <c r="L130" s="34">
        <f t="shared" si="25"/>
        <v>1988750</v>
      </c>
      <c r="M130" s="18">
        <f t="shared" si="24"/>
        <v>1.121174195657934</v>
      </c>
    </row>
    <row r="131" spans="1:13" s="69" customFormat="1" ht="21" customHeight="1">
      <c r="A131" s="47"/>
      <c r="B131" s="48" t="s">
        <v>133</v>
      </c>
      <c r="C131" s="33">
        <v>28700</v>
      </c>
      <c r="D131" s="33"/>
      <c r="E131" s="34">
        <f t="shared" si="20"/>
        <v>28700</v>
      </c>
      <c r="F131" s="33">
        <v>28700</v>
      </c>
      <c r="G131" s="33"/>
      <c r="H131" s="34">
        <f t="shared" si="18"/>
        <v>28700</v>
      </c>
      <c r="I131" s="18">
        <f t="shared" si="23"/>
        <v>1</v>
      </c>
      <c r="J131" s="33">
        <v>23000</v>
      </c>
      <c r="K131" s="33"/>
      <c r="L131" s="34">
        <f t="shared" si="25"/>
        <v>23000</v>
      </c>
      <c r="M131" s="18">
        <f t="shared" si="24"/>
        <v>0.8013937282229965</v>
      </c>
    </row>
    <row r="132" spans="1:13" s="69" customFormat="1" ht="45">
      <c r="A132" s="47"/>
      <c r="B132" s="48" t="s">
        <v>134</v>
      </c>
      <c r="C132" s="33">
        <v>4702</v>
      </c>
      <c r="D132" s="33"/>
      <c r="E132" s="34">
        <f t="shared" si="20"/>
        <v>4702</v>
      </c>
      <c r="F132" s="33">
        <v>4702</v>
      </c>
      <c r="G132" s="33"/>
      <c r="H132" s="34">
        <f t="shared" si="18"/>
        <v>4702</v>
      </c>
      <c r="I132" s="18">
        <f t="shared" si="23"/>
        <v>1</v>
      </c>
      <c r="J132" s="33"/>
      <c r="K132" s="33"/>
      <c r="L132" s="34">
        <f t="shared" si="25"/>
        <v>0</v>
      </c>
      <c r="M132" s="18">
        <f t="shared" si="24"/>
        <v>0</v>
      </c>
    </row>
    <row r="133" spans="1:13" s="69" customFormat="1" ht="22.5" customHeight="1">
      <c r="A133" s="47"/>
      <c r="B133" s="48" t="s">
        <v>135</v>
      </c>
      <c r="C133" s="33">
        <v>1361000</v>
      </c>
      <c r="D133" s="33">
        <f>598000+90000</f>
        <v>688000</v>
      </c>
      <c r="E133" s="34">
        <f t="shared" si="20"/>
        <v>2049000</v>
      </c>
      <c r="F133" s="33">
        <v>1361000</v>
      </c>
      <c r="G133" s="33">
        <f>598000+90000</f>
        <v>688000</v>
      </c>
      <c r="H133" s="34">
        <f t="shared" si="18"/>
        <v>2049000</v>
      </c>
      <c r="I133" s="18">
        <f t="shared" si="23"/>
        <v>1</v>
      </c>
      <c r="J133" s="33">
        <v>1361000</v>
      </c>
      <c r="K133" s="33">
        <v>598000</v>
      </c>
      <c r="L133" s="34">
        <f t="shared" si="25"/>
        <v>1959000</v>
      </c>
      <c r="M133" s="18">
        <f t="shared" si="24"/>
        <v>0.9560761346998536</v>
      </c>
    </row>
    <row r="134" spans="1:13" s="69" customFormat="1" ht="11.25">
      <c r="A134" s="47"/>
      <c r="B134" s="48" t="s">
        <v>136</v>
      </c>
      <c r="C134" s="33">
        <f>119256+8000+120645-839</f>
        <v>247062</v>
      </c>
      <c r="D134" s="33"/>
      <c r="E134" s="34">
        <f t="shared" si="20"/>
        <v>247062</v>
      </c>
      <c r="F134" s="33">
        <f>119256+8000+120645-839</f>
        <v>247062</v>
      </c>
      <c r="G134" s="33"/>
      <c r="H134" s="34">
        <f t="shared" si="18"/>
        <v>247062</v>
      </c>
      <c r="I134" s="18">
        <f t="shared" si="23"/>
        <v>1</v>
      </c>
      <c r="J134" s="33"/>
      <c r="K134" s="33"/>
      <c r="L134" s="34">
        <f t="shared" si="25"/>
        <v>0</v>
      </c>
      <c r="M134" s="18">
        <f t="shared" si="24"/>
        <v>0</v>
      </c>
    </row>
    <row r="135" spans="1:13" s="88" customFormat="1" ht="9.75" customHeight="1">
      <c r="A135" s="47"/>
      <c r="B135" s="48" t="s">
        <v>137</v>
      </c>
      <c r="C135" s="33">
        <v>40185</v>
      </c>
      <c r="D135" s="33"/>
      <c r="E135" s="34">
        <f t="shared" si="20"/>
        <v>40185</v>
      </c>
      <c r="F135" s="33">
        <v>40185</v>
      </c>
      <c r="G135" s="33"/>
      <c r="H135" s="34">
        <f t="shared" si="18"/>
        <v>40185</v>
      </c>
      <c r="I135" s="18">
        <f t="shared" si="23"/>
        <v>1</v>
      </c>
      <c r="J135" s="33">
        <v>40170</v>
      </c>
      <c r="K135" s="33"/>
      <c r="L135" s="34">
        <f t="shared" si="25"/>
        <v>40170</v>
      </c>
      <c r="M135" s="18">
        <f t="shared" si="24"/>
        <v>0.9996267263904441</v>
      </c>
    </row>
    <row r="136" spans="1:13" s="69" customFormat="1" ht="11.25" customHeight="1">
      <c r="A136" s="89"/>
      <c r="B136" s="90" t="s">
        <v>138</v>
      </c>
      <c r="C136" s="33"/>
      <c r="D136" s="33">
        <f>100000-11000</f>
        <v>89000</v>
      </c>
      <c r="E136" s="34">
        <f t="shared" si="20"/>
        <v>89000</v>
      </c>
      <c r="F136" s="33"/>
      <c r="G136" s="33">
        <f>100000-11000</f>
        <v>89000</v>
      </c>
      <c r="H136" s="34">
        <f t="shared" si="18"/>
        <v>89000</v>
      </c>
      <c r="I136" s="18">
        <f t="shared" si="23"/>
        <v>1</v>
      </c>
      <c r="J136" s="33"/>
      <c r="K136" s="33">
        <v>100000</v>
      </c>
      <c r="L136" s="34">
        <f t="shared" si="25"/>
        <v>100000</v>
      </c>
      <c r="M136" s="18">
        <f t="shared" si="24"/>
        <v>1.1235955056179776</v>
      </c>
    </row>
    <row r="137" spans="1:13" s="69" customFormat="1" ht="11.25" customHeight="1">
      <c r="A137" s="89"/>
      <c r="B137" s="90" t="s">
        <v>139</v>
      </c>
      <c r="C137" s="33"/>
      <c r="D137" s="33">
        <v>69000</v>
      </c>
      <c r="E137" s="34">
        <f t="shared" si="20"/>
        <v>69000</v>
      </c>
      <c r="F137" s="33"/>
      <c r="G137" s="33">
        <v>69000</v>
      </c>
      <c r="H137" s="34">
        <f t="shared" si="18"/>
        <v>69000</v>
      </c>
      <c r="I137" s="18">
        <f t="shared" si="23"/>
        <v>1</v>
      </c>
      <c r="J137" s="33"/>
      <c r="K137" s="33">
        <v>54000</v>
      </c>
      <c r="L137" s="34">
        <f t="shared" si="25"/>
        <v>54000</v>
      </c>
      <c r="M137" s="18">
        <f t="shared" si="24"/>
        <v>0.782608695652174</v>
      </c>
    </row>
    <row r="138" spans="1:13" s="69" customFormat="1" ht="11.25" customHeight="1">
      <c r="A138" s="89"/>
      <c r="B138" s="90" t="s">
        <v>140</v>
      </c>
      <c r="C138" s="33"/>
      <c r="D138" s="33">
        <f>132000+463797-463</f>
        <v>595334</v>
      </c>
      <c r="E138" s="34">
        <f t="shared" si="20"/>
        <v>595334</v>
      </c>
      <c r="F138" s="33"/>
      <c r="G138" s="33">
        <f>132000+463797-463</f>
        <v>595334</v>
      </c>
      <c r="H138" s="34">
        <f t="shared" si="18"/>
        <v>595334</v>
      </c>
      <c r="I138" s="18">
        <f t="shared" si="23"/>
        <v>1</v>
      </c>
      <c r="J138" s="33"/>
      <c r="K138" s="33">
        <v>132000</v>
      </c>
      <c r="L138" s="34">
        <f t="shared" si="25"/>
        <v>132000</v>
      </c>
      <c r="M138" s="18">
        <f t="shared" si="24"/>
        <v>0.22172427578468556</v>
      </c>
    </row>
    <row r="139" spans="1:13" s="67" customFormat="1" ht="9.75" customHeight="1">
      <c r="A139" s="91"/>
      <c r="B139" s="68" t="s">
        <v>141</v>
      </c>
      <c r="C139" s="33"/>
      <c r="D139" s="33">
        <f>99600-5500</f>
        <v>94100</v>
      </c>
      <c r="E139" s="34">
        <f aca="true" t="shared" si="26" ref="E139:E170">SUM(C139:D139)</f>
        <v>94100</v>
      </c>
      <c r="F139" s="33"/>
      <c r="G139" s="33">
        <f>99600-5500</f>
        <v>94100</v>
      </c>
      <c r="H139" s="34">
        <f t="shared" si="18"/>
        <v>94100</v>
      </c>
      <c r="I139" s="18">
        <f t="shared" si="23"/>
        <v>1</v>
      </c>
      <c r="J139" s="33"/>
      <c r="K139" s="33">
        <v>80000</v>
      </c>
      <c r="L139" s="34">
        <f t="shared" si="25"/>
        <v>80000</v>
      </c>
      <c r="M139" s="18">
        <f t="shared" si="24"/>
        <v>0.8501594048884166</v>
      </c>
    </row>
    <row r="140" spans="1:13" s="67" customFormat="1" ht="36">
      <c r="A140" s="26">
        <v>2</v>
      </c>
      <c r="B140" s="27" t="s">
        <v>142</v>
      </c>
      <c r="C140" s="92">
        <f>SUM(C141:C141)</f>
        <v>35500</v>
      </c>
      <c r="D140" s="92">
        <f>SUM(D141:D141)</f>
        <v>0</v>
      </c>
      <c r="E140" s="55">
        <f t="shared" si="26"/>
        <v>35500</v>
      </c>
      <c r="F140" s="92">
        <f>SUM(F141:F141)</f>
        <v>35500</v>
      </c>
      <c r="G140" s="92">
        <f>SUM(G141:G141)</f>
        <v>0</v>
      </c>
      <c r="H140" s="55">
        <f t="shared" si="18"/>
        <v>35500</v>
      </c>
      <c r="I140" s="18">
        <f t="shared" si="23"/>
        <v>1</v>
      </c>
      <c r="J140" s="92">
        <f>SUM(J141:J141)</f>
        <v>36000</v>
      </c>
      <c r="K140" s="92">
        <f>SUM(K141:K141)</f>
        <v>0</v>
      </c>
      <c r="L140" s="55">
        <f t="shared" si="25"/>
        <v>36000</v>
      </c>
      <c r="M140" s="18">
        <f t="shared" si="24"/>
        <v>1.0140845070422535</v>
      </c>
    </row>
    <row r="141" spans="1:13" s="69" customFormat="1" ht="15" customHeight="1">
      <c r="A141" s="47"/>
      <c r="B141" s="68" t="s">
        <v>143</v>
      </c>
      <c r="C141" s="33">
        <v>35500</v>
      </c>
      <c r="D141" s="33"/>
      <c r="E141" s="34">
        <f t="shared" si="26"/>
        <v>35500</v>
      </c>
      <c r="F141" s="33">
        <v>35500</v>
      </c>
      <c r="G141" s="33"/>
      <c r="H141" s="34">
        <f t="shared" si="18"/>
        <v>35500</v>
      </c>
      <c r="I141" s="18">
        <f t="shared" si="23"/>
        <v>1</v>
      </c>
      <c r="J141" s="33">
        <v>36000</v>
      </c>
      <c r="K141" s="33"/>
      <c r="L141" s="34">
        <f t="shared" si="25"/>
        <v>36000</v>
      </c>
      <c r="M141" s="18">
        <f t="shared" si="24"/>
        <v>1.0140845070422535</v>
      </c>
    </row>
    <row r="142" spans="1:13" s="65" customFormat="1" ht="30.75" customHeight="1">
      <c r="A142" s="26">
        <v>3</v>
      </c>
      <c r="B142" s="27" t="s">
        <v>144</v>
      </c>
      <c r="C142" s="55">
        <f>SUM(C143:C147)</f>
        <v>5674455</v>
      </c>
      <c r="D142" s="55">
        <f>SUM(D143:D147)</f>
        <v>1273853</v>
      </c>
      <c r="E142" s="55">
        <f t="shared" si="26"/>
        <v>6948308</v>
      </c>
      <c r="F142" s="55">
        <f>SUM(F143:F147)</f>
        <v>5674455</v>
      </c>
      <c r="G142" s="55">
        <f>SUM(G143:G147)</f>
        <v>1273853</v>
      </c>
      <c r="H142" s="55">
        <f t="shared" si="18"/>
        <v>6948308</v>
      </c>
      <c r="I142" s="18">
        <f t="shared" si="23"/>
        <v>1</v>
      </c>
      <c r="J142" s="55">
        <f>SUM(J143:J147)</f>
        <v>6824480</v>
      </c>
      <c r="K142" s="55">
        <f>SUM(K143:K147)</f>
        <v>994660</v>
      </c>
      <c r="L142" s="55">
        <f t="shared" si="25"/>
        <v>7819140</v>
      </c>
      <c r="M142" s="18">
        <f t="shared" si="24"/>
        <v>1.125330080359132</v>
      </c>
    </row>
    <row r="143" spans="1:13" s="65" customFormat="1" ht="12" customHeight="1">
      <c r="A143" s="47"/>
      <c r="B143" s="90" t="s">
        <v>145</v>
      </c>
      <c r="C143" s="33">
        <f>73933+143550+39855</f>
        <v>257338</v>
      </c>
      <c r="D143" s="33"/>
      <c r="E143" s="34">
        <f t="shared" si="26"/>
        <v>257338</v>
      </c>
      <c r="F143" s="33">
        <f>73933+143550+39855</f>
        <v>257338</v>
      </c>
      <c r="G143" s="33"/>
      <c r="H143" s="34">
        <f t="shared" si="18"/>
        <v>257338</v>
      </c>
      <c r="I143" s="18">
        <f t="shared" si="23"/>
        <v>1</v>
      </c>
      <c r="J143" s="33"/>
      <c r="K143" s="33"/>
      <c r="L143" s="34">
        <f t="shared" si="25"/>
        <v>0</v>
      </c>
      <c r="M143" s="18">
        <f t="shared" si="24"/>
        <v>0</v>
      </c>
    </row>
    <row r="144" spans="1:13" s="65" customFormat="1" ht="11.25" customHeight="1">
      <c r="A144" s="47"/>
      <c r="B144" s="90" t="s">
        <v>146</v>
      </c>
      <c r="C144" s="33">
        <v>100899</v>
      </c>
      <c r="D144" s="33">
        <v>5727</v>
      </c>
      <c r="E144" s="34">
        <f t="shared" si="26"/>
        <v>106626</v>
      </c>
      <c r="F144" s="33">
        <v>100899</v>
      </c>
      <c r="G144" s="33">
        <v>5727</v>
      </c>
      <c r="H144" s="34"/>
      <c r="I144" s="18">
        <f t="shared" si="23"/>
        <v>0</v>
      </c>
      <c r="J144" s="33"/>
      <c r="K144" s="33"/>
      <c r="L144" s="34">
        <f t="shared" si="25"/>
        <v>0</v>
      </c>
      <c r="M144" s="18"/>
    </row>
    <row r="145" spans="1:13" s="65" customFormat="1" ht="12" customHeight="1">
      <c r="A145" s="47"/>
      <c r="B145" s="90" t="s">
        <v>147</v>
      </c>
      <c r="C145" s="33">
        <f>112635-102534</f>
        <v>10101</v>
      </c>
      <c r="D145" s="34"/>
      <c r="E145" s="34">
        <f t="shared" si="26"/>
        <v>10101</v>
      </c>
      <c r="F145" s="33">
        <f>112635-102534</f>
        <v>10101</v>
      </c>
      <c r="G145" s="34"/>
      <c r="H145" s="34">
        <f aca="true" t="shared" si="27" ref="H145:H155">SUM(F145:G145)</f>
        <v>10101</v>
      </c>
      <c r="I145" s="18">
        <f t="shared" si="23"/>
        <v>1</v>
      </c>
      <c r="J145" s="33"/>
      <c r="K145" s="34"/>
      <c r="L145" s="34">
        <f t="shared" si="25"/>
        <v>0</v>
      </c>
      <c r="M145" s="18">
        <f aca="true" t="shared" si="28" ref="M145:M153">L145/H145</f>
        <v>0</v>
      </c>
    </row>
    <row r="146" spans="1:13" s="65" customFormat="1" ht="45.75" customHeight="1">
      <c r="A146" s="47"/>
      <c r="B146" s="36" t="s">
        <v>148</v>
      </c>
      <c r="C146" s="33"/>
      <c r="D146" s="33">
        <v>44781</v>
      </c>
      <c r="E146" s="34">
        <f t="shared" si="26"/>
        <v>44781</v>
      </c>
      <c r="F146" s="33"/>
      <c r="G146" s="33">
        <v>44781</v>
      </c>
      <c r="H146" s="34">
        <f t="shared" si="27"/>
        <v>44781</v>
      </c>
      <c r="I146" s="18">
        <f t="shared" si="23"/>
        <v>1</v>
      </c>
      <c r="J146" s="33"/>
      <c r="K146" s="33"/>
      <c r="L146" s="34">
        <f t="shared" si="25"/>
        <v>0</v>
      </c>
      <c r="M146" s="18">
        <f t="shared" si="28"/>
        <v>0</v>
      </c>
    </row>
    <row r="147" spans="1:13" s="69" customFormat="1" ht="10.5" customHeight="1">
      <c r="A147" s="47"/>
      <c r="B147" s="90" t="s">
        <v>149</v>
      </c>
      <c r="C147" s="33">
        <f>SUM(C148:C155)</f>
        <v>5306117</v>
      </c>
      <c r="D147" s="33">
        <f>SUM(D148:D155)</f>
        <v>1223345</v>
      </c>
      <c r="E147" s="34">
        <f t="shared" si="26"/>
        <v>6529462</v>
      </c>
      <c r="F147" s="33">
        <f>SUM(F148:F155)</f>
        <v>5306117</v>
      </c>
      <c r="G147" s="33">
        <f>SUM(G148:G155)</f>
        <v>1223345</v>
      </c>
      <c r="H147" s="34">
        <f t="shared" si="27"/>
        <v>6529462</v>
      </c>
      <c r="I147" s="18">
        <f t="shared" si="23"/>
        <v>1</v>
      </c>
      <c r="J147" s="33">
        <f>SUM(J148:J155)</f>
        <v>6824480</v>
      </c>
      <c r="K147" s="33">
        <f>SUM(K148:K155)</f>
        <v>994660</v>
      </c>
      <c r="L147" s="34">
        <f t="shared" si="25"/>
        <v>7819140</v>
      </c>
      <c r="M147" s="18">
        <f t="shared" si="28"/>
        <v>1.1975167326190121</v>
      </c>
    </row>
    <row r="148" spans="1:13" s="41" customFormat="1" ht="12.75" customHeight="1">
      <c r="A148" s="37"/>
      <c r="B148" s="93" t="s">
        <v>150</v>
      </c>
      <c r="C148" s="39">
        <f>955000+100000+21000</f>
        <v>1076000</v>
      </c>
      <c r="D148" s="39"/>
      <c r="E148" s="40">
        <f t="shared" si="26"/>
        <v>1076000</v>
      </c>
      <c r="F148" s="39">
        <f>955000+100000+21000</f>
        <v>1076000</v>
      </c>
      <c r="G148" s="39"/>
      <c r="H148" s="40">
        <f t="shared" si="27"/>
        <v>1076000</v>
      </c>
      <c r="I148" s="18">
        <f t="shared" si="23"/>
        <v>1</v>
      </c>
      <c r="J148" s="39"/>
      <c r="K148" s="39"/>
      <c r="L148" s="40">
        <f t="shared" si="25"/>
        <v>0</v>
      </c>
      <c r="M148" s="18">
        <f t="shared" si="28"/>
        <v>0</v>
      </c>
    </row>
    <row r="149" spans="1:13" s="67" customFormat="1" ht="9.75" customHeight="1">
      <c r="A149" s="91"/>
      <c r="B149" s="93" t="s">
        <v>151</v>
      </c>
      <c r="C149" s="39"/>
      <c r="D149" s="39">
        <f>906000+23265-51340+193500</f>
        <v>1071425</v>
      </c>
      <c r="E149" s="40">
        <f t="shared" si="26"/>
        <v>1071425</v>
      </c>
      <c r="F149" s="39"/>
      <c r="G149" s="39">
        <f>906000+23265-51340+193500</f>
        <v>1071425</v>
      </c>
      <c r="H149" s="40">
        <f t="shared" si="27"/>
        <v>1071425</v>
      </c>
      <c r="I149" s="18">
        <f t="shared" si="23"/>
        <v>1</v>
      </c>
      <c r="J149" s="39"/>
      <c r="K149" s="39">
        <v>844420</v>
      </c>
      <c r="L149" s="40">
        <f t="shared" si="25"/>
        <v>844420</v>
      </c>
      <c r="M149" s="18">
        <f t="shared" si="28"/>
        <v>0.7881279604265348</v>
      </c>
    </row>
    <row r="150" spans="1:13" s="67" customFormat="1" ht="10.5" customHeight="1">
      <c r="A150" s="91"/>
      <c r="B150" s="93" t="s">
        <v>152</v>
      </c>
      <c r="C150" s="39"/>
      <c r="D150" s="39">
        <f>144960+3960</f>
        <v>148920</v>
      </c>
      <c r="E150" s="40">
        <f t="shared" si="26"/>
        <v>148920</v>
      </c>
      <c r="F150" s="39"/>
      <c r="G150" s="39">
        <f>144960+3960</f>
        <v>148920</v>
      </c>
      <c r="H150" s="40">
        <f t="shared" si="27"/>
        <v>148920</v>
      </c>
      <c r="I150" s="18">
        <f t="shared" si="23"/>
        <v>1</v>
      </c>
      <c r="J150" s="94"/>
      <c r="K150" s="39">
        <v>150240</v>
      </c>
      <c r="L150" s="40">
        <f t="shared" si="25"/>
        <v>150240</v>
      </c>
      <c r="M150" s="18">
        <f t="shared" si="28"/>
        <v>1.008863819500403</v>
      </c>
    </row>
    <row r="151" spans="1:13" s="67" customFormat="1" ht="9" customHeight="1">
      <c r="A151" s="91"/>
      <c r="B151" s="93" t="s">
        <v>71</v>
      </c>
      <c r="C151" s="39"/>
      <c r="D151" s="39">
        <f>1000+2000</f>
        <v>3000</v>
      </c>
      <c r="E151" s="40">
        <f t="shared" si="26"/>
        <v>3000</v>
      </c>
      <c r="F151" s="39"/>
      <c r="G151" s="39">
        <f>1000+2000</f>
        <v>3000</v>
      </c>
      <c r="H151" s="40">
        <f t="shared" si="27"/>
        <v>3000</v>
      </c>
      <c r="I151" s="18">
        <f t="shared" si="23"/>
        <v>1</v>
      </c>
      <c r="J151" s="39"/>
      <c r="K151" s="39"/>
      <c r="L151" s="40">
        <f t="shared" si="25"/>
        <v>0</v>
      </c>
      <c r="M151" s="18">
        <f t="shared" si="28"/>
        <v>0</v>
      </c>
    </row>
    <row r="152" spans="1:13" s="67" customFormat="1" ht="9" customHeight="1">
      <c r="A152" s="91"/>
      <c r="B152" s="95" t="s">
        <v>153</v>
      </c>
      <c r="C152" s="39">
        <v>201646</v>
      </c>
      <c r="D152" s="39"/>
      <c r="E152" s="40">
        <f t="shared" si="26"/>
        <v>201646</v>
      </c>
      <c r="F152" s="39">
        <v>201646</v>
      </c>
      <c r="G152" s="39"/>
      <c r="H152" s="40">
        <f t="shared" si="27"/>
        <v>201646</v>
      </c>
      <c r="I152" s="18">
        <f t="shared" si="23"/>
        <v>1</v>
      </c>
      <c r="J152" s="39">
        <v>388780</v>
      </c>
      <c r="K152" s="39"/>
      <c r="L152" s="40">
        <f t="shared" si="25"/>
        <v>388780</v>
      </c>
      <c r="M152" s="18">
        <f t="shared" si="28"/>
        <v>1.928032294218581</v>
      </c>
    </row>
    <row r="153" spans="1:13" s="71" customFormat="1" ht="9.75" customHeight="1">
      <c r="A153" s="86"/>
      <c r="B153" s="95" t="s">
        <v>154</v>
      </c>
      <c r="C153" s="39">
        <f>260000+2039552</f>
        <v>2299552</v>
      </c>
      <c r="D153" s="39"/>
      <c r="E153" s="40">
        <f t="shared" si="26"/>
        <v>2299552</v>
      </c>
      <c r="F153" s="39">
        <f>260000+2039552</f>
        <v>2299552</v>
      </c>
      <c r="G153" s="39"/>
      <c r="H153" s="40">
        <f t="shared" si="27"/>
        <v>2299552</v>
      </c>
      <c r="I153" s="18">
        <f t="shared" si="23"/>
        <v>1</v>
      </c>
      <c r="J153" s="39">
        <v>192400</v>
      </c>
      <c r="K153" s="39"/>
      <c r="L153" s="40">
        <f t="shared" si="25"/>
        <v>192400</v>
      </c>
      <c r="M153" s="18">
        <f t="shared" si="28"/>
        <v>0.08366847107610526</v>
      </c>
    </row>
    <row r="154" spans="1:13" s="71" customFormat="1" ht="9.75" customHeight="1">
      <c r="A154" s="86"/>
      <c r="B154" s="95" t="s">
        <v>155</v>
      </c>
      <c r="C154" s="39"/>
      <c r="D154" s="39"/>
      <c r="E154" s="40">
        <f t="shared" si="26"/>
        <v>0</v>
      </c>
      <c r="F154" s="39"/>
      <c r="G154" s="39"/>
      <c r="H154" s="40">
        <f t="shared" si="27"/>
        <v>0</v>
      </c>
      <c r="I154" s="18"/>
      <c r="J154" s="39">
        <v>4800000</v>
      </c>
      <c r="K154" s="39"/>
      <c r="L154" s="40">
        <f t="shared" si="25"/>
        <v>4800000</v>
      </c>
      <c r="M154" s="18"/>
    </row>
    <row r="155" spans="1:13" s="71" customFormat="1" ht="9.75" customHeight="1">
      <c r="A155" s="86"/>
      <c r="B155" s="95" t="s">
        <v>125</v>
      </c>
      <c r="C155" s="39">
        <f>1483000+92748+153171</f>
        <v>1728919</v>
      </c>
      <c r="D155" s="39"/>
      <c r="E155" s="40">
        <f t="shared" si="26"/>
        <v>1728919</v>
      </c>
      <c r="F155" s="39">
        <f>1483000+92748+153171</f>
        <v>1728919</v>
      </c>
      <c r="G155" s="39"/>
      <c r="H155" s="40">
        <f t="shared" si="27"/>
        <v>1728919</v>
      </c>
      <c r="I155" s="18">
        <f>H155/E155</f>
        <v>1</v>
      </c>
      <c r="J155" s="39">
        <v>1443300</v>
      </c>
      <c r="K155" s="39"/>
      <c r="L155" s="40">
        <f t="shared" si="25"/>
        <v>1443300</v>
      </c>
      <c r="M155" s="18">
        <f>L155/H155</f>
        <v>0.834799085440093</v>
      </c>
    </row>
    <row r="157" spans="5:10" ht="11.25">
      <c r="E157" s="98"/>
      <c r="F157" s="99" t="s">
        <v>156</v>
      </c>
      <c r="J157" s="99" t="s">
        <v>156</v>
      </c>
    </row>
    <row r="159" spans="4:5" ht="11.25">
      <c r="D159" s="99"/>
      <c r="E159" s="97" t="s">
        <v>156</v>
      </c>
    </row>
    <row r="163" spans="8:13" ht="11.25">
      <c r="H163" s="100"/>
      <c r="I163" s="100"/>
      <c r="L163" s="100"/>
      <c r="M163" s="101"/>
    </row>
  </sheetData>
  <mergeCells count="12">
    <mergeCell ref="M2:M3"/>
    <mergeCell ref="A113:B113"/>
    <mergeCell ref="C2:E2"/>
    <mergeCell ref="I2:I3"/>
    <mergeCell ref="A1:M1"/>
    <mergeCell ref="A116:B116"/>
    <mergeCell ref="A5:B5"/>
    <mergeCell ref="A6:B6"/>
    <mergeCell ref="A2:A3"/>
    <mergeCell ref="B2:B3"/>
    <mergeCell ref="F2:H2"/>
    <mergeCell ref="J2:L2"/>
  </mergeCells>
  <printOptions/>
  <pageMargins left="0.49" right="0.17" top="0.74" bottom="0.4" header="0.5" footer="0.1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2009-11-12T12:52:29Z</cp:lastPrinted>
  <dcterms:created xsi:type="dcterms:W3CDTF">2009-11-12T12:49:02Z</dcterms:created>
  <dcterms:modified xsi:type="dcterms:W3CDTF">2009-11-12T12:52:41Z</dcterms:modified>
  <cp:category/>
  <cp:version/>
  <cp:contentType/>
  <cp:contentStatus/>
</cp:coreProperties>
</file>