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90" windowHeight="12525" activeTab="4"/>
  </bookViews>
  <sheets>
    <sheet name="podst" sheetId="1" r:id="rId1"/>
    <sheet name="podst rzecz" sheetId="2" r:id="rId2"/>
    <sheet name="ponadpodst 2010" sheetId="3" r:id="rId3"/>
    <sheet name="ponadpodst 2010 rzecz" sheetId="4" r:id="rId4"/>
    <sheet name="przedszkola" sheetId="5" r:id="rId5"/>
  </sheets>
  <externalReferences>
    <externalReference r:id="rId8"/>
  </externalReferences>
  <definedNames>
    <definedName name="_xlnm.Print_Titles" localSheetId="0">'podst'!$4:$4</definedName>
    <definedName name="_xlnm.Print_Titles" localSheetId="1">'podst rzecz'!$A:$A</definedName>
    <definedName name="_xlnm.Print_Titles" localSheetId="2">'ponadpodst 2010'!$A:$A,'ponadpodst 2010'!$3:$3</definedName>
    <definedName name="_xlnm.Print_Titles" localSheetId="3">'ponadpodst 2010 rzecz'!$A:$A,'ponadpodst 2010 rzecz'!$3:$5</definedName>
  </definedNames>
  <calcPr fullCalcOnLoad="1"/>
</workbook>
</file>

<file path=xl/sharedStrings.xml><?xml version="1.0" encoding="utf-8"?>
<sst xmlns="http://schemas.openxmlformats.org/spreadsheetml/2006/main" count="733" uniqueCount="339">
  <si>
    <t>Nazwa placówki</t>
  </si>
  <si>
    <t>średnia ilość uczniów</t>
  </si>
  <si>
    <t>miesięczny koszt ucznia</t>
  </si>
  <si>
    <t>Plan 2010</t>
  </si>
  <si>
    <t>Wykonanie 2010</t>
  </si>
  <si>
    <t>§ 4010</t>
  </si>
  <si>
    <t>§ 4040</t>
  </si>
  <si>
    <t>§ 4110</t>
  </si>
  <si>
    <t>§ 4120</t>
  </si>
  <si>
    <t>§4260</t>
  </si>
  <si>
    <t>§ 4270</t>
  </si>
  <si>
    <t>§6050</t>
  </si>
  <si>
    <t>§ 6060</t>
  </si>
  <si>
    <t>Zespól Szkół Ogólnokształcącyc Nr 6</t>
  </si>
  <si>
    <t>Zespół Szkół Specjalnych nr 17</t>
  </si>
  <si>
    <t>Ośrodek Szkolno-Wych Nr 1</t>
  </si>
  <si>
    <t>Szkoły Podstaw.Specj          80102</t>
  </si>
  <si>
    <t>Gimnazja Specjalne             80111</t>
  </si>
  <si>
    <t>I   LO</t>
  </si>
  <si>
    <t>II  LO</t>
  </si>
  <si>
    <t>III LO</t>
  </si>
  <si>
    <t>IV LO</t>
  </si>
  <si>
    <t>V  LO</t>
  </si>
  <si>
    <t>VI LO</t>
  </si>
  <si>
    <t>VII LO</t>
  </si>
  <si>
    <t>IX  LO</t>
  </si>
  <si>
    <t>X   LO</t>
  </si>
  <si>
    <t>XII LO</t>
  </si>
  <si>
    <t>XIII LO</t>
  </si>
  <si>
    <t>XIV LO</t>
  </si>
  <si>
    <t>Kolegium Miejskie</t>
  </si>
  <si>
    <t>Licea ogólnokształcące   80120</t>
  </si>
  <si>
    <t>Spec.Ośrodek Szk-Wych Nr 2</t>
  </si>
  <si>
    <t>Licea ogólnokształcące  specjalne      80121</t>
  </si>
  <si>
    <t>Zespół Szkół Usługowych</t>
  </si>
  <si>
    <t>Licea Profilowane               80123</t>
  </si>
  <si>
    <t>Zesp.Sz.Ad.Ekonomicznych</t>
  </si>
  <si>
    <t>Zespół Szkół Budowlanych</t>
  </si>
  <si>
    <t>Zespół Szkół Chłodniczych i Elektronicznych</t>
  </si>
  <si>
    <t>Zespół Szkół Hotelarsko-Gastronom.</t>
  </si>
  <si>
    <t>Zespół Szkół Mechanicznych</t>
  </si>
  <si>
    <t>Zespół Szkół Technicznych</t>
  </si>
  <si>
    <t>Zespół Szkół Rzemiosła i Handlu</t>
  </si>
  <si>
    <t>Zespół Szkół Ekologicznych</t>
  </si>
  <si>
    <t>Technikum Transportowe</t>
  </si>
  <si>
    <t>Szkoły Zawodowe                80130</t>
  </si>
  <si>
    <t>Szkoła Muzyczna                80132</t>
  </si>
  <si>
    <t>Zespól Szkól Specjalnych Nr 17</t>
  </si>
  <si>
    <t>Specjalny Ośrodek Szkolno-Wych Nr 1</t>
  </si>
  <si>
    <t>Specjalny Ośrodek Szkolno-Wych Nr 2</t>
  </si>
  <si>
    <t>Szkoły zawodowe specjalne 80134</t>
  </si>
  <si>
    <t>Zespól Szkół Budownictwa Okrętowego 80140</t>
  </si>
  <si>
    <t>Gdyński Ośrodek Dokszt.Nauczycieli   80141</t>
  </si>
  <si>
    <t>Zespół Szkół Specjalnych Nr 17   - 80148</t>
  </si>
  <si>
    <t>Zespół Szkół Specjalnych Nr 17   - 80195</t>
  </si>
  <si>
    <t>Zespół Szkół Specjalnych Nr 17   - 85401</t>
  </si>
  <si>
    <t>Spec.Ośrodek Szk-Wych Nr 1</t>
  </si>
  <si>
    <t>Specj.Ośr.Szk.Wych   85403</t>
  </si>
  <si>
    <t>Zespół Szkól Specjalnych Nr 17  85404</t>
  </si>
  <si>
    <t>Poradnia Psych-Pedagog Nr 1</t>
  </si>
  <si>
    <t>Poradnia Psych-Pedagog Nr 2</t>
  </si>
  <si>
    <t>Poradnia Psych-Pedagog Nr 3</t>
  </si>
  <si>
    <t>Poradnia Psych-Pedagog 85406</t>
  </si>
  <si>
    <t>Młodzieżowy Dom Kultury   85407</t>
  </si>
  <si>
    <t>Internaty i bursy szkolne 85410</t>
  </si>
  <si>
    <t>Szkolne Schronisko Młodzieżowe 85417</t>
  </si>
  <si>
    <t>razem</t>
  </si>
  <si>
    <t>Młodzieżowy Dom Kultury   92601</t>
  </si>
  <si>
    <t>SOSW nr 1          90019</t>
  </si>
  <si>
    <t>Placówka</t>
  </si>
  <si>
    <t>liczba uczniów ogółem</t>
  </si>
  <si>
    <t>liczba oddział</t>
  </si>
  <si>
    <t>zatrudnienie</t>
  </si>
  <si>
    <t>Realizacja programu</t>
  </si>
  <si>
    <t>realizacja programu</t>
  </si>
  <si>
    <t>Razem</t>
  </si>
  <si>
    <t>etaty pedagogiczne w tym</t>
  </si>
  <si>
    <t>adm.</t>
  </si>
  <si>
    <t>obsługa</t>
  </si>
  <si>
    <t>podstawy programowe</t>
  </si>
  <si>
    <t>program</t>
  </si>
  <si>
    <t>stażysci</t>
  </si>
  <si>
    <t>kontrakt</t>
  </si>
  <si>
    <t>mian.</t>
  </si>
  <si>
    <t>dyplom.</t>
  </si>
  <si>
    <t>plan</t>
  </si>
  <si>
    <t>Razem  w tym</t>
  </si>
  <si>
    <t>klasy  dwujęzyczne</t>
  </si>
  <si>
    <t>klasy IB</t>
  </si>
  <si>
    <t>nauczanie indywidualne</t>
  </si>
  <si>
    <t>ilość osób</t>
  </si>
  <si>
    <t>pozostałe biblioteka pedagodzy</t>
  </si>
  <si>
    <t>poza minimum</t>
  </si>
  <si>
    <t>XII  LO</t>
  </si>
  <si>
    <t>Zespól Szkół Usługowych</t>
  </si>
  <si>
    <t>Zesp.Sz.Budowlanych</t>
  </si>
  <si>
    <t>RAZEM  801</t>
  </si>
  <si>
    <t>Zespół Szkół Specjalnych Nr 17   - 85404</t>
  </si>
  <si>
    <t>RAZEM  854</t>
  </si>
  <si>
    <t>razem 801+854</t>
  </si>
  <si>
    <t>Jednostka organizacyjna</t>
  </si>
  <si>
    <t>Nr plac.</t>
  </si>
  <si>
    <t>Śr. liczba</t>
  </si>
  <si>
    <t>Koszt 1</t>
  </si>
  <si>
    <t>Plan wydatków</t>
  </si>
  <si>
    <t>Wykonanie wydatków</t>
  </si>
  <si>
    <t>% wyk.</t>
  </si>
  <si>
    <t>§ 4260</t>
  </si>
  <si>
    <t>§ 4440</t>
  </si>
  <si>
    <t>§ 6050</t>
  </si>
  <si>
    <t>SP 6</t>
  </si>
  <si>
    <t>ZS 5</t>
  </si>
  <si>
    <t>SP 10</t>
  </si>
  <si>
    <t>ZS 6</t>
  </si>
  <si>
    <t>ZS 7</t>
  </si>
  <si>
    <t>SP 13</t>
  </si>
  <si>
    <t>ZSSOg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</si>
  <si>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</si>
  <si>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</si>
  <si>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</si>
  <si>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</si>
  <si>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</si>
  <si>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</si>
  <si>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</si>
  <si>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</si>
  <si>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</si>
  <si>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ZS 9</t>
  </si>
  <si>
    <t>SP 33</t>
  </si>
  <si>
    <t>SP 34</t>
  </si>
  <si>
    <t>SP 35</t>
  </si>
  <si>
    <t>SP 37</t>
  </si>
  <si>
    <t>SP 39</t>
  </si>
  <si>
    <t>SP 40</t>
  </si>
  <si>
    <t>ZS 10</t>
  </si>
  <si>
    <t>ZS 11</t>
  </si>
  <si>
    <t>ZS 12</t>
  </si>
  <si>
    <t>ZWE 1</t>
  </si>
  <si>
    <t>ZS 13</t>
  </si>
  <si>
    <t>ZS 14</t>
  </si>
  <si>
    <t>ZS 15</t>
  </si>
  <si>
    <t xml:space="preserve"> </t>
  </si>
  <si>
    <t>Razem 80101</t>
  </si>
  <si>
    <t>Razem 80103</t>
  </si>
  <si>
    <t>G 1</t>
  </si>
  <si>
    <t>G 2</t>
  </si>
  <si>
    <t>G 3</t>
  </si>
  <si>
    <t>G 4</t>
  </si>
  <si>
    <t>G 5</t>
  </si>
  <si>
    <t>G 7</t>
  </si>
  <si>
    <t>G 8</t>
  </si>
  <si>
    <t>ZSSOg.</t>
  </si>
  <si>
    <t>G 9</t>
  </si>
  <si>
    <t>ZSOg 6</t>
  </si>
  <si>
    <t>G 10</t>
  </si>
  <si>
    <t>G 11</t>
  </si>
  <si>
    <t>G 12</t>
  </si>
  <si>
    <t>ZSOg.5</t>
  </si>
  <si>
    <t>G 13</t>
  </si>
  <si>
    <t>ZSOg.4</t>
  </si>
  <si>
    <t>G 14</t>
  </si>
  <si>
    <t>G 15</t>
  </si>
  <si>
    <t>G 16</t>
  </si>
  <si>
    <t>G 17</t>
  </si>
  <si>
    <t>G 18</t>
  </si>
  <si>
    <t>G 19</t>
  </si>
  <si>
    <t>G 20</t>
  </si>
  <si>
    <t>ZSZ Nr 1</t>
  </si>
  <si>
    <t>Gim.dorośli</t>
  </si>
  <si>
    <t>ZSOg Nr 2</t>
  </si>
  <si>
    <t>G 23</t>
  </si>
  <si>
    <t>ZSOg Nr 1</t>
  </si>
  <si>
    <t>G 24</t>
  </si>
  <si>
    <t>Razem 80110</t>
  </si>
  <si>
    <t>Razem 80113</t>
  </si>
  <si>
    <t>G1</t>
  </si>
  <si>
    <t>Razem 80146</t>
  </si>
  <si>
    <t>Razem 80148</t>
  </si>
  <si>
    <t>Razem 80195</t>
  </si>
  <si>
    <t>Razem 85401</t>
  </si>
  <si>
    <t>Razem 85412</t>
  </si>
  <si>
    <t>Razem 85415</t>
  </si>
  <si>
    <t>Razem 801</t>
  </si>
  <si>
    <t>Razem 854</t>
  </si>
  <si>
    <t>Razem 90019</t>
  </si>
  <si>
    <t>ZESTAWIENIE WYKONANIA ZADAŃ RZECZOWYCH SZKÓŁ PODSTAWOWYCH I GIMNAZJÓW za 2010 rok</t>
  </si>
  <si>
    <t>Jednostka</t>
  </si>
  <si>
    <t>Nr</t>
  </si>
  <si>
    <t xml:space="preserve">       Liczba  uczniów </t>
  </si>
  <si>
    <t xml:space="preserve">          Liczba oddziałów</t>
  </si>
  <si>
    <t>Etaty N+A+O</t>
  </si>
  <si>
    <t xml:space="preserve">          Z a  t r u d n i e n i e</t>
  </si>
  <si>
    <t>Nauczanie indywidualne</t>
  </si>
  <si>
    <t>Pedagodzy</t>
  </si>
  <si>
    <t>Psycholodzy</t>
  </si>
  <si>
    <t>Świetlca</t>
  </si>
  <si>
    <t>Żywienie w szkołach w tym:</t>
  </si>
  <si>
    <t>etaty plan</t>
  </si>
  <si>
    <t>różnica</t>
  </si>
  <si>
    <t>organizacyjna</t>
  </si>
  <si>
    <t>SP/Gimn.</t>
  </si>
  <si>
    <t xml:space="preserve">Razem </t>
  </si>
  <si>
    <t>"O"</t>
  </si>
  <si>
    <t>SP</t>
  </si>
  <si>
    <t>Gimn.</t>
  </si>
  <si>
    <t xml:space="preserve">SP  </t>
  </si>
  <si>
    <t xml:space="preserve">Ogółem </t>
  </si>
  <si>
    <t xml:space="preserve">Nauczyciele razem </t>
  </si>
  <si>
    <t>S</t>
  </si>
  <si>
    <t>K</t>
  </si>
  <si>
    <t>M</t>
  </si>
  <si>
    <t>D</t>
  </si>
  <si>
    <t>"O"staż</t>
  </si>
  <si>
    <t>"O"kontr</t>
  </si>
  <si>
    <t>"O"mian</t>
  </si>
  <si>
    <t>"O"dypl</t>
  </si>
  <si>
    <t>P.staż</t>
  </si>
  <si>
    <t>P.kontr.</t>
  </si>
  <si>
    <t>P.mian.</t>
  </si>
  <si>
    <t>P.dypl.</t>
  </si>
  <si>
    <t>G.staż</t>
  </si>
  <si>
    <t>G.kontr.</t>
  </si>
  <si>
    <t>G.mian.</t>
  </si>
  <si>
    <t>G.dypl.</t>
  </si>
  <si>
    <t>Ś staż.</t>
  </si>
  <si>
    <t>Ś Kontr.</t>
  </si>
  <si>
    <t>Ś mian.</t>
  </si>
  <si>
    <t>Ś dypl.</t>
  </si>
  <si>
    <t>Adm.</t>
  </si>
  <si>
    <t>Obsł.</t>
  </si>
  <si>
    <t>ilość godzin tygodn</t>
  </si>
  <si>
    <t>uczn.</t>
  </si>
  <si>
    <t>uczestn.</t>
  </si>
  <si>
    <t>limit</t>
  </si>
  <si>
    <t>pełnopł.</t>
  </si>
  <si>
    <t>MOPS</t>
  </si>
  <si>
    <t>inne</t>
  </si>
  <si>
    <t>prac.</t>
  </si>
  <si>
    <t>Gimnazjum Nr 1</t>
  </si>
  <si>
    <t>Gimnazjum Nr 2</t>
  </si>
  <si>
    <t>Gimnazjum Nr 3</t>
  </si>
  <si>
    <t>SP Nr 6</t>
  </si>
  <si>
    <t>Gimnazjum Nr 4</t>
  </si>
  <si>
    <t>ZS Nr 5</t>
  </si>
  <si>
    <t>SP Nr 10</t>
  </si>
  <si>
    <t>ZS Nr 6</t>
  </si>
  <si>
    <t>ZS Nr 7</t>
  </si>
  <si>
    <t>SP Nr 13</t>
  </si>
  <si>
    <t>SP Nr 16</t>
  </si>
  <si>
    <t>SP Nr 17</t>
  </si>
  <si>
    <t>SP Nr 18</t>
  </si>
  <si>
    <t>ZSOg Nr 6</t>
  </si>
  <si>
    <t>SP Nr 20</t>
  </si>
  <si>
    <t>SP Nr 21</t>
  </si>
  <si>
    <t>SP Nr 23</t>
  </si>
  <si>
    <t>SP Nr 26</t>
  </si>
  <si>
    <t>Gimnazjum Nr 11</t>
  </si>
  <si>
    <t>SP Nr 28</t>
  </si>
  <si>
    <t>SP Nr 29</t>
  </si>
  <si>
    <t>ZS Nr 9</t>
  </si>
  <si>
    <t>SP Nr 33</t>
  </si>
  <si>
    <t>SP Nr 34</t>
  </si>
  <si>
    <t>SP Nr 35</t>
  </si>
  <si>
    <t>ZSOg Nr 5</t>
  </si>
  <si>
    <t>SP Nr 37</t>
  </si>
  <si>
    <t>SP Nr 39</t>
  </si>
  <si>
    <t>SP Nr 40</t>
  </si>
  <si>
    <t>ZSOg Nr 4</t>
  </si>
  <si>
    <t>ZS Nr 10</t>
  </si>
  <si>
    <t>ZS Nr 11</t>
  </si>
  <si>
    <t>ZS Nr 12</t>
  </si>
  <si>
    <t>ZWE Nr 1</t>
  </si>
  <si>
    <t>ZS Nr 13</t>
  </si>
  <si>
    <t>ZS Nr 14</t>
  </si>
  <si>
    <t>ZS Nr 15</t>
  </si>
  <si>
    <t>Ogółem</t>
  </si>
  <si>
    <t>Sprawozdanie w wykonania planu rzeczowo-finansowego przedszkoli za rok 2010</t>
  </si>
  <si>
    <t>Nr Placówki</t>
  </si>
  <si>
    <t>Liczba dzieci ogół.</t>
  </si>
  <si>
    <t>w tym poza mini.</t>
  </si>
  <si>
    <t>Liczba oddzi.</t>
  </si>
  <si>
    <t>Ogółem żywion.</t>
  </si>
  <si>
    <t>Stan zatrudnienia</t>
  </si>
  <si>
    <t xml:space="preserve">Dotacja             </t>
  </si>
  <si>
    <t>Wydatki inwestycyjne</t>
  </si>
  <si>
    <t>Koszt dziecka</t>
  </si>
  <si>
    <t>Ogół.</t>
  </si>
  <si>
    <t>w tym</t>
  </si>
  <si>
    <t>Naucz.</t>
  </si>
  <si>
    <t>Admini.</t>
  </si>
  <si>
    <t>Obsłu.</t>
  </si>
  <si>
    <t>Plan</t>
  </si>
  <si>
    <t>Wykonanie</t>
  </si>
  <si>
    <t>Przedszkole 4</t>
  </si>
  <si>
    <t>Przedszkole 5</t>
  </si>
  <si>
    <t>Przedszkole 6</t>
  </si>
  <si>
    <t>Przedszkole 7</t>
  </si>
  <si>
    <t>Przedszkole 8</t>
  </si>
  <si>
    <t>Przedszkole 9</t>
  </si>
  <si>
    <t>Przedszkole 11</t>
  </si>
  <si>
    <t>Przedszkole 13</t>
  </si>
  <si>
    <t>Przedszkole 14</t>
  </si>
  <si>
    <t>Przedszkole 15</t>
  </si>
  <si>
    <t>Przedszkole 16</t>
  </si>
  <si>
    <t>Przedszkole 18</t>
  </si>
  <si>
    <t>Przedszkole 19</t>
  </si>
  <si>
    <t>Przedszkole 21</t>
  </si>
  <si>
    <t>Przedszkole 22</t>
  </si>
  <si>
    <t>Przedszkole 23</t>
  </si>
  <si>
    <t>Przedszkole 24</t>
  </si>
  <si>
    <t>Przedszkole 25</t>
  </si>
  <si>
    <t>Przedszkole 26</t>
  </si>
  <si>
    <t>Przedszkole 27</t>
  </si>
  <si>
    <t>Przedszkole 28</t>
  </si>
  <si>
    <t>Przedszkole 29</t>
  </si>
  <si>
    <t>Przedszkole 30</t>
  </si>
  <si>
    <t>Przedszkole 31</t>
  </si>
  <si>
    <t>Przedszkole 32</t>
  </si>
  <si>
    <t>Przedszkole 35</t>
  </si>
  <si>
    <t>Przedszkole 36</t>
  </si>
  <si>
    <t>Przedszkole 42</t>
  </si>
  <si>
    <t>Przedszkole 43</t>
  </si>
  <si>
    <t>Przedszkole 44</t>
  </si>
  <si>
    <t>Przedszkole 46</t>
  </si>
  <si>
    <t>Przedszkole 47</t>
  </si>
  <si>
    <t>Przedszkole 48</t>
  </si>
  <si>
    <t>Przedszkole 49</t>
  </si>
  <si>
    <t>Przedszkole 50</t>
  </si>
  <si>
    <t>Przedszkole 51</t>
  </si>
  <si>
    <t>Przedszkole 52</t>
  </si>
  <si>
    <t>RAZEM:</t>
  </si>
  <si>
    <t>Sr. Nierozd.</t>
  </si>
  <si>
    <t>Załącznik nr 2</t>
  </si>
  <si>
    <t>ZESTAWIENIE WYKONANIA JEDNOSTKOWYCH PLANÓW FINANSOWYCH SZKÓŁ PODSTAWOWYCH, GIMNAZJÓW ORAZ STOŁÓWEK SZKOLNYCH I ŚWIETLIC                                                       przy tych placówkach za 2010 rok</t>
  </si>
  <si>
    <t>Załącznik nr 3</t>
  </si>
  <si>
    <t>ZESTAWIENIE WYKONANIA PLANÓW FINANSOWYCH SZKÓŁ PONADGIMNAZJALNYCH I PLACÓWEK EDUKACYJNO - WYCHOWAWCZYCH za 2010 rok</t>
  </si>
  <si>
    <t>Załącznik nr 4</t>
  </si>
  <si>
    <t>ZESTAWIENIE WYKONANIA ZADAŃ RZECZOWYCH SZKÓŁ PONADGIMNAZJALNYCH I PLACÓWEK EDUKACYJNO - WYCHOWAWCZYCH za 2010 rok</t>
  </si>
  <si>
    <t>Załącznik nr 5</t>
  </si>
  <si>
    <t>Załącznik nr 6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</si>
</sst>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0.0%"/>
    <numFmt numFmtId="169" formatCode="0.000%"/>
    <numFmt numFmtId="170" formatCode="0.00000"/>
    <numFmt numFmtId="171" formatCode="0.0000"/>
    <numFmt numFmtId="172" formatCode="0.000"/>
    <numFmt numFmtId="173" formatCode="0.0"/>
    <numFmt numFmtId="174" formatCode="0.0000000"/>
    <numFmt numFmtId="175" formatCode="0.00000000"/>
    <numFmt numFmtId="176" formatCode="0.000000"/>
    <numFmt numFmtId="177" formatCode="d/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7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3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4" borderId="0" applyNumberFormat="0" applyBorder="0" applyAlignment="0" applyProtection="0"/>
    <xf numFmtId="0" fontId="21" fillId="10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0" fontId="39" fillId="5" borderId="1" applyNumberFormat="0" applyAlignment="0" applyProtection="0"/>
    <xf numFmtId="0" fontId="40" fillId="26" borderId="3" applyNumberFormat="0" applyAlignment="0" applyProtection="0"/>
    <xf numFmtId="0" fontId="41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11" borderId="1" applyNumberFormat="0" applyAlignment="0" applyProtection="0"/>
    <xf numFmtId="0" fontId="42" fillId="0" borderId="7" applyNumberFormat="0" applyFill="0" applyAlignment="0" applyProtection="0"/>
    <xf numFmtId="0" fontId="43" fillId="25" borderId="2" applyNumberFormat="0" applyAlignment="0" applyProtection="0"/>
    <xf numFmtId="0" fontId="30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4" borderId="12" applyNumberFormat="0" applyFont="0" applyAlignment="0" applyProtection="0"/>
    <xf numFmtId="0" fontId="48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24" borderId="3" applyNumberForma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0" fillId="4" borderId="1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3" fillId="8" borderId="0" applyNumberFormat="0" applyBorder="0" applyAlignment="0" applyProtection="0"/>
  </cellStyleXfs>
  <cellXfs count="2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15" xfId="0" applyFont="1" applyFill="1" applyBorder="1" applyAlignment="1">
      <alignment wrapText="1"/>
    </xf>
    <xf numFmtId="3" fontId="8" fillId="0" borderId="15" xfId="0" applyNumberFormat="1" applyFont="1" applyFill="1" applyBorder="1" applyAlignment="1">
      <alignment wrapText="1"/>
    </xf>
    <xf numFmtId="4" fontId="8" fillId="0" borderId="15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3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8" fillId="0" borderId="15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5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9" fillId="0" borderId="15" xfId="0" applyNumberFormat="1" applyFont="1" applyBorder="1" applyAlignment="1">
      <alignment horizontal="centerContinuous"/>
    </xf>
    <xf numFmtId="3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 wrapText="1"/>
    </xf>
    <xf numFmtId="3" fontId="9" fillId="0" borderId="15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4" fontId="12" fillId="0" borderId="15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8" fillId="0" borderId="17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13" fillId="0" borderId="15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13" fillId="0" borderId="17" xfId="0" applyNumberFormat="1" applyFont="1" applyFill="1" applyBorder="1" applyAlignment="1">
      <alignment horizontal="right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8" fillId="0" borderId="17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4" fontId="15" fillId="0" borderId="17" xfId="0" applyNumberFormat="1" applyFont="1" applyBorder="1" applyAlignment="1">
      <alignment horizontal="right"/>
    </xf>
    <xf numFmtId="4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" fontId="7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2" fillId="0" borderId="15" xfId="0" applyNumberFormat="1" applyFont="1" applyFill="1" applyBorder="1" applyAlignment="1">
      <alignment horizontal="right"/>
    </xf>
    <xf numFmtId="4" fontId="12" fillId="0" borderId="15" xfId="0" applyNumberFormat="1" applyFont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4" fontId="12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15" xfId="0" applyNumberFormat="1" applyFont="1" applyBorder="1" applyAlignment="1">
      <alignment/>
    </xf>
    <xf numFmtId="164" fontId="7" fillId="0" borderId="15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164" fontId="9" fillId="0" borderId="15" xfId="0" applyNumberFormat="1" applyFont="1" applyBorder="1" applyAlignment="1">
      <alignment/>
    </xf>
    <xf numFmtId="0" fontId="10" fillId="0" borderId="0" xfId="0" applyFont="1" applyBorder="1" applyAlignment="1">
      <alignment/>
    </xf>
    <xf numFmtId="164" fontId="8" fillId="0" borderId="15" xfId="0" applyNumberFormat="1" applyFont="1" applyFill="1" applyBorder="1" applyAlignment="1">
      <alignment/>
    </xf>
    <xf numFmtId="4" fontId="36" fillId="0" borderId="15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 wrapText="1"/>
    </xf>
    <xf numFmtId="4" fontId="8" fillId="0" borderId="15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8" fillId="0" borderId="15" xfId="0" applyNumberFormat="1" applyFont="1" applyBorder="1" applyAlignment="1">
      <alignment horizontal="left"/>
    </xf>
    <xf numFmtId="1" fontId="8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164" fontId="8" fillId="0" borderId="15" xfId="0" applyNumberFormat="1" applyFont="1" applyFill="1" applyBorder="1" applyAlignment="1">
      <alignment horizontal="left"/>
    </xf>
    <xf numFmtId="4" fontId="9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3" fontId="56" fillId="0" borderId="15" xfId="0" applyNumberFormat="1" applyFont="1" applyBorder="1" applyAlignment="1">
      <alignment horizontal="center" vertical="center" wrapText="1"/>
    </xf>
    <xf numFmtId="4" fontId="56" fillId="0" borderId="15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3" fontId="56" fillId="0" borderId="15" xfId="0" applyNumberFormat="1" applyFont="1" applyBorder="1" applyAlignment="1">
      <alignment horizontal="left"/>
    </xf>
    <xf numFmtId="4" fontId="35" fillId="0" borderId="15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4" fontId="35" fillId="0" borderId="15" xfId="0" applyNumberFormat="1" applyFont="1" applyBorder="1" applyAlignment="1">
      <alignment vertical="center" wrapText="1"/>
    </xf>
    <xf numFmtId="3" fontId="35" fillId="0" borderId="15" xfId="0" applyNumberFormat="1" applyFont="1" applyBorder="1" applyAlignment="1">
      <alignment vertical="center" wrapText="1"/>
    </xf>
    <xf numFmtId="0" fontId="35" fillId="0" borderId="0" xfId="0" applyFont="1" applyBorder="1" applyAlignment="1">
      <alignment/>
    </xf>
    <xf numFmtId="3" fontId="35" fillId="0" borderId="15" xfId="0" applyNumberFormat="1" applyFont="1" applyFill="1" applyBorder="1" applyAlignment="1">
      <alignment vertical="center" wrapText="1"/>
    </xf>
    <xf numFmtId="3" fontId="55" fillId="0" borderId="15" xfId="0" applyNumberFormat="1" applyFont="1" applyBorder="1" applyAlignment="1">
      <alignment horizontal="center"/>
    </xf>
    <xf numFmtId="4" fontId="55" fillId="0" borderId="15" xfId="0" applyNumberFormat="1" applyFont="1" applyBorder="1" applyAlignment="1">
      <alignment/>
    </xf>
    <xf numFmtId="3" fontId="55" fillId="0" borderId="15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3" fontId="55" fillId="0" borderId="15" xfId="0" applyNumberFormat="1" applyFont="1" applyFill="1" applyBorder="1" applyAlignment="1">
      <alignment horizontal="left"/>
    </xf>
    <xf numFmtId="3" fontId="35" fillId="0" borderId="15" xfId="0" applyNumberFormat="1" applyFont="1" applyBorder="1" applyAlignment="1">
      <alignment horizontal="right"/>
    </xf>
    <xf numFmtId="4" fontId="35" fillId="0" borderId="15" xfId="0" applyNumberFormat="1" applyFont="1" applyBorder="1" applyAlignment="1">
      <alignment horizontal="right"/>
    </xf>
    <xf numFmtId="3" fontId="55" fillId="0" borderId="15" xfId="0" applyNumberFormat="1" applyFont="1" applyBorder="1" applyAlignment="1">
      <alignment horizontal="center"/>
    </xf>
    <xf numFmtId="3" fontId="55" fillId="0" borderId="15" xfId="0" applyNumberFormat="1" applyFont="1" applyBorder="1" applyAlignment="1">
      <alignment/>
    </xf>
    <xf numFmtId="0" fontId="5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3" fontId="55" fillId="0" borderId="18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6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3" fontId="9" fillId="0" borderId="15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 wrapText="1"/>
    </xf>
    <xf numFmtId="3" fontId="9" fillId="0" borderId="23" xfId="0" applyNumberFormat="1" applyFont="1" applyBorder="1" applyAlignment="1">
      <alignment horizont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3" fontId="55" fillId="0" borderId="24" xfId="0" applyNumberFormat="1" applyFont="1" applyBorder="1" applyAlignment="1">
      <alignment horizontal="center" vertical="center" wrapText="1"/>
    </xf>
    <xf numFmtId="3" fontId="55" fillId="0" borderId="25" xfId="0" applyNumberFormat="1" applyFont="1" applyBorder="1" applyAlignment="1">
      <alignment horizontal="center" vertical="center" wrapText="1"/>
    </xf>
    <xf numFmtId="3" fontId="55" fillId="0" borderId="26" xfId="0" applyNumberFormat="1" applyFont="1" applyBorder="1" applyAlignment="1">
      <alignment horizontal="center" vertical="center" wrapText="1"/>
    </xf>
    <xf numFmtId="3" fontId="55" fillId="0" borderId="27" xfId="0" applyNumberFormat="1" applyFont="1" applyBorder="1" applyAlignment="1">
      <alignment horizontal="center" vertical="center" wrapText="1"/>
    </xf>
    <xf numFmtId="3" fontId="55" fillId="0" borderId="28" xfId="0" applyNumberFormat="1" applyFont="1" applyBorder="1" applyAlignment="1">
      <alignment horizontal="center" vertical="center" wrapText="1"/>
    </xf>
    <xf numFmtId="3" fontId="55" fillId="0" borderId="15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7" fillId="0" borderId="17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horizontal="left"/>
    </xf>
    <xf numFmtId="164" fontId="7" fillId="0" borderId="15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wozdanie%20-%20przedszkola%202010-ca&#322;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awozdanie"/>
      <sheetName val="szczegóły"/>
      <sheetName val="uzgodnienia"/>
    </sheetNames>
    <sheetDataSet>
      <sheetData sheetId="1">
        <row r="7">
          <cell r="C7">
            <v>74.75</v>
          </cell>
          <cell r="K7">
            <v>71</v>
          </cell>
          <cell r="O7">
            <v>3</v>
          </cell>
          <cell r="Q7">
            <v>68.58</v>
          </cell>
          <cell r="AC7">
            <v>7.6899999999999995</v>
          </cell>
          <cell r="AM7">
            <v>1.58</v>
          </cell>
          <cell r="AQ7">
            <v>6.38</v>
          </cell>
          <cell r="AW7">
            <v>536458</v>
          </cell>
          <cell r="AX7">
            <v>536458</v>
          </cell>
          <cell r="BC7">
            <v>0</v>
          </cell>
          <cell r="BD7">
            <v>0</v>
          </cell>
        </row>
        <row r="8">
          <cell r="C8">
            <v>124</v>
          </cell>
          <cell r="K8">
            <v>121</v>
          </cell>
          <cell r="O8">
            <v>4</v>
          </cell>
          <cell r="Q8">
            <v>116</v>
          </cell>
          <cell r="AC8">
            <v>9.45</v>
          </cell>
          <cell r="AM8">
            <v>1.75</v>
          </cell>
          <cell r="AQ8">
            <v>8.5</v>
          </cell>
          <cell r="AW8">
            <v>682606</v>
          </cell>
          <cell r="AX8">
            <v>682606</v>
          </cell>
          <cell r="BC8">
            <v>10000</v>
          </cell>
          <cell r="BD8">
            <v>5236</v>
          </cell>
        </row>
        <row r="9">
          <cell r="C9">
            <v>147</v>
          </cell>
          <cell r="K9">
            <v>145</v>
          </cell>
          <cell r="O9">
            <v>5</v>
          </cell>
          <cell r="Q9">
            <v>135</v>
          </cell>
          <cell r="AC9">
            <v>12.39</v>
          </cell>
          <cell r="AM9">
            <v>1.79</v>
          </cell>
          <cell r="AQ9">
            <v>9.79</v>
          </cell>
          <cell r="AW9">
            <v>823526</v>
          </cell>
          <cell r="AX9">
            <v>823526</v>
          </cell>
          <cell r="BC9">
            <v>0</v>
          </cell>
          <cell r="BD9">
            <v>0</v>
          </cell>
        </row>
        <row r="10">
          <cell r="C10">
            <v>135</v>
          </cell>
          <cell r="K10">
            <v>111</v>
          </cell>
          <cell r="O10">
            <v>5</v>
          </cell>
          <cell r="Q10">
            <v>120</v>
          </cell>
          <cell r="AC10">
            <v>10.65</v>
          </cell>
          <cell r="AM10">
            <v>2</v>
          </cell>
          <cell r="AQ10">
            <v>9.75</v>
          </cell>
          <cell r="AW10">
            <v>937660</v>
          </cell>
          <cell r="AX10">
            <v>933463.53</v>
          </cell>
          <cell r="BC10">
            <v>5978</v>
          </cell>
          <cell r="BD10">
            <v>5978</v>
          </cell>
        </row>
        <row r="11">
          <cell r="C11">
            <v>103</v>
          </cell>
          <cell r="K11">
            <v>95</v>
          </cell>
          <cell r="O11">
            <v>4</v>
          </cell>
          <cell r="Q11">
            <v>94</v>
          </cell>
          <cell r="AC11">
            <v>7.93</v>
          </cell>
          <cell r="AM11">
            <v>1.92</v>
          </cell>
          <cell r="AQ11">
            <v>6.02</v>
          </cell>
          <cell r="AW11">
            <v>739149</v>
          </cell>
          <cell r="AX11">
            <v>715349</v>
          </cell>
          <cell r="BC11">
            <v>0</v>
          </cell>
          <cell r="BD11">
            <v>0</v>
          </cell>
        </row>
        <row r="12">
          <cell r="C12">
            <v>96</v>
          </cell>
          <cell r="K12">
            <v>89</v>
          </cell>
          <cell r="O12">
            <v>4</v>
          </cell>
          <cell r="Q12">
            <v>82.8</v>
          </cell>
          <cell r="AC12">
            <v>9.780000000000001</v>
          </cell>
          <cell r="AM12">
            <v>1.5</v>
          </cell>
          <cell r="AQ12">
            <v>7.458</v>
          </cell>
          <cell r="AW12">
            <v>641202</v>
          </cell>
          <cell r="AX12">
            <v>641202</v>
          </cell>
          <cell r="BC12">
            <v>0</v>
          </cell>
          <cell r="BD12">
            <v>0</v>
          </cell>
        </row>
        <row r="13">
          <cell r="C13">
            <v>116</v>
          </cell>
          <cell r="K13">
            <v>114</v>
          </cell>
          <cell r="O13">
            <v>4</v>
          </cell>
          <cell r="Q13">
            <v>106</v>
          </cell>
          <cell r="AC13">
            <v>10.45</v>
          </cell>
          <cell r="AM13">
            <v>1.85</v>
          </cell>
          <cell r="AQ13">
            <v>8</v>
          </cell>
          <cell r="AW13">
            <v>743998</v>
          </cell>
          <cell r="AX13">
            <v>743534</v>
          </cell>
          <cell r="BC13">
            <v>4506</v>
          </cell>
          <cell r="BD13">
            <v>4506</v>
          </cell>
        </row>
        <row r="14">
          <cell r="C14">
            <v>170</v>
          </cell>
          <cell r="K14">
            <v>163</v>
          </cell>
          <cell r="O14">
            <v>6</v>
          </cell>
          <cell r="Q14">
            <v>153</v>
          </cell>
          <cell r="AC14">
            <v>12.899999999999999</v>
          </cell>
          <cell r="AM14">
            <v>2.19</v>
          </cell>
          <cell r="AQ14">
            <v>11.42</v>
          </cell>
          <cell r="AW14">
            <v>910600</v>
          </cell>
          <cell r="AX14">
            <v>910600</v>
          </cell>
          <cell r="BC14">
            <v>0</v>
          </cell>
          <cell r="BD14">
            <v>0</v>
          </cell>
        </row>
        <row r="15">
          <cell r="C15">
            <v>76</v>
          </cell>
          <cell r="K15">
            <v>69</v>
          </cell>
          <cell r="O15">
            <v>3</v>
          </cell>
          <cell r="Q15">
            <v>68.49</v>
          </cell>
          <cell r="AC15">
            <v>6.1899999999999995</v>
          </cell>
          <cell r="AM15">
            <v>1.5</v>
          </cell>
          <cell r="AQ15">
            <v>6.37</v>
          </cell>
          <cell r="AW15">
            <v>543353</v>
          </cell>
          <cell r="AX15">
            <v>522333</v>
          </cell>
          <cell r="BC15">
            <v>0</v>
          </cell>
          <cell r="BD15">
            <v>0</v>
          </cell>
        </row>
        <row r="16">
          <cell r="C16">
            <v>108</v>
          </cell>
          <cell r="K16">
            <v>108</v>
          </cell>
          <cell r="O16">
            <v>4</v>
          </cell>
          <cell r="Q16">
            <v>64.75</v>
          </cell>
          <cell r="AC16">
            <v>9.08</v>
          </cell>
          <cell r="AM16">
            <v>1.75</v>
          </cell>
          <cell r="AQ16">
            <v>7.5</v>
          </cell>
          <cell r="AW16">
            <v>761841</v>
          </cell>
          <cell r="AX16">
            <v>752215.34</v>
          </cell>
          <cell r="BC16">
            <v>0</v>
          </cell>
          <cell r="BD16">
            <v>0</v>
          </cell>
        </row>
        <row r="17">
          <cell r="C17">
            <v>112</v>
          </cell>
          <cell r="K17">
            <v>102</v>
          </cell>
          <cell r="O17">
            <v>4</v>
          </cell>
          <cell r="Q17">
            <v>103</v>
          </cell>
          <cell r="AC17">
            <v>9.09</v>
          </cell>
          <cell r="AM17">
            <v>1.75</v>
          </cell>
          <cell r="AQ17">
            <v>8</v>
          </cell>
          <cell r="AW17">
            <v>677984</v>
          </cell>
          <cell r="AX17">
            <v>677984</v>
          </cell>
          <cell r="BC17">
            <v>0</v>
          </cell>
          <cell r="BD17">
            <v>0</v>
          </cell>
        </row>
        <row r="18">
          <cell r="C18">
            <v>138</v>
          </cell>
          <cell r="K18">
            <v>111</v>
          </cell>
          <cell r="O18">
            <v>5</v>
          </cell>
          <cell r="Q18">
            <v>125.5</v>
          </cell>
          <cell r="AC18">
            <v>10.81</v>
          </cell>
          <cell r="AM18">
            <v>1.75</v>
          </cell>
          <cell r="AQ18">
            <v>8.42</v>
          </cell>
          <cell r="AW18">
            <v>890162</v>
          </cell>
          <cell r="AX18">
            <v>881616.31</v>
          </cell>
          <cell r="BC18">
            <v>0</v>
          </cell>
          <cell r="BD18">
            <v>0</v>
          </cell>
        </row>
        <row r="19">
          <cell r="C19">
            <v>104</v>
          </cell>
          <cell r="K19">
            <v>101</v>
          </cell>
          <cell r="O19">
            <v>4</v>
          </cell>
          <cell r="Q19">
            <v>95</v>
          </cell>
          <cell r="AC19">
            <v>8.92</v>
          </cell>
          <cell r="AM19">
            <v>1.75</v>
          </cell>
          <cell r="AQ19">
            <v>8.56</v>
          </cell>
          <cell r="AW19">
            <v>895308</v>
          </cell>
          <cell r="AX19">
            <v>859097.63</v>
          </cell>
          <cell r="BC19">
            <v>40000</v>
          </cell>
          <cell r="BD19">
            <v>39345</v>
          </cell>
        </row>
        <row r="20">
          <cell r="C20">
            <v>103</v>
          </cell>
          <cell r="K20">
            <v>98</v>
          </cell>
          <cell r="O20">
            <v>3.67</v>
          </cell>
          <cell r="Q20">
            <v>93.67</v>
          </cell>
          <cell r="AC20">
            <v>9.17</v>
          </cell>
          <cell r="AM20">
            <v>1.67</v>
          </cell>
          <cell r="AQ20">
            <v>7</v>
          </cell>
          <cell r="AW20">
            <v>632189</v>
          </cell>
          <cell r="AX20">
            <v>623370.86</v>
          </cell>
          <cell r="BC20">
            <v>0</v>
          </cell>
          <cell r="BD20">
            <v>0</v>
          </cell>
        </row>
        <row r="21">
          <cell r="C21">
            <v>122</v>
          </cell>
          <cell r="K21">
            <v>114</v>
          </cell>
          <cell r="O21">
            <v>5</v>
          </cell>
          <cell r="Q21">
            <v>111.6</v>
          </cell>
          <cell r="AC21">
            <v>11.84</v>
          </cell>
          <cell r="AM21">
            <v>1.75</v>
          </cell>
          <cell r="AQ21">
            <v>8.5</v>
          </cell>
          <cell r="AW21">
            <v>788553</v>
          </cell>
          <cell r="AX21">
            <v>788553</v>
          </cell>
          <cell r="BC21">
            <v>0</v>
          </cell>
          <cell r="BD21">
            <v>0</v>
          </cell>
        </row>
        <row r="22">
          <cell r="C22">
            <v>106</v>
          </cell>
          <cell r="K22">
            <v>103</v>
          </cell>
          <cell r="O22">
            <v>4</v>
          </cell>
          <cell r="Q22">
            <v>91</v>
          </cell>
          <cell r="AC22">
            <v>9.59</v>
          </cell>
          <cell r="AM22">
            <v>1.875</v>
          </cell>
          <cell r="AQ22">
            <v>6.75</v>
          </cell>
          <cell r="AW22">
            <v>662336</v>
          </cell>
          <cell r="AX22">
            <v>662333.59</v>
          </cell>
          <cell r="BC22">
            <v>0</v>
          </cell>
          <cell r="BD22">
            <v>0</v>
          </cell>
        </row>
        <row r="23">
          <cell r="C23">
            <v>132</v>
          </cell>
          <cell r="K23">
            <v>129</v>
          </cell>
          <cell r="O23">
            <v>5</v>
          </cell>
          <cell r="Q23">
            <v>107</v>
          </cell>
          <cell r="AC23">
            <v>11</v>
          </cell>
          <cell r="AM23">
            <v>2</v>
          </cell>
          <cell r="AQ23">
            <v>7.04</v>
          </cell>
          <cell r="AW23">
            <v>1600171</v>
          </cell>
          <cell r="AX23">
            <v>1600079.18</v>
          </cell>
          <cell r="BC23">
            <v>790000</v>
          </cell>
          <cell r="BD23">
            <v>789908.18</v>
          </cell>
        </row>
        <row r="24">
          <cell r="C24">
            <v>100</v>
          </cell>
          <cell r="K24">
            <v>97</v>
          </cell>
          <cell r="O24">
            <v>3.66</v>
          </cell>
          <cell r="Q24">
            <v>91.66</v>
          </cell>
          <cell r="AC24">
            <v>8.42</v>
          </cell>
          <cell r="AM24">
            <v>1.84</v>
          </cell>
          <cell r="AQ24">
            <v>7.75</v>
          </cell>
          <cell r="AW24">
            <v>712322</v>
          </cell>
          <cell r="AX24">
            <v>673977.24</v>
          </cell>
          <cell r="BC24">
            <v>6000</v>
          </cell>
          <cell r="BD24">
            <v>6000</v>
          </cell>
        </row>
        <row r="25">
          <cell r="C25">
            <v>143</v>
          </cell>
          <cell r="K25">
            <v>116</v>
          </cell>
          <cell r="O25">
            <v>6</v>
          </cell>
          <cell r="Q25">
            <v>130.25</v>
          </cell>
          <cell r="AC25">
            <v>11.239999999999998</v>
          </cell>
          <cell r="AM25">
            <v>2</v>
          </cell>
          <cell r="AQ25">
            <v>9.44</v>
          </cell>
          <cell r="AW25">
            <v>893274</v>
          </cell>
          <cell r="AX25">
            <v>853340.86</v>
          </cell>
          <cell r="BC25">
            <v>0</v>
          </cell>
          <cell r="BD25">
            <v>0</v>
          </cell>
        </row>
        <row r="26">
          <cell r="C26">
            <v>142</v>
          </cell>
          <cell r="K26">
            <v>128</v>
          </cell>
          <cell r="O26">
            <v>5</v>
          </cell>
          <cell r="Q26">
            <v>128.82999999999998</v>
          </cell>
          <cell r="AC26">
            <v>14.15</v>
          </cell>
          <cell r="AM26">
            <v>1.75</v>
          </cell>
          <cell r="AQ26">
            <v>10</v>
          </cell>
          <cell r="AW26">
            <v>970203</v>
          </cell>
          <cell r="AX26">
            <v>970175.53</v>
          </cell>
          <cell r="BC26">
            <v>0</v>
          </cell>
          <cell r="BD26">
            <v>0</v>
          </cell>
        </row>
        <row r="27">
          <cell r="C27">
            <v>150</v>
          </cell>
          <cell r="K27">
            <v>146</v>
          </cell>
          <cell r="O27">
            <v>6</v>
          </cell>
          <cell r="Q27">
            <v>137</v>
          </cell>
          <cell r="AC27">
            <v>13.8</v>
          </cell>
          <cell r="AM27">
            <v>2</v>
          </cell>
          <cell r="AQ27">
            <v>9.7</v>
          </cell>
          <cell r="AW27">
            <v>883499</v>
          </cell>
          <cell r="AX27">
            <v>883160.57</v>
          </cell>
          <cell r="BC27">
            <v>0</v>
          </cell>
          <cell r="BD27">
            <v>0</v>
          </cell>
        </row>
        <row r="28">
          <cell r="C28">
            <v>135</v>
          </cell>
          <cell r="K28">
            <v>112</v>
          </cell>
          <cell r="O28">
            <v>5</v>
          </cell>
          <cell r="Q28">
            <v>123</v>
          </cell>
          <cell r="AC28">
            <v>11.22</v>
          </cell>
          <cell r="AM28">
            <v>2</v>
          </cell>
          <cell r="AQ28">
            <v>8.98</v>
          </cell>
          <cell r="AW28">
            <v>826184</v>
          </cell>
          <cell r="AX28">
            <v>819184</v>
          </cell>
          <cell r="BC28">
            <v>0</v>
          </cell>
          <cell r="BD28">
            <v>0</v>
          </cell>
        </row>
        <row r="29">
          <cell r="C29">
            <v>107</v>
          </cell>
          <cell r="K29">
            <v>75</v>
          </cell>
          <cell r="O29">
            <v>4.33</v>
          </cell>
          <cell r="Q29">
            <v>95.76</v>
          </cell>
          <cell r="AC29">
            <v>9.55</v>
          </cell>
          <cell r="AM29">
            <v>1.75</v>
          </cell>
          <cell r="AQ29">
            <v>8.33</v>
          </cell>
          <cell r="AW29">
            <v>641209</v>
          </cell>
          <cell r="AX29">
            <v>641209</v>
          </cell>
          <cell r="BC29">
            <v>6000</v>
          </cell>
          <cell r="BD29">
            <v>5270.4</v>
          </cell>
        </row>
        <row r="30">
          <cell r="C30">
            <v>126</v>
          </cell>
          <cell r="K30">
            <v>124</v>
          </cell>
          <cell r="O30">
            <v>4</v>
          </cell>
          <cell r="Q30">
            <v>108</v>
          </cell>
          <cell r="AC30">
            <v>10.120000000000001</v>
          </cell>
          <cell r="AM30">
            <v>1.75</v>
          </cell>
          <cell r="AQ30">
            <v>9.25</v>
          </cell>
          <cell r="AW30">
            <v>824023</v>
          </cell>
          <cell r="AX30">
            <v>824023</v>
          </cell>
          <cell r="BC30">
            <v>0</v>
          </cell>
          <cell r="BD30">
            <v>0</v>
          </cell>
        </row>
        <row r="31">
          <cell r="C31">
            <v>139</v>
          </cell>
          <cell r="K31">
            <v>136</v>
          </cell>
          <cell r="O31">
            <v>5</v>
          </cell>
          <cell r="Q31">
            <v>127.58</v>
          </cell>
          <cell r="AC31">
            <v>13.95</v>
          </cell>
          <cell r="AM31">
            <v>1.87</v>
          </cell>
          <cell r="AQ31">
            <v>10.69</v>
          </cell>
          <cell r="AW31">
            <v>828706</v>
          </cell>
          <cell r="AX31">
            <v>828706</v>
          </cell>
          <cell r="BC31">
            <v>0</v>
          </cell>
          <cell r="BD31">
            <v>0</v>
          </cell>
        </row>
        <row r="32">
          <cell r="C32">
            <v>153</v>
          </cell>
          <cell r="K32">
            <v>113</v>
          </cell>
          <cell r="O32">
            <v>6</v>
          </cell>
          <cell r="Q32">
            <v>105.84</v>
          </cell>
          <cell r="AC32">
            <v>11</v>
          </cell>
          <cell r="AM32">
            <v>2</v>
          </cell>
          <cell r="AQ32">
            <v>9.5</v>
          </cell>
          <cell r="AW32">
            <v>954373</v>
          </cell>
          <cell r="AX32">
            <v>954034.37</v>
          </cell>
          <cell r="BC32">
            <v>0</v>
          </cell>
          <cell r="BD32">
            <v>0</v>
          </cell>
        </row>
        <row r="33">
          <cell r="C33">
            <v>100</v>
          </cell>
          <cell r="K33">
            <v>95</v>
          </cell>
          <cell r="O33">
            <v>4</v>
          </cell>
          <cell r="Q33">
            <v>91.5</v>
          </cell>
          <cell r="AC33">
            <v>8.41</v>
          </cell>
          <cell r="AM33">
            <v>1.75</v>
          </cell>
          <cell r="AQ33">
            <v>6.5</v>
          </cell>
          <cell r="AW33">
            <v>616615</v>
          </cell>
          <cell r="AX33">
            <v>616615</v>
          </cell>
          <cell r="BC33">
            <v>0</v>
          </cell>
          <cell r="BD33">
            <v>0</v>
          </cell>
        </row>
        <row r="34">
          <cell r="C34">
            <v>129</v>
          </cell>
          <cell r="K34">
            <v>113</v>
          </cell>
          <cell r="O34">
            <v>5</v>
          </cell>
          <cell r="Q34">
            <v>117</v>
          </cell>
          <cell r="AC34">
            <v>10.049999999999999</v>
          </cell>
          <cell r="AM34">
            <v>2</v>
          </cell>
          <cell r="AQ34">
            <v>8.48</v>
          </cell>
          <cell r="AW34">
            <v>805894</v>
          </cell>
          <cell r="AX34">
            <v>751452.6</v>
          </cell>
          <cell r="BC34">
            <v>0</v>
          </cell>
          <cell r="BD34">
            <v>0</v>
          </cell>
        </row>
        <row r="35">
          <cell r="C35">
            <v>123</v>
          </cell>
          <cell r="K35">
            <v>98</v>
          </cell>
          <cell r="O35">
            <v>5</v>
          </cell>
          <cell r="Q35">
            <v>105</v>
          </cell>
          <cell r="AC35">
            <v>11.670000000000002</v>
          </cell>
          <cell r="AM35">
            <v>2</v>
          </cell>
          <cell r="AQ35">
            <v>8.85</v>
          </cell>
          <cell r="AW35">
            <v>1069337</v>
          </cell>
          <cell r="AX35">
            <v>1061301.99</v>
          </cell>
          <cell r="BC35">
            <v>5359</v>
          </cell>
          <cell r="BD35">
            <v>5359</v>
          </cell>
        </row>
        <row r="36">
          <cell r="C36">
            <v>217</v>
          </cell>
          <cell r="K36">
            <v>213</v>
          </cell>
          <cell r="O36">
            <v>8</v>
          </cell>
          <cell r="Q36">
            <v>198.3</v>
          </cell>
          <cell r="AC36">
            <v>18.04</v>
          </cell>
          <cell r="AM36">
            <v>2.75</v>
          </cell>
          <cell r="AQ36">
            <v>13.66</v>
          </cell>
          <cell r="AW36">
            <v>1296476</v>
          </cell>
          <cell r="AX36">
            <v>1296476</v>
          </cell>
          <cell r="BC36">
            <v>0</v>
          </cell>
          <cell r="BD36">
            <v>0</v>
          </cell>
        </row>
        <row r="37">
          <cell r="C37">
            <v>216</v>
          </cell>
          <cell r="K37">
            <v>160</v>
          </cell>
          <cell r="O37">
            <v>8</v>
          </cell>
          <cell r="Q37">
            <v>195.82999999999998</v>
          </cell>
          <cell r="AC37">
            <v>15.780000000000001</v>
          </cell>
          <cell r="AM37">
            <v>2.5</v>
          </cell>
          <cell r="AQ37">
            <v>13.51</v>
          </cell>
          <cell r="AW37">
            <v>1232893</v>
          </cell>
          <cell r="AX37">
            <v>1232893</v>
          </cell>
          <cell r="BC37">
            <v>0</v>
          </cell>
          <cell r="BD37">
            <v>0</v>
          </cell>
        </row>
        <row r="38">
          <cell r="C38">
            <v>108</v>
          </cell>
          <cell r="K38">
            <v>95</v>
          </cell>
          <cell r="O38">
            <v>4</v>
          </cell>
          <cell r="Q38">
            <v>97</v>
          </cell>
          <cell r="AC38">
            <v>9.04</v>
          </cell>
          <cell r="AM38">
            <v>1.75</v>
          </cell>
          <cell r="AQ38">
            <v>8</v>
          </cell>
          <cell r="AW38">
            <v>739969</v>
          </cell>
          <cell r="AX38">
            <v>673717.65</v>
          </cell>
          <cell r="BC38">
            <v>0</v>
          </cell>
          <cell r="BD38">
            <v>0</v>
          </cell>
        </row>
        <row r="39">
          <cell r="C39">
            <v>191</v>
          </cell>
          <cell r="K39">
            <v>183</v>
          </cell>
          <cell r="O39">
            <v>7</v>
          </cell>
          <cell r="Q39">
            <v>178</v>
          </cell>
          <cell r="AC39">
            <v>15.82</v>
          </cell>
          <cell r="AM39">
            <v>2.25</v>
          </cell>
          <cell r="AQ39">
            <v>13</v>
          </cell>
          <cell r="AW39">
            <v>1182842</v>
          </cell>
          <cell r="AX39">
            <v>1178926.42</v>
          </cell>
          <cell r="BC39">
            <v>0</v>
          </cell>
          <cell r="BD39">
            <v>0</v>
          </cell>
        </row>
        <row r="40">
          <cell r="C40">
            <v>134</v>
          </cell>
          <cell r="K40">
            <v>125</v>
          </cell>
          <cell r="O40">
            <v>5</v>
          </cell>
          <cell r="Q40">
            <v>123</v>
          </cell>
          <cell r="AC40">
            <v>11.2</v>
          </cell>
          <cell r="AM40">
            <v>1.83</v>
          </cell>
          <cell r="AQ40">
            <v>10.98</v>
          </cell>
          <cell r="AW40">
            <v>829052</v>
          </cell>
          <cell r="AX40">
            <v>829051.99</v>
          </cell>
          <cell r="BC40">
            <v>6000</v>
          </cell>
          <cell r="BD40">
            <v>4099.2</v>
          </cell>
        </row>
        <row r="41">
          <cell r="C41">
            <v>222</v>
          </cell>
          <cell r="K41">
            <v>212</v>
          </cell>
          <cell r="O41">
            <v>7.67</v>
          </cell>
          <cell r="Q41">
            <v>203.32999999999998</v>
          </cell>
          <cell r="AC41">
            <v>15.75</v>
          </cell>
          <cell r="AM41">
            <v>3</v>
          </cell>
          <cell r="AQ41">
            <v>16</v>
          </cell>
          <cell r="AW41">
            <v>1371485</v>
          </cell>
          <cell r="AX41">
            <v>1316647.79</v>
          </cell>
          <cell r="BC41">
            <v>0</v>
          </cell>
          <cell r="BD41">
            <v>0</v>
          </cell>
        </row>
        <row r="42">
          <cell r="C42">
            <v>98</v>
          </cell>
          <cell r="K42">
            <v>90</v>
          </cell>
          <cell r="O42">
            <v>4</v>
          </cell>
          <cell r="Q42">
            <v>88</v>
          </cell>
          <cell r="AC42">
            <v>9.2</v>
          </cell>
          <cell r="AM42">
            <v>1.75</v>
          </cell>
          <cell r="AQ42">
            <v>8.33</v>
          </cell>
          <cell r="AW42">
            <v>660726</v>
          </cell>
          <cell r="AX42">
            <v>657546.13</v>
          </cell>
          <cell r="BC42">
            <v>0</v>
          </cell>
          <cell r="BD42">
            <v>0</v>
          </cell>
        </row>
        <row r="43">
          <cell r="C43">
            <v>105</v>
          </cell>
          <cell r="K43">
            <v>99</v>
          </cell>
          <cell r="O43">
            <v>4</v>
          </cell>
          <cell r="Q43">
            <v>96</v>
          </cell>
          <cell r="AC43">
            <v>8.29</v>
          </cell>
          <cell r="AM43">
            <v>1.75</v>
          </cell>
          <cell r="AQ43">
            <v>8</v>
          </cell>
          <cell r="AW43">
            <v>707391</v>
          </cell>
          <cell r="AX43">
            <v>703411.5</v>
          </cell>
          <cell r="BC43">
            <v>0</v>
          </cell>
          <cell r="BD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workbookViewId="0" topLeftCell="A1">
      <pane xSplit="2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6" sqref="H16"/>
    </sheetView>
  </sheetViews>
  <sheetFormatPr defaultColWidth="9.00390625" defaultRowHeight="12.75"/>
  <cols>
    <col min="1" max="1" width="9.00390625" style="32" customWidth="1"/>
    <col min="2" max="2" width="5.125" style="32" customWidth="1"/>
    <col min="3" max="3" width="6.75390625" style="32" hidden="1" customWidth="1"/>
    <col min="4" max="4" width="6.00390625" style="32" hidden="1" customWidth="1"/>
    <col min="5" max="5" width="9.00390625" style="32" customWidth="1"/>
    <col min="6" max="6" width="8.75390625" style="88" customWidth="1"/>
    <col min="7" max="7" width="5.00390625" style="32" customWidth="1"/>
    <col min="8" max="8" width="8.25390625" style="122" customWidth="1"/>
    <col min="9" max="9" width="7.375" style="32" customWidth="1"/>
    <col min="10" max="10" width="7.875" style="32" customWidth="1"/>
    <col min="11" max="11" width="7.00390625" style="32" customWidth="1"/>
    <col min="12" max="12" width="7.75390625" style="32" customWidth="1"/>
    <col min="13" max="13" width="7.125" style="32" customWidth="1"/>
    <col min="14" max="14" width="7.00390625" style="32" customWidth="1"/>
    <col min="15" max="15" width="7.125" style="32" customWidth="1"/>
    <col min="16" max="16" width="5.00390625" style="32" customWidth="1"/>
    <col min="17" max="16384" width="9.125" style="32" customWidth="1"/>
  </cols>
  <sheetData>
    <row r="1" ht="11.25">
      <c r="P1" s="195" t="s">
        <v>331</v>
      </c>
    </row>
    <row r="2" spans="1:16" s="197" customFormat="1" ht="57.75" customHeight="1">
      <c r="A2" s="196" t="s">
        <v>332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ht="15" customHeight="1">
      <c r="A3" s="88"/>
    </row>
    <row r="4" spans="1:16" ht="45">
      <c r="A4" s="198" t="s">
        <v>100</v>
      </c>
      <c r="B4" s="198" t="s">
        <v>101</v>
      </c>
      <c r="C4" s="199" t="s">
        <v>102</v>
      </c>
      <c r="D4" s="199" t="s">
        <v>103</v>
      </c>
      <c r="E4" s="198" t="s">
        <v>104</v>
      </c>
      <c r="F4" s="198" t="s">
        <v>105</v>
      </c>
      <c r="G4" s="200" t="s">
        <v>106</v>
      </c>
      <c r="H4" s="199" t="s">
        <v>5</v>
      </c>
      <c r="I4" s="201" t="s">
        <v>6</v>
      </c>
      <c r="J4" s="199" t="s">
        <v>7</v>
      </c>
      <c r="K4" s="199" t="s">
        <v>8</v>
      </c>
      <c r="L4" s="199" t="s">
        <v>107</v>
      </c>
      <c r="M4" s="199" t="s">
        <v>10</v>
      </c>
      <c r="N4" s="199" t="s">
        <v>108</v>
      </c>
      <c r="O4" s="199" t="s">
        <v>109</v>
      </c>
      <c r="P4" s="199" t="s">
        <v>12</v>
      </c>
    </row>
    <row r="5" spans="1:16" ht="11.25">
      <c r="A5" s="202" t="s">
        <v>110</v>
      </c>
      <c r="B5" s="203">
        <v>6</v>
      </c>
      <c r="C5" s="204">
        <v>676</v>
      </c>
      <c r="D5" s="204">
        <f aca="true" t="shared" si="0" ref="D5:D36">F5/12/C5</f>
        <v>443.2953648915188</v>
      </c>
      <c r="E5" s="15">
        <v>3609751</v>
      </c>
      <c r="F5" s="15">
        <f>3593012+3000</f>
        <v>3596012</v>
      </c>
      <c r="G5" s="205">
        <f aca="true" t="shared" si="1" ref="G5:G68">F5/E5*100</f>
        <v>99.6193920300874</v>
      </c>
      <c r="H5" s="15">
        <v>2447317</v>
      </c>
      <c r="I5" s="206">
        <v>180264</v>
      </c>
      <c r="J5" s="15">
        <v>387610</v>
      </c>
      <c r="K5" s="15">
        <v>52007</v>
      </c>
      <c r="L5" s="15">
        <v>181068</v>
      </c>
      <c r="M5" s="15">
        <v>119050</v>
      </c>
      <c r="N5" s="15">
        <v>136557</v>
      </c>
      <c r="O5" s="15"/>
      <c r="P5" s="15"/>
    </row>
    <row r="6" spans="1:16" ht="11.25">
      <c r="A6" s="202" t="s">
        <v>111</v>
      </c>
      <c r="B6" s="203">
        <v>8</v>
      </c>
      <c r="C6" s="204">
        <v>250</v>
      </c>
      <c r="D6" s="204">
        <f t="shared" si="0"/>
        <v>547.611</v>
      </c>
      <c r="E6" s="15">
        <v>1648579</v>
      </c>
      <c r="F6" s="15">
        <v>1642833</v>
      </c>
      <c r="G6" s="205">
        <f t="shared" si="1"/>
        <v>99.65145740665142</v>
      </c>
      <c r="H6" s="15">
        <v>1151080</v>
      </c>
      <c r="I6" s="206">
        <v>84608</v>
      </c>
      <c r="J6" s="15">
        <v>169623</v>
      </c>
      <c r="K6" s="15">
        <v>26117</v>
      </c>
      <c r="L6" s="15">
        <v>101015</v>
      </c>
      <c r="M6" s="15"/>
      <c r="N6" s="15">
        <v>71338</v>
      </c>
      <c r="O6" s="15"/>
      <c r="P6" s="15"/>
    </row>
    <row r="7" spans="1:16" ht="11.25">
      <c r="A7" s="202" t="s">
        <v>112</v>
      </c>
      <c r="B7" s="203">
        <v>10</v>
      </c>
      <c r="C7" s="204">
        <v>501</v>
      </c>
      <c r="D7" s="204">
        <f t="shared" si="0"/>
        <v>715.5149700598803</v>
      </c>
      <c r="E7" s="15">
        <v>4316256</v>
      </c>
      <c r="F7" s="15">
        <v>4301676</v>
      </c>
      <c r="G7" s="205">
        <f t="shared" si="1"/>
        <v>99.6622072462801</v>
      </c>
      <c r="H7" s="15">
        <v>2904492</v>
      </c>
      <c r="I7" s="206">
        <v>202654</v>
      </c>
      <c r="J7" s="15">
        <v>461472</v>
      </c>
      <c r="K7" s="15">
        <v>68664</v>
      </c>
      <c r="L7" s="15">
        <v>148257</v>
      </c>
      <c r="M7" s="15">
        <v>139998</v>
      </c>
      <c r="N7" s="15">
        <v>158385</v>
      </c>
      <c r="O7" s="15">
        <v>96999</v>
      </c>
      <c r="P7" s="15">
        <v>3996</v>
      </c>
    </row>
    <row r="8" spans="1:16" ht="11.25">
      <c r="A8" s="202" t="s">
        <v>113</v>
      </c>
      <c r="B8" s="203">
        <v>11</v>
      </c>
      <c r="C8" s="204">
        <v>185</v>
      </c>
      <c r="D8" s="204">
        <f t="shared" si="0"/>
        <v>701.677927927928</v>
      </c>
      <c r="E8" s="15">
        <v>1575639</v>
      </c>
      <c r="F8" s="15">
        <f>1556225+1500</f>
        <v>1557725</v>
      </c>
      <c r="G8" s="205">
        <f t="shared" si="1"/>
        <v>98.86306444559953</v>
      </c>
      <c r="H8" s="15">
        <v>899962</v>
      </c>
      <c r="I8" s="206">
        <v>65204</v>
      </c>
      <c r="J8" s="15">
        <v>140506</v>
      </c>
      <c r="K8" s="15">
        <v>21035</v>
      </c>
      <c r="L8" s="15">
        <v>94263</v>
      </c>
      <c r="M8" s="15">
        <v>97090</v>
      </c>
      <c r="N8" s="15">
        <v>52618</v>
      </c>
      <c r="O8" s="15">
        <v>131227</v>
      </c>
      <c r="P8" s="15"/>
    </row>
    <row r="9" spans="1:16" ht="11.25">
      <c r="A9" s="202" t="s">
        <v>114</v>
      </c>
      <c r="B9" s="203">
        <v>12</v>
      </c>
      <c r="C9" s="204">
        <v>516</v>
      </c>
      <c r="D9" s="204">
        <f t="shared" si="0"/>
        <v>412.1501937984496</v>
      </c>
      <c r="E9" s="15">
        <v>2558041</v>
      </c>
      <c r="F9" s="15">
        <v>2552034</v>
      </c>
      <c r="G9" s="205">
        <f t="shared" si="1"/>
        <v>99.76517186393808</v>
      </c>
      <c r="H9" s="15">
        <v>1727582</v>
      </c>
      <c r="I9" s="206">
        <v>125576</v>
      </c>
      <c r="J9" s="15">
        <v>275357</v>
      </c>
      <c r="K9" s="15">
        <v>39211</v>
      </c>
      <c r="L9" s="15">
        <v>123915</v>
      </c>
      <c r="M9" s="15">
        <v>83869</v>
      </c>
      <c r="N9" s="15">
        <v>102634</v>
      </c>
      <c r="O9" s="15"/>
      <c r="P9" s="15"/>
    </row>
    <row r="10" spans="1:16" ht="11.25">
      <c r="A10" s="202" t="s">
        <v>115</v>
      </c>
      <c r="B10" s="203">
        <v>13</v>
      </c>
      <c r="C10" s="204">
        <v>259</v>
      </c>
      <c r="D10" s="204">
        <f t="shared" si="0"/>
        <v>721.174066924067</v>
      </c>
      <c r="E10" s="15">
        <v>2245823</v>
      </c>
      <c r="F10" s="15">
        <v>2241409</v>
      </c>
      <c r="G10" s="205">
        <f t="shared" si="1"/>
        <v>99.80345735171471</v>
      </c>
      <c r="H10" s="15">
        <v>1530674</v>
      </c>
      <c r="I10" s="206">
        <v>114650</v>
      </c>
      <c r="J10" s="15">
        <v>242721</v>
      </c>
      <c r="K10" s="15">
        <v>32677</v>
      </c>
      <c r="L10" s="15">
        <v>160082</v>
      </c>
      <c r="M10" s="15">
        <v>15817</v>
      </c>
      <c r="N10" s="15">
        <v>86383</v>
      </c>
      <c r="O10" s="15"/>
      <c r="P10" s="15"/>
    </row>
    <row r="11" spans="1:16" ht="11.25">
      <c r="A11" s="202" t="s">
        <v>116</v>
      </c>
      <c r="B11" s="203">
        <v>14</v>
      </c>
      <c r="C11" s="204">
        <v>158</v>
      </c>
      <c r="D11" s="204">
        <f t="shared" si="0"/>
        <v>728.6819620253165</v>
      </c>
      <c r="E11" s="15">
        <v>1388130</v>
      </c>
      <c r="F11" s="15">
        <v>1381581</v>
      </c>
      <c r="G11" s="205">
        <f t="shared" si="1"/>
        <v>99.52821421624776</v>
      </c>
      <c r="H11" s="15">
        <v>815299</v>
      </c>
      <c r="I11" s="206">
        <v>59856</v>
      </c>
      <c r="J11" s="15">
        <v>129569</v>
      </c>
      <c r="K11" s="15">
        <v>18422</v>
      </c>
      <c r="L11" s="15">
        <v>178500</v>
      </c>
      <c r="M11" s="15">
        <v>2000</v>
      </c>
      <c r="N11" s="15">
        <v>52126</v>
      </c>
      <c r="O11" s="15"/>
      <c r="P11" s="15"/>
    </row>
    <row r="12" spans="1:16" ht="11.25">
      <c r="A12" s="202" t="s">
        <v>117</v>
      </c>
      <c r="B12" s="203">
        <v>16</v>
      </c>
      <c r="C12" s="204">
        <v>358</v>
      </c>
      <c r="D12" s="204">
        <f t="shared" si="0"/>
        <v>607.6298882681564</v>
      </c>
      <c r="E12" s="15">
        <v>2669803</v>
      </c>
      <c r="F12" s="15">
        <f>7000+2603378</f>
        <v>2610378</v>
      </c>
      <c r="G12" s="205">
        <f t="shared" si="1"/>
        <v>97.77418034214509</v>
      </c>
      <c r="H12" s="15">
        <v>1761861</v>
      </c>
      <c r="I12" s="206">
        <v>124308</v>
      </c>
      <c r="J12" s="15">
        <v>269895</v>
      </c>
      <c r="K12" s="15">
        <v>39054</v>
      </c>
      <c r="L12" s="15">
        <v>119275</v>
      </c>
      <c r="M12" s="15">
        <f>143746+1500</f>
        <v>145246</v>
      </c>
      <c r="N12" s="15">
        <v>92543</v>
      </c>
      <c r="O12" s="15"/>
      <c r="P12" s="15"/>
    </row>
    <row r="13" spans="1:16" ht="11.25">
      <c r="A13" s="202" t="s">
        <v>118</v>
      </c>
      <c r="B13" s="203">
        <v>17</v>
      </c>
      <c r="C13" s="204">
        <v>422</v>
      </c>
      <c r="D13" s="204">
        <f t="shared" si="0"/>
        <v>509.6982622432859</v>
      </c>
      <c r="E13" s="15">
        <v>2598866</v>
      </c>
      <c r="F13" s="15">
        <v>2581112</v>
      </c>
      <c r="G13" s="205">
        <f t="shared" si="1"/>
        <v>99.31685589022288</v>
      </c>
      <c r="H13" s="15">
        <v>1794726</v>
      </c>
      <c r="I13" s="206">
        <v>129174</v>
      </c>
      <c r="J13" s="15">
        <v>291774</v>
      </c>
      <c r="K13" s="15">
        <v>40048</v>
      </c>
      <c r="L13" s="15">
        <v>138872</v>
      </c>
      <c r="M13" s="15">
        <v>22000</v>
      </c>
      <c r="N13" s="15">
        <v>93747</v>
      </c>
      <c r="O13" s="15"/>
      <c r="P13" s="15"/>
    </row>
    <row r="14" spans="1:16" ht="11.25">
      <c r="A14" s="202" t="s">
        <v>119</v>
      </c>
      <c r="B14" s="203">
        <v>18</v>
      </c>
      <c r="C14" s="204">
        <v>804</v>
      </c>
      <c r="D14" s="204">
        <f t="shared" si="0"/>
        <v>388.5720356550581</v>
      </c>
      <c r="E14" s="15">
        <v>3762853</v>
      </c>
      <c r="F14" s="15">
        <f>1500+3747443</f>
        <v>3748943</v>
      </c>
      <c r="G14" s="205">
        <f t="shared" si="1"/>
        <v>99.63033368563694</v>
      </c>
      <c r="H14" s="15">
        <v>2654809</v>
      </c>
      <c r="I14" s="206">
        <v>193674</v>
      </c>
      <c r="J14" s="15">
        <v>422995</v>
      </c>
      <c r="K14" s="15">
        <v>60469</v>
      </c>
      <c r="L14" s="15">
        <v>119490</v>
      </c>
      <c r="M14" s="15">
        <v>62165</v>
      </c>
      <c r="N14" s="15">
        <v>144486</v>
      </c>
      <c r="O14" s="15"/>
      <c r="P14" s="15"/>
    </row>
    <row r="15" spans="1:16" ht="11.25">
      <c r="A15" s="202" t="s">
        <v>120</v>
      </c>
      <c r="B15" s="203">
        <v>20</v>
      </c>
      <c r="C15" s="204">
        <v>480</v>
      </c>
      <c r="D15" s="204">
        <f t="shared" si="0"/>
        <v>462.84861111111115</v>
      </c>
      <c r="E15" s="15">
        <v>2669754</v>
      </c>
      <c r="F15" s="15">
        <v>2666008</v>
      </c>
      <c r="G15" s="205">
        <f t="shared" si="1"/>
        <v>99.8596874468584</v>
      </c>
      <c r="H15" s="15">
        <v>1726336</v>
      </c>
      <c r="I15" s="206">
        <v>125464</v>
      </c>
      <c r="J15" s="15">
        <v>280288</v>
      </c>
      <c r="K15" s="15">
        <v>37336</v>
      </c>
      <c r="L15" s="15">
        <v>86502</v>
      </c>
      <c r="M15" s="15">
        <v>107971</v>
      </c>
      <c r="N15" s="15">
        <v>97062</v>
      </c>
      <c r="O15" s="15"/>
      <c r="P15" s="15"/>
    </row>
    <row r="16" spans="1:16" ht="11.25">
      <c r="A16" s="202" t="s">
        <v>121</v>
      </c>
      <c r="B16" s="203">
        <v>21</v>
      </c>
      <c r="C16" s="204">
        <v>419</v>
      </c>
      <c r="D16" s="204">
        <f t="shared" si="0"/>
        <v>582.3361177406524</v>
      </c>
      <c r="E16" s="15">
        <v>2928217</v>
      </c>
      <c r="F16" s="15">
        <v>2927986</v>
      </c>
      <c r="G16" s="205">
        <f t="shared" si="1"/>
        <v>99.99211124038962</v>
      </c>
      <c r="H16" s="15">
        <v>1818037</v>
      </c>
      <c r="I16" s="206">
        <v>130321</v>
      </c>
      <c r="J16" s="15">
        <v>213612</v>
      </c>
      <c r="K16" s="15">
        <v>37898</v>
      </c>
      <c r="L16" s="15">
        <v>150650</v>
      </c>
      <c r="M16" s="15">
        <v>357900</v>
      </c>
      <c r="N16" s="15">
        <v>103163</v>
      </c>
      <c r="O16" s="15"/>
      <c r="P16" s="15">
        <v>26290</v>
      </c>
    </row>
    <row r="17" spans="1:16" ht="11.25">
      <c r="A17" s="202" t="s">
        <v>122</v>
      </c>
      <c r="B17" s="203">
        <v>23</v>
      </c>
      <c r="C17" s="204">
        <v>320</v>
      </c>
      <c r="D17" s="204">
        <f t="shared" si="0"/>
        <v>618.4106770833333</v>
      </c>
      <c r="E17" s="15">
        <v>2387262</v>
      </c>
      <c r="F17" s="15">
        <f>5144+2369553</f>
        <v>2374697</v>
      </c>
      <c r="G17" s="205">
        <f t="shared" si="1"/>
        <v>99.47366480930874</v>
      </c>
      <c r="H17" s="15">
        <v>1642160</v>
      </c>
      <c r="I17" s="206">
        <v>115163</v>
      </c>
      <c r="J17" s="15">
        <v>255095</v>
      </c>
      <c r="K17" s="15">
        <v>33371</v>
      </c>
      <c r="L17" s="15">
        <v>137370</v>
      </c>
      <c r="M17" s="15">
        <v>72440</v>
      </c>
      <c r="N17" s="15">
        <v>67481</v>
      </c>
      <c r="O17" s="15"/>
      <c r="P17" s="15"/>
    </row>
    <row r="18" spans="1:16" ht="11.25">
      <c r="A18" s="202" t="s">
        <v>123</v>
      </c>
      <c r="B18" s="203">
        <v>26</v>
      </c>
      <c r="C18" s="204">
        <v>279</v>
      </c>
      <c r="D18" s="204">
        <f t="shared" si="0"/>
        <v>623.4450418160095</v>
      </c>
      <c r="E18" s="15">
        <v>2097509</v>
      </c>
      <c r="F18" s="15">
        <f>2000+2085294</f>
        <v>2087294</v>
      </c>
      <c r="G18" s="205">
        <f t="shared" si="1"/>
        <v>99.51299374639156</v>
      </c>
      <c r="H18" s="15">
        <v>1413454</v>
      </c>
      <c r="I18" s="206">
        <v>103264</v>
      </c>
      <c r="J18" s="15">
        <v>225207</v>
      </c>
      <c r="K18" s="15">
        <v>31611</v>
      </c>
      <c r="L18" s="15">
        <v>108889</v>
      </c>
      <c r="M18" s="15">
        <v>61500</v>
      </c>
      <c r="N18" s="15">
        <v>74800</v>
      </c>
      <c r="O18" s="15"/>
      <c r="P18" s="15"/>
    </row>
    <row r="19" spans="1:16" ht="11.25">
      <c r="A19" s="202" t="s">
        <v>124</v>
      </c>
      <c r="B19" s="203">
        <v>28</v>
      </c>
      <c r="C19" s="204">
        <v>252</v>
      </c>
      <c r="D19" s="204">
        <f t="shared" si="0"/>
        <v>961.0128968253969</v>
      </c>
      <c r="E19" s="15">
        <v>2910413</v>
      </c>
      <c r="F19" s="15">
        <v>2906103</v>
      </c>
      <c r="G19" s="205">
        <f t="shared" si="1"/>
        <v>99.85191105179918</v>
      </c>
      <c r="H19" s="15">
        <v>2017695</v>
      </c>
      <c r="I19" s="206">
        <v>142623</v>
      </c>
      <c r="J19" s="15">
        <v>303610</v>
      </c>
      <c r="K19" s="15">
        <v>41754</v>
      </c>
      <c r="L19" s="15">
        <v>158722</v>
      </c>
      <c r="M19" s="15">
        <v>60000</v>
      </c>
      <c r="N19" s="15">
        <v>108400</v>
      </c>
      <c r="O19" s="15"/>
      <c r="P19" s="15"/>
    </row>
    <row r="20" spans="1:16" ht="11.25">
      <c r="A20" s="202" t="s">
        <v>125</v>
      </c>
      <c r="B20" s="203">
        <v>29</v>
      </c>
      <c r="C20" s="204">
        <v>338</v>
      </c>
      <c r="D20" s="204">
        <f t="shared" si="0"/>
        <v>615.4674556213017</v>
      </c>
      <c r="E20" s="15">
        <v>2516825</v>
      </c>
      <c r="F20" s="15">
        <v>2496336</v>
      </c>
      <c r="G20" s="205">
        <f t="shared" si="1"/>
        <v>99.18591876670011</v>
      </c>
      <c r="H20" s="15">
        <v>1629220</v>
      </c>
      <c r="I20" s="206">
        <v>117441</v>
      </c>
      <c r="J20" s="15">
        <v>259557</v>
      </c>
      <c r="K20" s="15">
        <v>35698</v>
      </c>
      <c r="L20" s="15">
        <v>185453</v>
      </c>
      <c r="M20" s="15">
        <v>69857</v>
      </c>
      <c r="N20" s="15">
        <v>90315</v>
      </c>
      <c r="O20" s="15"/>
      <c r="P20" s="15"/>
    </row>
    <row r="21" spans="1:16" ht="11.25">
      <c r="A21" s="202" t="s">
        <v>126</v>
      </c>
      <c r="B21" s="203">
        <v>31</v>
      </c>
      <c r="C21" s="204">
        <v>597</v>
      </c>
      <c r="D21" s="204">
        <f t="shared" si="0"/>
        <v>532.285455053043</v>
      </c>
      <c r="E21" s="15">
        <v>3824500</v>
      </c>
      <c r="F21" s="15">
        <v>3813293</v>
      </c>
      <c r="G21" s="205">
        <f t="shared" si="1"/>
        <v>99.70696823114132</v>
      </c>
      <c r="H21" s="15">
        <v>2437446</v>
      </c>
      <c r="I21" s="206">
        <v>186971</v>
      </c>
      <c r="J21" s="15">
        <v>392450</v>
      </c>
      <c r="K21" s="15">
        <v>54579</v>
      </c>
      <c r="L21" s="15">
        <v>354115</v>
      </c>
      <c r="M21" s="15">
        <v>158845</v>
      </c>
      <c r="N21" s="15">
        <v>144567</v>
      </c>
      <c r="O21" s="15"/>
      <c r="P21" s="15"/>
    </row>
    <row r="22" spans="1:16" ht="11.25">
      <c r="A22" s="202" t="s">
        <v>127</v>
      </c>
      <c r="B22" s="203">
        <v>33</v>
      </c>
      <c r="C22" s="204">
        <v>646</v>
      </c>
      <c r="D22" s="204">
        <f t="shared" si="0"/>
        <v>458.9152476780186</v>
      </c>
      <c r="E22" s="15">
        <v>3577319</v>
      </c>
      <c r="F22" s="15">
        <v>3557511</v>
      </c>
      <c r="G22" s="205">
        <f t="shared" si="1"/>
        <v>99.44628924622042</v>
      </c>
      <c r="H22" s="15">
        <v>2324373</v>
      </c>
      <c r="I22" s="206">
        <v>177748</v>
      </c>
      <c r="J22" s="15">
        <v>365456</v>
      </c>
      <c r="K22" s="15">
        <v>51815</v>
      </c>
      <c r="L22" s="15">
        <v>231997</v>
      </c>
      <c r="M22" s="15">
        <v>158000</v>
      </c>
      <c r="N22" s="15">
        <v>134845</v>
      </c>
      <c r="O22" s="15"/>
      <c r="P22" s="15"/>
    </row>
    <row r="23" spans="1:16" ht="11.25">
      <c r="A23" s="202" t="s">
        <v>128</v>
      </c>
      <c r="B23" s="203">
        <v>34</v>
      </c>
      <c r="C23" s="204">
        <v>239</v>
      </c>
      <c r="D23" s="204">
        <f t="shared" si="0"/>
        <v>988.7248953974895</v>
      </c>
      <c r="E23" s="15">
        <v>2863858</v>
      </c>
      <c r="F23" s="15">
        <v>2835663</v>
      </c>
      <c r="G23" s="205">
        <f t="shared" si="1"/>
        <v>99.01548889644668</v>
      </c>
      <c r="H23" s="15">
        <v>1820577</v>
      </c>
      <c r="I23" s="206">
        <v>124474</v>
      </c>
      <c r="J23" s="15">
        <v>291752</v>
      </c>
      <c r="K23" s="15">
        <v>44236</v>
      </c>
      <c r="L23" s="15">
        <v>155222</v>
      </c>
      <c r="M23" s="15">
        <v>62200</v>
      </c>
      <c r="N23" s="15">
        <v>102054</v>
      </c>
      <c r="O23" s="15">
        <v>187194</v>
      </c>
      <c r="P23" s="15"/>
    </row>
    <row r="24" spans="1:16" ht="11.25">
      <c r="A24" s="202" t="s">
        <v>129</v>
      </c>
      <c r="B24" s="203">
        <v>35</v>
      </c>
      <c r="C24" s="204">
        <v>325</v>
      </c>
      <c r="D24" s="204">
        <f t="shared" si="0"/>
        <v>728.648717948718</v>
      </c>
      <c r="E24" s="15">
        <v>2874646</v>
      </c>
      <c r="F24" s="15">
        <f>3999+2837731</f>
        <v>2841730</v>
      </c>
      <c r="G24" s="205">
        <f t="shared" si="1"/>
        <v>98.85495466224363</v>
      </c>
      <c r="H24" s="15">
        <v>1825497</v>
      </c>
      <c r="I24" s="206">
        <v>127675</v>
      </c>
      <c r="J24" s="15">
        <v>285884</v>
      </c>
      <c r="K24" s="15">
        <v>42120</v>
      </c>
      <c r="L24" s="15">
        <v>158532</v>
      </c>
      <c r="M24" s="15">
        <v>60482</v>
      </c>
      <c r="N24" s="15">
        <v>106640</v>
      </c>
      <c r="O24" s="15">
        <v>176427</v>
      </c>
      <c r="P24" s="15"/>
    </row>
    <row r="25" spans="1:16" ht="11.25">
      <c r="A25" s="202" t="s">
        <v>130</v>
      </c>
      <c r="B25" s="203">
        <v>37</v>
      </c>
      <c r="C25" s="204">
        <v>107</v>
      </c>
      <c r="D25" s="204">
        <f t="shared" si="0"/>
        <v>907.9571651090343</v>
      </c>
      <c r="E25" s="15">
        <v>1171771</v>
      </c>
      <c r="F25" s="15">
        <v>1165817</v>
      </c>
      <c r="G25" s="205">
        <f t="shared" si="1"/>
        <v>99.49188023939831</v>
      </c>
      <c r="H25" s="15">
        <v>736070</v>
      </c>
      <c r="I25" s="206">
        <v>52112</v>
      </c>
      <c r="J25" s="15">
        <v>113683</v>
      </c>
      <c r="K25" s="15">
        <v>17873</v>
      </c>
      <c r="L25" s="15">
        <v>19709</v>
      </c>
      <c r="M25" s="15">
        <v>60292</v>
      </c>
      <c r="N25" s="15">
        <v>38264</v>
      </c>
      <c r="O25" s="15"/>
      <c r="P25" s="15"/>
    </row>
    <row r="26" spans="1:16" ht="11.25">
      <c r="A26" s="202" t="s">
        <v>131</v>
      </c>
      <c r="B26" s="203">
        <v>39</v>
      </c>
      <c r="C26" s="204">
        <v>585</v>
      </c>
      <c r="D26" s="204">
        <f t="shared" si="0"/>
        <v>596.1519943019944</v>
      </c>
      <c r="E26" s="15">
        <v>4209842</v>
      </c>
      <c r="F26" s="15">
        <v>4184987</v>
      </c>
      <c r="G26" s="205">
        <f t="shared" si="1"/>
        <v>99.4095977948816</v>
      </c>
      <c r="H26" s="15">
        <v>2700700</v>
      </c>
      <c r="I26" s="206">
        <v>185158</v>
      </c>
      <c r="J26" s="15">
        <v>419966</v>
      </c>
      <c r="K26" s="15">
        <v>61311</v>
      </c>
      <c r="L26" s="15">
        <v>325977</v>
      </c>
      <c r="M26" s="15">
        <v>123942</v>
      </c>
      <c r="N26" s="15">
        <v>134407</v>
      </c>
      <c r="O26" s="15">
        <v>123500</v>
      </c>
      <c r="P26" s="15"/>
    </row>
    <row r="27" spans="1:16" ht="11.25">
      <c r="A27" s="202" t="s">
        <v>132</v>
      </c>
      <c r="B27" s="203">
        <v>40</v>
      </c>
      <c r="C27" s="204">
        <v>754</v>
      </c>
      <c r="D27" s="204">
        <f t="shared" si="0"/>
        <v>452.73717948717945</v>
      </c>
      <c r="E27" s="15">
        <v>4116172</v>
      </c>
      <c r="F27" s="15">
        <f>5500+4090866</f>
        <v>4096366</v>
      </c>
      <c r="G27" s="205">
        <f t="shared" si="1"/>
        <v>99.51882477214265</v>
      </c>
      <c r="H27" s="15">
        <v>2873883</v>
      </c>
      <c r="I27" s="206">
        <v>212448</v>
      </c>
      <c r="J27" s="15">
        <v>455533</v>
      </c>
      <c r="K27" s="15">
        <v>67693</v>
      </c>
      <c r="L27" s="15">
        <v>114633</v>
      </c>
      <c r="M27" s="15">
        <v>131867</v>
      </c>
      <c r="N27" s="15">
        <v>154520</v>
      </c>
      <c r="O27" s="15"/>
      <c r="P27" s="15"/>
    </row>
    <row r="28" spans="1:16" ht="11.25">
      <c r="A28" s="202" t="s">
        <v>133</v>
      </c>
      <c r="B28" s="203">
        <v>42</v>
      </c>
      <c r="C28" s="204">
        <v>388</v>
      </c>
      <c r="D28" s="204">
        <f t="shared" si="0"/>
        <v>607.9405068728522</v>
      </c>
      <c r="E28" s="15">
        <v>2837042</v>
      </c>
      <c r="F28" s="15">
        <f>5999+2824572</f>
        <v>2830571</v>
      </c>
      <c r="G28" s="205">
        <f t="shared" si="1"/>
        <v>99.77191032067907</v>
      </c>
      <c r="H28" s="15">
        <v>1668948</v>
      </c>
      <c r="I28" s="206">
        <v>112600</v>
      </c>
      <c r="J28" s="15">
        <v>266088</v>
      </c>
      <c r="K28" s="15">
        <v>35216</v>
      </c>
      <c r="L28" s="15">
        <v>495375</v>
      </c>
      <c r="M28" s="15">
        <v>85000</v>
      </c>
      <c r="N28" s="15">
        <v>94434</v>
      </c>
      <c r="O28" s="15"/>
      <c r="P28" s="15">
        <v>5999</v>
      </c>
    </row>
    <row r="29" spans="1:16" ht="11.25">
      <c r="A29" s="202" t="s">
        <v>134</v>
      </c>
      <c r="B29" s="203">
        <v>43</v>
      </c>
      <c r="C29" s="204">
        <v>363</v>
      </c>
      <c r="D29" s="204">
        <f t="shared" si="0"/>
        <v>622.8039485766759</v>
      </c>
      <c r="E29" s="15">
        <v>2737923</v>
      </c>
      <c r="F29" s="15">
        <v>2712934</v>
      </c>
      <c r="G29" s="205">
        <f t="shared" si="1"/>
        <v>99.08730084812466</v>
      </c>
      <c r="H29" s="15">
        <v>1813071</v>
      </c>
      <c r="I29" s="206">
        <v>126051</v>
      </c>
      <c r="J29" s="15">
        <v>277421</v>
      </c>
      <c r="K29" s="15">
        <v>40767</v>
      </c>
      <c r="L29" s="15">
        <v>160976</v>
      </c>
      <c r="M29" s="15">
        <v>119026</v>
      </c>
      <c r="N29" s="15">
        <v>97423</v>
      </c>
      <c r="O29" s="15">
        <v>15000</v>
      </c>
      <c r="P29" s="15"/>
    </row>
    <row r="30" spans="1:16" ht="11.25">
      <c r="A30" s="202" t="s">
        <v>135</v>
      </c>
      <c r="B30" s="203">
        <v>44</v>
      </c>
      <c r="C30" s="204">
        <v>137</v>
      </c>
      <c r="D30" s="204">
        <f t="shared" si="0"/>
        <v>769.0675182481751</v>
      </c>
      <c r="E30" s="15">
        <v>1266602</v>
      </c>
      <c r="F30" s="15">
        <v>1264347</v>
      </c>
      <c r="G30" s="205">
        <f t="shared" si="1"/>
        <v>99.82196459503459</v>
      </c>
      <c r="H30" s="15">
        <v>706324</v>
      </c>
      <c r="I30" s="206">
        <v>49209</v>
      </c>
      <c r="J30" s="15">
        <v>108763</v>
      </c>
      <c r="K30" s="15">
        <v>14357</v>
      </c>
      <c r="L30" s="15">
        <v>95081</v>
      </c>
      <c r="M30" s="15">
        <v>111472</v>
      </c>
      <c r="N30" s="15">
        <v>36699</v>
      </c>
      <c r="O30" s="15">
        <v>120683</v>
      </c>
      <c r="P30" s="15"/>
    </row>
    <row r="31" spans="1:16" ht="11.25">
      <c r="A31" s="202" t="s">
        <v>136</v>
      </c>
      <c r="B31" s="203">
        <v>45</v>
      </c>
      <c r="C31" s="204">
        <v>233</v>
      </c>
      <c r="D31" s="204">
        <f t="shared" si="0"/>
        <v>685.6891988555079</v>
      </c>
      <c r="E31" s="15">
        <v>1923652</v>
      </c>
      <c r="F31" s="15">
        <f>17690+1899497</f>
        <v>1917187</v>
      </c>
      <c r="G31" s="205">
        <f t="shared" si="1"/>
        <v>99.66392050121333</v>
      </c>
      <c r="H31" s="15">
        <v>1174423</v>
      </c>
      <c r="I31" s="206">
        <v>82079</v>
      </c>
      <c r="J31" s="15">
        <v>186080</v>
      </c>
      <c r="K31" s="15">
        <v>23676</v>
      </c>
      <c r="L31" s="15">
        <v>69173</v>
      </c>
      <c r="M31" s="15">
        <f>179288+17690</f>
        <v>196978</v>
      </c>
      <c r="N31" s="15">
        <v>59443</v>
      </c>
      <c r="O31" s="15"/>
      <c r="P31" s="15"/>
    </row>
    <row r="32" spans="1:16" ht="11.25">
      <c r="A32" s="202" t="s">
        <v>137</v>
      </c>
      <c r="B32" s="203">
        <v>46</v>
      </c>
      <c r="C32" s="204">
        <v>438</v>
      </c>
      <c r="D32" s="204">
        <f t="shared" si="0"/>
        <v>499.69368340943686</v>
      </c>
      <c r="E32" s="15">
        <v>2661831</v>
      </c>
      <c r="F32" s="15">
        <f>300+2626090</f>
        <v>2626390</v>
      </c>
      <c r="G32" s="205">
        <f t="shared" si="1"/>
        <v>98.66854807837161</v>
      </c>
      <c r="H32" s="15">
        <v>1728234</v>
      </c>
      <c r="I32" s="206">
        <v>129738</v>
      </c>
      <c r="J32" s="15">
        <v>273507</v>
      </c>
      <c r="K32" s="15">
        <v>37358</v>
      </c>
      <c r="L32" s="15">
        <v>223744</v>
      </c>
      <c r="M32" s="15">
        <v>68372</v>
      </c>
      <c r="N32" s="15">
        <v>102795</v>
      </c>
      <c r="O32" s="15"/>
      <c r="P32" s="15"/>
    </row>
    <row r="33" spans="1:16" ht="11.25">
      <c r="A33" s="202" t="s">
        <v>138</v>
      </c>
      <c r="B33" s="203">
        <v>47</v>
      </c>
      <c r="C33" s="204">
        <v>538</v>
      </c>
      <c r="D33" s="204">
        <f t="shared" si="0"/>
        <v>654.7083333333333</v>
      </c>
      <c r="E33" s="15">
        <v>4255367</v>
      </c>
      <c r="F33" s="15">
        <v>4226797</v>
      </c>
      <c r="G33" s="205">
        <f t="shared" si="1"/>
        <v>99.32861254975188</v>
      </c>
      <c r="H33" s="15">
        <v>2728991</v>
      </c>
      <c r="I33" s="206">
        <v>192359</v>
      </c>
      <c r="J33" s="15">
        <v>423013</v>
      </c>
      <c r="K33" s="15">
        <v>64608</v>
      </c>
      <c r="L33" s="15">
        <v>290582</v>
      </c>
      <c r="M33" s="15">
        <v>227307</v>
      </c>
      <c r="N33" s="15">
        <v>157413</v>
      </c>
      <c r="O33" s="15">
        <v>59671</v>
      </c>
      <c r="P33" s="15"/>
    </row>
    <row r="34" spans="1:16" ht="11.25">
      <c r="A34" s="202" t="s">
        <v>139</v>
      </c>
      <c r="B34" s="203">
        <v>48</v>
      </c>
      <c r="C34" s="204">
        <v>319</v>
      </c>
      <c r="D34" s="204">
        <f t="shared" si="0"/>
        <v>520.3798328108672</v>
      </c>
      <c r="E34" s="15">
        <v>2025443</v>
      </c>
      <c r="F34" s="15">
        <f>1000+1991014</f>
        <v>1992014</v>
      </c>
      <c r="G34" s="205">
        <f t="shared" si="1"/>
        <v>98.34954624741353</v>
      </c>
      <c r="H34" s="15">
        <v>1185931</v>
      </c>
      <c r="I34" s="206">
        <v>78319</v>
      </c>
      <c r="J34" s="15">
        <v>188708</v>
      </c>
      <c r="K34" s="15">
        <v>26254</v>
      </c>
      <c r="L34" s="15">
        <v>248542</v>
      </c>
      <c r="M34" s="15">
        <v>537</v>
      </c>
      <c r="N34" s="15">
        <v>61334</v>
      </c>
      <c r="O34" s="15">
        <v>149965</v>
      </c>
      <c r="P34" s="15"/>
    </row>
    <row r="35" spans="1:16" s="210" customFormat="1" ht="11.25">
      <c r="A35" s="98" t="s">
        <v>141</v>
      </c>
      <c r="B35" s="207"/>
      <c r="C35" s="208">
        <f>SUM(C5:C34)</f>
        <v>11886</v>
      </c>
      <c r="D35" s="209">
        <f t="shared" si="0"/>
        <v>573.0672920522744</v>
      </c>
      <c r="E35" s="12">
        <f>SUM(E5:E34)</f>
        <v>82229689</v>
      </c>
      <c r="F35" s="12">
        <f>SUM(F5:F34)</f>
        <v>81737734</v>
      </c>
      <c r="G35" s="126">
        <f t="shared" si="1"/>
        <v>99.40173068148172</v>
      </c>
      <c r="H35" s="12">
        <f aca="true" t="shared" si="2" ref="H35:P35">SUM(H5:H34)</f>
        <v>53659172</v>
      </c>
      <c r="I35" s="127">
        <f t="shared" si="2"/>
        <v>3851185</v>
      </c>
      <c r="J35" s="12">
        <f t="shared" si="2"/>
        <v>8377195</v>
      </c>
      <c r="K35" s="12">
        <f t="shared" si="2"/>
        <v>1197235</v>
      </c>
      <c r="L35" s="12">
        <f t="shared" si="2"/>
        <v>5135981</v>
      </c>
      <c r="M35" s="12">
        <f t="shared" si="2"/>
        <v>2981223</v>
      </c>
      <c r="N35" s="12">
        <f t="shared" si="2"/>
        <v>2956876</v>
      </c>
      <c r="O35" s="12">
        <f t="shared" si="2"/>
        <v>1060666</v>
      </c>
      <c r="P35" s="12">
        <f t="shared" si="2"/>
        <v>36285</v>
      </c>
    </row>
    <row r="36" spans="1:16" ht="11.25">
      <c r="A36" s="202" t="s">
        <v>110</v>
      </c>
      <c r="B36" s="211">
        <v>6</v>
      </c>
      <c r="C36" s="212">
        <v>26</v>
      </c>
      <c r="D36" s="204">
        <f t="shared" si="0"/>
        <v>196.35256410256412</v>
      </c>
      <c r="E36" s="15">
        <v>61658</v>
      </c>
      <c r="F36" s="213">
        <v>61262</v>
      </c>
      <c r="G36" s="205">
        <f t="shared" si="1"/>
        <v>99.35774757533491</v>
      </c>
      <c r="H36" s="96">
        <v>43090</v>
      </c>
      <c r="I36" s="214">
        <v>1125</v>
      </c>
      <c r="J36" s="15">
        <v>6606</v>
      </c>
      <c r="K36" s="15">
        <v>1072</v>
      </c>
      <c r="L36" s="96">
        <v>3830</v>
      </c>
      <c r="M36" s="96"/>
      <c r="N36" s="96">
        <v>2540</v>
      </c>
      <c r="O36" s="96"/>
      <c r="P36" s="96"/>
    </row>
    <row r="37" spans="1:16" ht="11.25">
      <c r="A37" s="202" t="s">
        <v>111</v>
      </c>
      <c r="B37" s="211">
        <v>8</v>
      </c>
      <c r="C37" s="212">
        <v>15</v>
      </c>
      <c r="D37" s="204">
        <f aca="true" t="shared" si="3" ref="D37:D68">F37/12/C37</f>
        <v>248.90555555555557</v>
      </c>
      <c r="E37" s="15">
        <v>45077</v>
      </c>
      <c r="F37" s="213">
        <v>44803</v>
      </c>
      <c r="G37" s="205">
        <f t="shared" si="1"/>
        <v>99.39215120793308</v>
      </c>
      <c r="H37" s="96">
        <v>33751</v>
      </c>
      <c r="I37" s="214">
        <v>1182</v>
      </c>
      <c r="J37" s="15">
        <v>4728</v>
      </c>
      <c r="K37" s="15">
        <v>748</v>
      </c>
      <c r="L37" s="96"/>
      <c r="M37" s="96"/>
      <c r="N37" s="96">
        <v>2540</v>
      </c>
      <c r="O37" s="96"/>
      <c r="P37" s="96"/>
    </row>
    <row r="38" spans="1:16" ht="11.25">
      <c r="A38" s="202" t="s">
        <v>112</v>
      </c>
      <c r="B38" s="211">
        <v>10</v>
      </c>
      <c r="C38" s="212">
        <v>55</v>
      </c>
      <c r="D38" s="204">
        <f t="shared" si="3"/>
        <v>395.1818181818182</v>
      </c>
      <c r="E38" s="15">
        <v>265380</v>
      </c>
      <c r="F38" s="213">
        <v>260820</v>
      </c>
      <c r="G38" s="205">
        <f t="shared" si="1"/>
        <v>98.28170924711735</v>
      </c>
      <c r="H38" s="96">
        <v>160923</v>
      </c>
      <c r="I38" s="214">
        <v>13708</v>
      </c>
      <c r="J38" s="15">
        <v>25912</v>
      </c>
      <c r="K38" s="15">
        <v>4203</v>
      </c>
      <c r="L38" s="96">
        <v>36852</v>
      </c>
      <c r="M38" s="96"/>
      <c r="N38" s="96">
        <v>11190</v>
      </c>
      <c r="O38" s="96"/>
      <c r="P38" s="96"/>
    </row>
    <row r="39" spans="1:16" ht="11.25">
      <c r="A39" s="202" t="s">
        <v>113</v>
      </c>
      <c r="B39" s="211">
        <v>11</v>
      </c>
      <c r="C39" s="212">
        <v>26</v>
      </c>
      <c r="D39" s="204">
        <f t="shared" si="3"/>
        <v>220.24358974358972</v>
      </c>
      <c r="E39" s="15">
        <v>68774</v>
      </c>
      <c r="F39" s="213">
        <v>68716</v>
      </c>
      <c r="G39" s="205">
        <f t="shared" si="1"/>
        <v>99.91566580393754</v>
      </c>
      <c r="H39" s="96">
        <v>48888</v>
      </c>
      <c r="I39" s="214">
        <v>3973</v>
      </c>
      <c r="J39" s="15">
        <v>8140</v>
      </c>
      <c r="K39" s="15">
        <v>1305</v>
      </c>
      <c r="L39" s="96"/>
      <c r="M39" s="96"/>
      <c r="N39" s="96">
        <v>2540</v>
      </c>
      <c r="O39" s="96"/>
      <c r="P39" s="96"/>
    </row>
    <row r="40" spans="1:16" ht="11.25">
      <c r="A40" s="202" t="s">
        <v>114</v>
      </c>
      <c r="B40" s="211">
        <v>12</v>
      </c>
      <c r="C40" s="212">
        <v>24</v>
      </c>
      <c r="D40" s="204">
        <f t="shared" si="3"/>
        <v>183.375</v>
      </c>
      <c r="E40" s="15">
        <v>54987</v>
      </c>
      <c r="F40" s="96">
        <v>52812</v>
      </c>
      <c r="G40" s="205">
        <f t="shared" si="1"/>
        <v>96.04451961372689</v>
      </c>
      <c r="H40" s="96">
        <v>36304</v>
      </c>
      <c r="I40" s="214">
        <v>4380</v>
      </c>
      <c r="J40" s="15">
        <v>6227</v>
      </c>
      <c r="K40" s="15">
        <v>772</v>
      </c>
      <c r="L40" s="96">
        <v>2474</v>
      </c>
      <c r="M40" s="96"/>
      <c r="N40" s="96">
        <v>2540</v>
      </c>
      <c r="O40" s="96"/>
      <c r="P40" s="96"/>
    </row>
    <row r="41" spans="1:16" ht="11.25">
      <c r="A41" s="202" t="s">
        <v>115</v>
      </c>
      <c r="B41" s="211">
        <v>13</v>
      </c>
      <c r="C41" s="212">
        <v>30</v>
      </c>
      <c r="D41" s="204">
        <f t="shared" si="3"/>
        <v>272.475</v>
      </c>
      <c r="E41" s="15">
        <v>98778</v>
      </c>
      <c r="F41" s="96">
        <v>98091</v>
      </c>
      <c r="G41" s="205">
        <f t="shared" si="1"/>
        <v>99.30450100224746</v>
      </c>
      <c r="H41" s="96">
        <v>65226</v>
      </c>
      <c r="I41" s="214">
        <v>3894</v>
      </c>
      <c r="J41" s="15">
        <v>10426</v>
      </c>
      <c r="K41" s="15">
        <v>1692</v>
      </c>
      <c r="L41" s="96">
        <v>4909</v>
      </c>
      <c r="M41" s="96"/>
      <c r="N41" s="96">
        <v>5080</v>
      </c>
      <c r="O41" s="96"/>
      <c r="P41" s="96"/>
    </row>
    <row r="42" spans="1:16" ht="11.25">
      <c r="A42" s="202" t="s">
        <v>117</v>
      </c>
      <c r="B42" s="211">
        <v>16</v>
      </c>
      <c r="C42" s="212">
        <v>45</v>
      </c>
      <c r="D42" s="204">
        <f t="shared" si="3"/>
        <v>176.2574074074074</v>
      </c>
      <c r="E42" s="15">
        <v>95791</v>
      </c>
      <c r="F42" s="213">
        <v>95179</v>
      </c>
      <c r="G42" s="205">
        <f t="shared" si="1"/>
        <v>99.36110908122893</v>
      </c>
      <c r="H42" s="96">
        <v>67048</v>
      </c>
      <c r="I42" s="214">
        <v>2295</v>
      </c>
      <c r="J42" s="15">
        <v>10341</v>
      </c>
      <c r="K42" s="15">
        <v>1505</v>
      </c>
      <c r="L42" s="96">
        <v>3150</v>
      </c>
      <c r="M42" s="96"/>
      <c r="N42" s="96">
        <v>5080</v>
      </c>
      <c r="O42" s="96"/>
      <c r="P42" s="96"/>
    </row>
    <row r="43" spans="1:16" ht="11.25">
      <c r="A43" s="202" t="s">
        <v>118</v>
      </c>
      <c r="B43" s="211">
        <v>17</v>
      </c>
      <c r="C43" s="212">
        <v>43</v>
      </c>
      <c r="D43" s="204">
        <f t="shared" si="3"/>
        <v>284.5387596899225</v>
      </c>
      <c r="E43" s="15">
        <v>150332</v>
      </c>
      <c r="F43" s="96">
        <v>146822</v>
      </c>
      <c r="G43" s="205">
        <f t="shared" si="1"/>
        <v>97.66516776202006</v>
      </c>
      <c r="H43" s="96">
        <v>104415</v>
      </c>
      <c r="I43" s="214">
        <v>5404</v>
      </c>
      <c r="J43" s="15">
        <v>16042</v>
      </c>
      <c r="K43" s="15">
        <v>2286</v>
      </c>
      <c r="L43" s="96">
        <v>6462</v>
      </c>
      <c r="M43" s="96"/>
      <c r="N43" s="96">
        <v>5080</v>
      </c>
      <c r="O43" s="96"/>
      <c r="P43" s="96"/>
    </row>
    <row r="44" spans="1:16" ht="11.25">
      <c r="A44" s="202" t="s">
        <v>121</v>
      </c>
      <c r="B44" s="211">
        <v>21</v>
      </c>
      <c r="C44" s="212">
        <v>24</v>
      </c>
      <c r="D44" s="204">
        <f t="shared" si="3"/>
        <v>172.73958333333334</v>
      </c>
      <c r="E44" s="15">
        <v>49752</v>
      </c>
      <c r="F44" s="96">
        <v>49749</v>
      </c>
      <c r="G44" s="205">
        <f t="shared" si="1"/>
        <v>99.9939700916546</v>
      </c>
      <c r="H44" s="96">
        <v>37987</v>
      </c>
      <c r="I44" s="214">
        <v>2583</v>
      </c>
      <c r="J44" s="15">
        <v>2526</v>
      </c>
      <c r="K44" s="15">
        <v>852</v>
      </c>
      <c r="L44" s="96"/>
      <c r="M44" s="96"/>
      <c r="N44" s="96">
        <v>2540</v>
      </c>
      <c r="O44" s="96"/>
      <c r="P44" s="96"/>
    </row>
    <row r="45" spans="1:16" ht="11.25">
      <c r="A45" s="202" t="s">
        <v>122</v>
      </c>
      <c r="B45" s="211">
        <v>23</v>
      </c>
      <c r="C45" s="212">
        <v>42</v>
      </c>
      <c r="D45" s="204">
        <f t="shared" si="3"/>
        <v>224.9186507936508</v>
      </c>
      <c r="E45" s="15">
        <v>113923</v>
      </c>
      <c r="F45" s="96">
        <v>113359</v>
      </c>
      <c r="G45" s="205">
        <f t="shared" si="1"/>
        <v>99.50492876767642</v>
      </c>
      <c r="H45" s="96">
        <v>80385</v>
      </c>
      <c r="I45" s="214">
        <v>4110</v>
      </c>
      <c r="J45" s="15">
        <v>12645</v>
      </c>
      <c r="K45" s="15">
        <v>2040</v>
      </c>
      <c r="L45" s="96">
        <v>2763</v>
      </c>
      <c r="M45" s="96"/>
      <c r="N45" s="96">
        <v>5080</v>
      </c>
      <c r="O45" s="96"/>
      <c r="P45" s="96"/>
    </row>
    <row r="46" spans="1:16" ht="11.25">
      <c r="A46" s="202" t="s">
        <v>123</v>
      </c>
      <c r="B46" s="211">
        <v>26</v>
      </c>
      <c r="C46" s="212">
        <v>17</v>
      </c>
      <c r="D46" s="204">
        <f t="shared" si="3"/>
        <v>293.46568627450984</v>
      </c>
      <c r="E46" s="15">
        <v>60117</v>
      </c>
      <c r="F46" s="96">
        <v>59867</v>
      </c>
      <c r="G46" s="205">
        <f t="shared" si="1"/>
        <v>99.58414425204185</v>
      </c>
      <c r="H46" s="96">
        <v>43628</v>
      </c>
      <c r="I46" s="214">
        <v>1636</v>
      </c>
      <c r="J46" s="15">
        <v>6821</v>
      </c>
      <c r="K46" s="15">
        <v>1100</v>
      </c>
      <c r="L46" s="96">
        <v>1802</v>
      </c>
      <c r="M46" s="96"/>
      <c r="N46" s="96">
        <v>2540</v>
      </c>
      <c r="O46" s="96"/>
      <c r="P46" s="96"/>
    </row>
    <row r="47" spans="1:16" ht="11.25">
      <c r="A47" s="202" t="s">
        <v>125</v>
      </c>
      <c r="B47" s="211">
        <v>29</v>
      </c>
      <c r="C47" s="212">
        <v>38</v>
      </c>
      <c r="D47" s="204">
        <f t="shared" si="3"/>
        <v>339.609649122807</v>
      </c>
      <c r="E47" s="15">
        <v>159192</v>
      </c>
      <c r="F47" s="96">
        <v>154862</v>
      </c>
      <c r="G47" s="205">
        <f t="shared" si="1"/>
        <v>97.28001407105886</v>
      </c>
      <c r="H47" s="96">
        <v>108433</v>
      </c>
      <c r="I47" s="214">
        <v>6661</v>
      </c>
      <c r="J47" s="15">
        <v>17944</v>
      </c>
      <c r="K47" s="15">
        <v>1997</v>
      </c>
      <c r="L47" s="96">
        <v>6191</v>
      </c>
      <c r="M47" s="96">
        <v>400</v>
      </c>
      <c r="N47" s="96">
        <v>8164</v>
      </c>
      <c r="O47" s="96"/>
      <c r="P47" s="96"/>
    </row>
    <row r="48" spans="1:16" ht="11.25">
      <c r="A48" s="202" t="s">
        <v>126</v>
      </c>
      <c r="B48" s="211">
        <v>31</v>
      </c>
      <c r="C48" s="212">
        <v>60</v>
      </c>
      <c r="D48" s="204">
        <f t="shared" si="3"/>
        <v>240.40277777777777</v>
      </c>
      <c r="E48" s="15">
        <v>174163</v>
      </c>
      <c r="F48" s="96">
        <v>173090</v>
      </c>
      <c r="G48" s="205">
        <f t="shared" si="1"/>
        <v>99.38391047467027</v>
      </c>
      <c r="H48" s="96">
        <v>103093</v>
      </c>
      <c r="I48" s="214">
        <v>7700</v>
      </c>
      <c r="J48" s="15">
        <v>15948</v>
      </c>
      <c r="K48" s="15">
        <v>2572</v>
      </c>
      <c r="L48" s="96">
        <v>29838</v>
      </c>
      <c r="M48" s="96"/>
      <c r="N48" s="96">
        <v>7620</v>
      </c>
      <c r="O48" s="96"/>
      <c r="P48" s="96"/>
    </row>
    <row r="49" spans="1:16" ht="11.25">
      <c r="A49" s="202" t="s">
        <v>128</v>
      </c>
      <c r="B49" s="211">
        <v>34</v>
      </c>
      <c r="C49" s="212">
        <v>21</v>
      </c>
      <c r="D49" s="204">
        <f t="shared" si="3"/>
        <v>506.8333333333333</v>
      </c>
      <c r="E49" s="15">
        <v>128374</v>
      </c>
      <c r="F49" s="96">
        <v>127722</v>
      </c>
      <c r="G49" s="205">
        <f t="shared" si="1"/>
        <v>99.49210899403306</v>
      </c>
      <c r="H49" s="96">
        <v>88516</v>
      </c>
      <c r="I49" s="214">
        <v>5358</v>
      </c>
      <c r="J49" s="15">
        <v>14286</v>
      </c>
      <c r="K49" s="15">
        <v>2318</v>
      </c>
      <c r="L49" s="96">
        <v>8670</v>
      </c>
      <c r="M49" s="96"/>
      <c r="N49" s="96">
        <v>5334</v>
      </c>
      <c r="O49" s="96"/>
      <c r="P49" s="96"/>
    </row>
    <row r="50" spans="1:16" ht="11.25">
      <c r="A50" s="202" t="s">
        <v>129</v>
      </c>
      <c r="B50" s="211">
        <v>35</v>
      </c>
      <c r="C50" s="212">
        <v>49</v>
      </c>
      <c r="D50" s="204">
        <f t="shared" si="3"/>
        <v>211.906462585034</v>
      </c>
      <c r="E50" s="15">
        <v>125694</v>
      </c>
      <c r="F50" s="96">
        <v>124601</v>
      </c>
      <c r="G50" s="205">
        <f t="shared" si="1"/>
        <v>99.13042786449631</v>
      </c>
      <c r="H50" s="96">
        <v>87295</v>
      </c>
      <c r="I50" s="214">
        <v>6614</v>
      </c>
      <c r="J50" s="15">
        <v>14089</v>
      </c>
      <c r="K50" s="15">
        <v>2270</v>
      </c>
      <c r="L50" s="96">
        <v>2158</v>
      </c>
      <c r="M50" s="96"/>
      <c r="N50" s="96">
        <v>5309</v>
      </c>
      <c r="O50" s="96"/>
      <c r="P50" s="96"/>
    </row>
    <row r="51" spans="1:16" ht="11.25">
      <c r="A51" s="202" t="s">
        <v>130</v>
      </c>
      <c r="B51" s="211">
        <v>37</v>
      </c>
      <c r="C51" s="212">
        <v>23</v>
      </c>
      <c r="D51" s="204">
        <f t="shared" si="3"/>
        <v>327.17753623188406</v>
      </c>
      <c r="E51" s="15">
        <v>92594</v>
      </c>
      <c r="F51" s="96">
        <v>90301</v>
      </c>
      <c r="G51" s="205">
        <f t="shared" si="1"/>
        <v>97.52359764131585</v>
      </c>
      <c r="H51" s="96">
        <v>63394</v>
      </c>
      <c r="I51" s="214">
        <v>4025</v>
      </c>
      <c r="J51" s="15">
        <v>9800</v>
      </c>
      <c r="K51" s="15">
        <v>893</v>
      </c>
      <c r="L51" s="96">
        <v>2618</v>
      </c>
      <c r="M51" s="96"/>
      <c r="N51" s="96">
        <v>5080</v>
      </c>
      <c r="O51" s="96"/>
      <c r="P51" s="96"/>
    </row>
    <row r="52" spans="1:16" ht="11.25">
      <c r="A52" s="202" t="s">
        <v>132</v>
      </c>
      <c r="B52" s="211">
        <v>40</v>
      </c>
      <c r="C52" s="212">
        <v>79</v>
      </c>
      <c r="D52" s="204">
        <f t="shared" si="3"/>
        <v>210.29219409282697</v>
      </c>
      <c r="E52" s="15">
        <v>201084</v>
      </c>
      <c r="F52" s="96">
        <v>199357</v>
      </c>
      <c r="G52" s="205">
        <f t="shared" si="1"/>
        <v>99.14115494022398</v>
      </c>
      <c r="H52" s="96">
        <v>136096</v>
      </c>
      <c r="I52" s="214">
        <v>9579</v>
      </c>
      <c r="J52" s="15">
        <v>22134</v>
      </c>
      <c r="K52" s="15">
        <v>3268</v>
      </c>
      <c r="L52" s="96">
        <v>11938</v>
      </c>
      <c r="M52" s="96">
        <v>400</v>
      </c>
      <c r="N52" s="96">
        <v>8135</v>
      </c>
      <c r="O52" s="96"/>
      <c r="P52" s="96"/>
    </row>
    <row r="53" spans="1:16" ht="11.25">
      <c r="A53" s="202" t="s">
        <v>133</v>
      </c>
      <c r="B53" s="211">
        <v>42</v>
      </c>
      <c r="C53" s="212">
        <v>37</v>
      </c>
      <c r="D53" s="204">
        <f t="shared" si="3"/>
        <v>187.990990990991</v>
      </c>
      <c r="E53" s="15">
        <v>83833</v>
      </c>
      <c r="F53" s="96">
        <v>83468</v>
      </c>
      <c r="G53" s="205">
        <f t="shared" si="1"/>
        <v>99.56461059487313</v>
      </c>
      <c r="H53" s="96">
        <v>56194</v>
      </c>
      <c r="I53" s="214">
        <v>4171</v>
      </c>
      <c r="J53" s="15">
        <v>8874</v>
      </c>
      <c r="K53" s="15">
        <v>1336</v>
      </c>
      <c r="L53" s="96">
        <v>3652</v>
      </c>
      <c r="M53" s="96"/>
      <c r="N53" s="96">
        <v>5080</v>
      </c>
      <c r="O53" s="96"/>
      <c r="P53" s="96"/>
    </row>
    <row r="54" spans="1:16" ht="11.25">
      <c r="A54" s="202" t="s">
        <v>134</v>
      </c>
      <c r="B54" s="211">
        <v>43</v>
      </c>
      <c r="C54" s="212">
        <v>46</v>
      </c>
      <c r="D54" s="204">
        <f t="shared" si="3"/>
        <v>234.5905797101449</v>
      </c>
      <c r="E54" s="15">
        <v>129983</v>
      </c>
      <c r="F54" s="96">
        <v>129494</v>
      </c>
      <c r="G54" s="205">
        <f t="shared" si="1"/>
        <v>99.62379695806375</v>
      </c>
      <c r="H54" s="96">
        <v>87381</v>
      </c>
      <c r="I54" s="214">
        <v>6509</v>
      </c>
      <c r="J54" s="15">
        <v>13232</v>
      </c>
      <c r="K54" s="15">
        <v>2231</v>
      </c>
      <c r="L54" s="96">
        <v>9292</v>
      </c>
      <c r="M54" s="96">
        <v>700</v>
      </c>
      <c r="N54" s="96">
        <v>5080</v>
      </c>
      <c r="O54" s="96"/>
      <c r="P54" s="96"/>
    </row>
    <row r="55" spans="1:16" ht="11.25">
      <c r="A55" s="202" t="s">
        <v>136</v>
      </c>
      <c r="B55" s="211">
        <v>45</v>
      </c>
      <c r="C55" s="212">
        <v>49</v>
      </c>
      <c r="D55" s="204">
        <f t="shared" si="3"/>
        <v>250.77551020408163</v>
      </c>
      <c r="E55" s="15">
        <v>149063</v>
      </c>
      <c r="F55" s="96">
        <v>147456</v>
      </c>
      <c r="G55" s="205">
        <f t="shared" si="1"/>
        <v>98.92193233733389</v>
      </c>
      <c r="H55" s="96">
        <v>99086</v>
      </c>
      <c r="I55" s="214">
        <v>10014</v>
      </c>
      <c r="J55" s="15">
        <v>16210</v>
      </c>
      <c r="K55" s="15">
        <v>2247</v>
      </c>
      <c r="L55" s="96">
        <v>5050</v>
      </c>
      <c r="M55" s="96"/>
      <c r="N55" s="96">
        <v>5309</v>
      </c>
      <c r="O55" s="96"/>
      <c r="P55" s="96"/>
    </row>
    <row r="56" spans="1:16" ht="11.25">
      <c r="A56" s="202" t="s">
        <v>137</v>
      </c>
      <c r="B56" s="211">
        <v>46</v>
      </c>
      <c r="C56" s="212">
        <v>79</v>
      </c>
      <c r="D56" s="204">
        <f t="shared" si="3"/>
        <v>199.5126582278481</v>
      </c>
      <c r="E56" s="15">
        <v>193099</v>
      </c>
      <c r="F56" s="96">
        <v>189138</v>
      </c>
      <c r="G56" s="205">
        <f t="shared" si="1"/>
        <v>97.94872060445678</v>
      </c>
      <c r="H56" s="96">
        <v>135160</v>
      </c>
      <c r="I56" s="214">
        <v>6057</v>
      </c>
      <c r="J56" s="15">
        <v>21094</v>
      </c>
      <c r="K56" s="15">
        <v>3405</v>
      </c>
      <c r="L56" s="96">
        <v>8145</v>
      </c>
      <c r="M56" s="96">
        <v>152</v>
      </c>
      <c r="N56" s="96">
        <v>7620</v>
      </c>
      <c r="O56" s="96"/>
      <c r="P56" s="96"/>
    </row>
    <row r="57" spans="1:16" ht="11.25">
      <c r="A57" s="202" t="s">
        <v>138</v>
      </c>
      <c r="B57" s="211">
        <v>47</v>
      </c>
      <c r="C57" s="212">
        <v>75</v>
      </c>
      <c r="D57" s="204">
        <f t="shared" si="3"/>
        <v>287.0411111111111</v>
      </c>
      <c r="E57" s="15">
        <v>260220</v>
      </c>
      <c r="F57" s="96">
        <v>258337</v>
      </c>
      <c r="G57" s="205">
        <f t="shared" si="1"/>
        <v>99.27638152332642</v>
      </c>
      <c r="H57" s="96">
        <v>177089</v>
      </c>
      <c r="I57" s="214">
        <v>10134</v>
      </c>
      <c r="J57" s="15">
        <v>27653</v>
      </c>
      <c r="K57" s="15">
        <v>4434</v>
      </c>
      <c r="L57" s="96">
        <v>21060</v>
      </c>
      <c r="M57" s="96"/>
      <c r="N57" s="96">
        <v>10160</v>
      </c>
      <c r="O57" s="96"/>
      <c r="P57" s="96"/>
    </row>
    <row r="58" spans="1:16" ht="11.25">
      <c r="A58" s="215" t="s">
        <v>139</v>
      </c>
      <c r="B58" s="211">
        <v>48</v>
      </c>
      <c r="C58" s="212">
        <v>29</v>
      </c>
      <c r="D58" s="204">
        <f t="shared" si="3"/>
        <v>204.8448275862069</v>
      </c>
      <c r="E58" s="15">
        <v>71420</v>
      </c>
      <c r="F58" s="96">
        <v>71286</v>
      </c>
      <c r="G58" s="205">
        <f t="shared" si="1"/>
        <v>99.81237748529823</v>
      </c>
      <c r="H58" s="96">
        <v>47924</v>
      </c>
      <c r="I58" s="214">
        <v>6092</v>
      </c>
      <c r="J58" s="15">
        <v>7726</v>
      </c>
      <c r="K58" s="15">
        <v>1235</v>
      </c>
      <c r="L58" s="96">
        <v>2478</v>
      </c>
      <c r="M58" s="96"/>
      <c r="N58" s="96">
        <v>2540</v>
      </c>
      <c r="O58" s="96"/>
      <c r="P58" s="96"/>
    </row>
    <row r="59" spans="1:16" ht="11.25">
      <c r="A59" s="98" t="s">
        <v>142</v>
      </c>
      <c r="B59" s="127"/>
      <c r="C59" s="208">
        <f>SUM(C36:C58)</f>
        <v>932</v>
      </c>
      <c r="D59" s="209">
        <f t="shared" si="3"/>
        <v>250.41058655221744</v>
      </c>
      <c r="E59" s="12">
        <f>SUM(E36:E58)</f>
        <v>2833288</v>
      </c>
      <c r="F59" s="12">
        <f>SUM(F36:F58)</f>
        <v>2800592</v>
      </c>
      <c r="G59" s="126">
        <f t="shared" si="1"/>
        <v>98.84600506549282</v>
      </c>
      <c r="H59" s="12">
        <f aca="true" t="shared" si="4" ref="H59:P59">SUM(H36:H58)</f>
        <v>1911306</v>
      </c>
      <c r="I59" s="127">
        <f t="shared" si="4"/>
        <v>127204</v>
      </c>
      <c r="J59" s="12">
        <f t="shared" si="4"/>
        <v>299404</v>
      </c>
      <c r="K59" s="12">
        <f t="shared" si="4"/>
        <v>45781</v>
      </c>
      <c r="L59" s="12">
        <f t="shared" si="4"/>
        <v>173332</v>
      </c>
      <c r="M59" s="216">
        <f t="shared" si="4"/>
        <v>1652</v>
      </c>
      <c r="N59" s="216">
        <f t="shared" si="4"/>
        <v>122181</v>
      </c>
      <c r="O59" s="216">
        <f t="shared" si="4"/>
        <v>0</v>
      </c>
      <c r="P59" s="216">
        <f t="shared" si="4"/>
        <v>0</v>
      </c>
    </row>
    <row r="60" spans="1:16" ht="11.25">
      <c r="A60" s="202" t="s">
        <v>143</v>
      </c>
      <c r="B60" s="203" t="s">
        <v>143</v>
      </c>
      <c r="C60" s="212">
        <v>558</v>
      </c>
      <c r="D60" s="204">
        <f t="shared" si="3"/>
        <v>542.5710872162485</v>
      </c>
      <c r="E60" s="15">
        <v>3659727</v>
      </c>
      <c r="F60" s="15">
        <v>3633056</v>
      </c>
      <c r="G60" s="205">
        <f t="shared" si="1"/>
        <v>99.27122979391633</v>
      </c>
      <c r="H60" s="15">
        <v>2440491</v>
      </c>
      <c r="I60" s="206">
        <v>179777</v>
      </c>
      <c r="J60" s="15">
        <v>383379</v>
      </c>
      <c r="K60" s="15">
        <v>42907</v>
      </c>
      <c r="L60" s="15">
        <v>157733</v>
      </c>
      <c r="M60" s="15">
        <v>194000</v>
      </c>
      <c r="N60" s="15">
        <v>132884</v>
      </c>
      <c r="O60" s="15"/>
      <c r="P60" s="217"/>
    </row>
    <row r="61" spans="1:16" ht="11.25">
      <c r="A61" s="202" t="s">
        <v>144</v>
      </c>
      <c r="B61" s="203" t="s">
        <v>144</v>
      </c>
      <c r="C61" s="212">
        <v>321</v>
      </c>
      <c r="D61" s="204">
        <f t="shared" si="3"/>
        <v>602.6248701973001</v>
      </c>
      <c r="E61" s="15">
        <v>2328845</v>
      </c>
      <c r="F61" s="15">
        <f>2500+2318811</f>
        <v>2321311</v>
      </c>
      <c r="G61" s="205">
        <f t="shared" si="1"/>
        <v>99.67649199495887</v>
      </c>
      <c r="H61" s="15">
        <v>1524620</v>
      </c>
      <c r="I61" s="206">
        <v>107141</v>
      </c>
      <c r="J61" s="15">
        <v>246811</v>
      </c>
      <c r="K61" s="15">
        <v>34798</v>
      </c>
      <c r="L61" s="15">
        <v>35546</v>
      </c>
      <c r="M61" s="15">
        <v>60000</v>
      </c>
      <c r="N61" s="15">
        <v>85313</v>
      </c>
      <c r="O61" s="15"/>
      <c r="P61" s="217"/>
    </row>
    <row r="62" spans="1:16" ht="11.25">
      <c r="A62" s="202" t="s">
        <v>145</v>
      </c>
      <c r="B62" s="203" t="s">
        <v>145</v>
      </c>
      <c r="C62" s="212">
        <v>208</v>
      </c>
      <c r="D62" s="204">
        <f t="shared" si="3"/>
        <v>1143.7548076923076</v>
      </c>
      <c r="E62" s="15">
        <v>2892421</v>
      </c>
      <c r="F62" s="15">
        <f>4453+2850359</f>
        <v>2854812</v>
      </c>
      <c r="G62" s="205">
        <f t="shared" si="1"/>
        <v>98.69973976817344</v>
      </c>
      <c r="H62" s="15">
        <v>1905458</v>
      </c>
      <c r="I62" s="206">
        <v>140053</v>
      </c>
      <c r="J62" s="15">
        <v>334872</v>
      </c>
      <c r="K62" s="15">
        <v>38953</v>
      </c>
      <c r="L62" s="15">
        <v>140761</v>
      </c>
      <c r="M62" s="15">
        <v>57480</v>
      </c>
      <c r="N62" s="15">
        <v>108679</v>
      </c>
      <c r="O62" s="15"/>
      <c r="P62" s="217"/>
    </row>
    <row r="63" spans="1:16" ht="11.25">
      <c r="A63" s="202" t="s">
        <v>146</v>
      </c>
      <c r="B63" s="203" t="s">
        <v>146</v>
      </c>
      <c r="C63" s="212">
        <v>424</v>
      </c>
      <c r="D63" s="204">
        <f t="shared" si="3"/>
        <v>697.6043632075472</v>
      </c>
      <c r="E63" s="15">
        <v>3581799</v>
      </c>
      <c r="F63" s="15">
        <f>9000+3540411</f>
        <v>3549411</v>
      </c>
      <c r="G63" s="205">
        <f t="shared" si="1"/>
        <v>99.09576165496723</v>
      </c>
      <c r="H63" s="15">
        <v>2389225</v>
      </c>
      <c r="I63" s="206">
        <v>170554</v>
      </c>
      <c r="J63" s="15">
        <v>378256</v>
      </c>
      <c r="K63" s="15">
        <v>51791</v>
      </c>
      <c r="L63" s="15">
        <v>251955</v>
      </c>
      <c r="M63" s="15">
        <f>3000+92243</f>
        <v>95243</v>
      </c>
      <c r="N63" s="15">
        <v>125189</v>
      </c>
      <c r="O63" s="15"/>
      <c r="P63" s="217"/>
    </row>
    <row r="64" spans="1:16" ht="11.25">
      <c r="A64" s="202" t="s">
        <v>111</v>
      </c>
      <c r="B64" s="203" t="s">
        <v>147</v>
      </c>
      <c r="C64" s="212">
        <v>177</v>
      </c>
      <c r="D64" s="204">
        <f t="shared" si="3"/>
        <v>795.1666666666666</v>
      </c>
      <c r="E64" s="15">
        <v>1696939</v>
      </c>
      <c r="F64" s="15">
        <v>1688934</v>
      </c>
      <c r="G64" s="205">
        <f t="shared" si="1"/>
        <v>99.52826825242393</v>
      </c>
      <c r="H64" s="15">
        <v>1257246</v>
      </c>
      <c r="I64" s="206">
        <v>80875</v>
      </c>
      <c r="J64" s="15">
        <v>190206</v>
      </c>
      <c r="K64" s="15">
        <v>27453</v>
      </c>
      <c r="L64" s="15">
        <v>35154</v>
      </c>
      <c r="M64" s="15"/>
      <c r="N64" s="15">
        <v>70479</v>
      </c>
      <c r="O64" s="15"/>
      <c r="P64" s="217"/>
    </row>
    <row r="65" spans="1:16" ht="11.25">
      <c r="A65" s="202" t="s">
        <v>113</v>
      </c>
      <c r="B65" s="203" t="s">
        <v>148</v>
      </c>
      <c r="C65" s="212">
        <v>186</v>
      </c>
      <c r="D65" s="204">
        <f t="shared" si="3"/>
        <v>743.4771505376344</v>
      </c>
      <c r="E65" s="15">
        <v>1666590</v>
      </c>
      <c r="F65" s="15">
        <v>1659441</v>
      </c>
      <c r="G65" s="205">
        <f t="shared" si="1"/>
        <v>99.57104026785231</v>
      </c>
      <c r="H65" s="15">
        <v>1192128</v>
      </c>
      <c r="I65" s="206">
        <v>79754</v>
      </c>
      <c r="J65" s="15">
        <v>179631</v>
      </c>
      <c r="K65" s="15">
        <v>25773</v>
      </c>
      <c r="L65" s="15">
        <v>87458</v>
      </c>
      <c r="M65" s="15">
        <v>500</v>
      </c>
      <c r="N65" s="15">
        <v>62847</v>
      </c>
      <c r="O65" s="15"/>
      <c r="P65" s="217"/>
    </row>
    <row r="66" spans="1:16" ht="11.25">
      <c r="A66" s="202" t="s">
        <v>114</v>
      </c>
      <c r="B66" s="203" t="s">
        <v>149</v>
      </c>
      <c r="C66" s="212">
        <v>278</v>
      </c>
      <c r="D66" s="204">
        <f t="shared" si="3"/>
        <v>644.1729616306955</v>
      </c>
      <c r="E66" s="15">
        <v>2163105</v>
      </c>
      <c r="F66" s="15">
        <v>2148961</v>
      </c>
      <c r="G66" s="205">
        <f t="shared" si="1"/>
        <v>99.34612513031036</v>
      </c>
      <c r="H66" s="15">
        <v>1517969</v>
      </c>
      <c r="I66" s="206">
        <v>119382</v>
      </c>
      <c r="J66" s="15">
        <v>244708</v>
      </c>
      <c r="K66" s="15">
        <v>32362</v>
      </c>
      <c r="L66" s="15">
        <v>110476</v>
      </c>
      <c r="M66" s="15">
        <v>3431</v>
      </c>
      <c r="N66" s="15">
        <v>83581</v>
      </c>
      <c r="O66" s="15"/>
      <c r="P66" s="217"/>
    </row>
    <row r="67" spans="1:16" ht="11.25">
      <c r="A67" s="202" t="s">
        <v>150</v>
      </c>
      <c r="B67" s="203" t="s">
        <v>151</v>
      </c>
      <c r="C67" s="212">
        <v>159</v>
      </c>
      <c r="D67" s="204">
        <f t="shared" si="3"/>
        <v>696.4606918238994</v>
      </c>
      <c r="E67" s="15">
        <v>1332057</v>
      </c>
      <c r="F67" s="15">
        <v>1328847</v>
      </c>
      <c r="G67" s="205">
        <f t="shared" si="1"/>
        <v>99.75901932124526</v>
      </c>
      <c r="H67" s="15">
        <v>883933</v>
      </c>
      <c r="I67" s="206">
        <v>68865</v>
      </c>
      <c r="J67" s="15">
        <v>145226</v>
      </c>
      <c r="K67" s="15">
        <v>20412</v>
      </c>
      <c r="L67" s="15">
        <v>50456</v>
      </c>
      <c r="M67" s="15">
        <v>4000</v>
      </c>
      <c r="N67" s="15">
        <v>51872</v>
      </c>
      <c r="O67" s="15"/>
      <c r="P67" s="217"/>
    </row>
    <row r="68" spans="1:16" ht="11.25">
      <c r="A68" s="202" t="s">
        <v>152</v>
      </c>
      <c r="B68" s="203" t="s">
        <v>153</v>
      </c>
      <c r="C68" s="212">
        <v>309</v>
      </c>
      <c r="D68" s="204">
        <f t="shared" si="3"/>
        <v>614.7621359223301</v>
      </c>
      <c r="E68" s="15">
        <v>2294549</v>
      </c>
      <c r="F68" s="15">
        <v>2279538</v>
      </c>
      <c r="G68" s="205">
        <f t="shared" si="1"/>
        <v>99.345797365844</v>
      </c>
      <c r="H68" s="15">
        <v>1632902</v>
      </c>
      <c r="I68" s="206">
        <v>125336</v>
      </c>
      <c r="J68" s="15">
        <v>255965</v>
      </c>
      <c r="K68" s="15">
        <v>36221</v>
      </c>
      <c r="L68" s="15">
        <v>23486</v>
      </c>
      <c r="M68" s="15"/>
      <c r="N68" s="15">
        <v>89105</v>
      </c>
      <c r="O68" s="15"/>
      <c r="P68" s="217"/>
    </row>
    <row r="69" spans="1:16" ht="11.25">
      <c r="A69" s="202" t="s">
        <v>154</v>
      </c>
      <c r="B69" s="203" t="s">
        <v>154</v>
      </c>
      <c r="C69" s="212">
        <v>382</v>
      </c>
      <c r="D69" s="204">
        <f aca="true" t="shared" si="5" ref="D69:D82">F69/12/C69</f>
        <v>651.6529232111693</v>
      </c>
      <c r="E69" s="15">
        <v>3011085</v>
      </c>
      <c r="F69" s="15">
        <v>2987177</v>
      </c>
      <c r="G69" s="205">
        <f aca="true" t="shared" si="6" ref="G69:G132">F69/E69*100</f>
        <v>99.20600049483824</v>
      </c>
      <c r="H69" s="15">
        <v>2031852</v>
      </c>
      <c r="I69" s="206">
        <v>144071</v>
      </c>
      <c r="J69" s="15">
        <v>318382</v>
      </c>
      <c r="K69" s="15">
        <v>45364</v>
      </c>
      <c r="L69" s="15">
        <v>188000</v>
      </c>
      <c r="M69" s="15">
        <v>92000</v>
      </c>
      <c r="N69" s="15">
        <v>109838</v>
      </c>
      <c r="O69" s="15"/>
      <c r="P69" s="217"/>
    </row>
    <row r="70" spans="1:16" ht="11.25">
      <c r="A70" s="202" t="s">
        <v>126</v>
      </c>
      <c r="B70" s="203" t="s">
        <v>155</v>
      </c>
      <c r="C70" s="212">
        <v>368</v>
      </c>
      <c r="D70" s="204">
        <f t="shared" si="5"/>
        <v>600.2866847826087</v>
      </c>
      <c r="E70" s="15">
        <v>2657413</v>
      </c>
      <c r="F70" s="15">
        <v>2650866</v>
      </c>
      <c r="G70" s="205">
        <f t="shared" si="6"/>
        <v>99.75363257423668</v>
      </c>
      <c r="H70" s="15">
        <v>1852403</v>
      </c>
      <c r="I70" s="206">
        <v>137224</v>
      </c>
      <c r="J70" s="15">
        <v>292530</v>
      </c>
      <c r="K70" s="15">
        <v>39112</v>
      </c>
      <c r="L70" s="15">
        <v>172440</v>
      </c>
      <c r="M70" s="15">
        <v>2337</v>
      </c>
      <c r="N70" s="15">
        <v>106492</v>
      </c>
      <c r="O70" s="15"/>
      <c r="P70" s="217"/>
    </row>
    <row r="71" spans="1:16" ht="11.25">
      <c r="A71" s="202" t="s">
        <v>156</v>
      </c>
      <c r="B71" s="203" t="s">
        <v>157</v>
      </c>
      <c r="C71" s="212">
        <v>394</v>
      </c>
      <c r="D71" s="204">
        <f t="shared" si="5"/>
        <v>475.2755922165821</v>
      </c>
      <c r="E71" s="15">
        <v>2266003</v>
      </c>
      <c r="F71" s="15">
        <v>2247103</v>
      </c>
      <c r="G71" s="205">
        <f t="shared" si="6"/>
        <v>99.16593226046038</v>
      </c>
      <c r="H71" s="15">
        <v>1601469</v>
      </c>
      <c r="I71" s="206">
        <v>115167</v>
      </c>
      <c r="J71" s="15">
        <v>251863</v>
      </c>
      <c r="K71" s="15">
        <v>38115</v>
      </c>
      <c r="L71" s="15">
        <v>98141</v>
      </c>
      <c r="M71" s="15">
        <v>3500</v>
      </c>
      <c r="N71" s="15">
        <v>90686</v>
      </c>
      <c r="O71" s="15"/>
      <c r="P71" s="112"/>
    </row>
    <row r="72" spans="1:16" ht="11.25">
      <c r="A72" s="202" t="s">
        <v>158</v>
      </c>
      <c r="B72" s="203" t="s">
        <v>159</v>
      </c>
      <c r="C72" s="212">
        <v>320</v>
      </c>
      <c r="D72" s="204">
        <f t="shared" si="5"/>
        <v>563.9908854166667</v>
      </c>
      <c r="E72" s="15">
        <v>2183652</v>
      </c>
      <c r="F72" s="15">
        <v>2165725</v>
      </c>
      <c r="G72" s="205">
        <f t="shared" si="6"/>
        <v>99.17903585369831</v>
      </c>
      <c r="H72" s="15">
        <v>1490491</v>
      </c>
      <c r="I72" s="206">
        <v>109116</v>
      </c>
      <c r="J72" s="15">
        <v>235724</v>
      </c>
      <c r="K72" s="15">
        <v>34786</v>
      </c>
      <c r="L72" s="15">
        <v>160078</v>
      </c>
      <c r="M72" s="15">
        <v>843</v>
      </c>
      <c r="N72" s="15">
        <v>93568</v>
      </c>
      <c r="O72" s="15"/>
      <c r="P72" s="207"/>
    </row>
    <row r="73" spans="1:16" ht="11.25">
      <c r="A73" s="202" t="s">
        <v>133</v>
      </c>
      <c r="B73" s="203" t="s">
        <v>160</v>
      </c>
      <c r="C73" s="212">
        <v>278</v>
      </c>
      <c r="D73" s="204">
        <f t="shared" si="5"/>
        <v>629.1810551558754</v>
      </c>
      <c r="E73" s="15">
        <v>2101344</v>
      </c>
      <c r="F73" s="15">
        <v>2098948</v>
      </c>
      <c r="G73" s="205">
        <f t="shared" si="6"/>
        <v>99.88597773615362</v>
      </c>
      <c r="H73" s="15">
        <v>1563652</v>
      </c>
      <c r="I73" s="206">
        <v>126217</v>
      </c>
      <c r="J73" s="15">
        <v>248926</v>
      </c>
      <c r="K73" s="15">
        <v>27457</v>
      </c>
      <c r="L73" s="15">
        <v>3095</v>
      </c>
      <c r="M73" s="15">
        <v>500</v>
      </c>
      <c r="N73" s="15">
        <v>89577</v>
      </c>
      <c r="O73" s="15"/>
      <c r="P73" s="207"/>
    </row>
    <row r="74" spans="1:16" ht="11.25">
      <c r="A74" s="202" t="s">
        <v>134</v>
      </c>
      <c r="B74" s="203" t="s">
        <v>161</v>
      </c>
      <c r="C74" s="212">
        <v>255</v>
      </c>
      <c r="D74" s="204">
        <f t="shared" si="5"/>
        <v>822.7251633986928</v>
      </c>
      <c r="E74" s="15">
        <v>2536421</v>
      </c>
      <c r="F74" s="15">
        <v>2517539</v>
      </c>
      <c r="G74" s="205">
        <f t="shared" si="6"/>
        <v>99.25556522359655</v>
      </c>
      <c r="H74" s="15">
        <v>1755725</v>
      </c>
      <c r="I74" s="206">
        <v>134199</v>
      </c>
      <c r="J74" s="15">
        <v>276267</v>
      </c>
      <c r="K74" s="15">
        <v>39226</v>
      </c>
      <c r="L74" s="15">
        <v>170394</v>
      </c>
      <c r="M74" s="15">
        <v>4000</v>
      </c>
      <c r="N74" s="15">
        <v>99920</v>
      </c>
      <c r="O74" s="15"/>
      <c r="P74" s="207"/>
    </row>
    <row r="75" spans="1:16" ht="11.25">
      <c r="A75" s="202" t="s">
        <v>135</v>
      </c>
      <c r="B75" s="203" t="s">
        <v>162</v>
      </c>
      <c r="C75" s="212">
        <v>485</v>
      </c>
      <c r="D75" s="204">
        <f t="shared" si="5"/>
        <v>467.0730240549828</v>
      </c>
      <c r="E75" s="15">
        <v>2735027</v>
      </c>
      <c r="F75" s="15">
        <v>2718365</v>
      </c>
      <c r="G75" s="205">
        <f t="shared" si="6"/>
        <v>99.39079212015092</v>
      </c>
      <c r="H75" s="15">
        <v>1913430</v>
      </c>
      <c r="I75" s="206">
        <v>132046</v>
      </c>
      <c r="J75" s="15">
        <v>294594</v>
      </c>
      <c r="K75" s="15">
        <v>40598</v>
      </c>
      <c r="L75" s="15">
        <v>152570</v>
      </c>
      <c r="M75" s="15">
        <v>3387</v>
      </c>
      <c r="N75" s="15">
        <v>111045</v>
      </c>
      <c r="O75" s="15"/>
      <c r="P75" s="207"/>
    </row>
    <row r="76" spans="1:16" ht="11.25">
      <c r="A76" s="202" t="s">
        <v>137</v>
      </c>
      <c r="B76" s="203" t="s">
        <v>163</v>
      </c>
      <c r="C76" s="212">
        <v>294</v>
      </c>
      <c r="D76" s="204">
        <f t="shared" si="5"/>
        <v>533.8738662131519</v>
      </c>
      <c r="E76" s="15">
        <v>1889005</v>
      </c>
      <c r="F76" s="15">
        <v>1883507</v>
      </c>
      <c r="G76" s="205">
        <f t="shared" si="6"/>
        <v>99.7089473029452</v>
      </c>
      <c r="H76" s="15">
        <v>1306105</v>
      </c>
      <c r="I76" s="206">
        <v>91528</v>
      </c>
      <c r="J76" s="15">
        <v>203178</v>
      </c>
      <c r="K76" s="15">
        <v>28067</v>
      </c>
      <c r="L76" s="15">
        <v>151231</v>
      </c>
      <c r="M76" s="15">
        <v>1967</v>
      </c>
      <c r="N76" s="15">
        <v>70257</v>
      </c>
      <c r="O76" s="15"/>
      <c r="P76" s="207"/>
    </row>
    <row r="77" spans="1:16" ht="11.25">
      <c r="A77" s="202" t="s">
        <v>138</v>
      </c>
      <c r="B77" s="203" t="s">
        <v>164</v>
      </c>
      <c r="C77" s="212">
        <v>278</v>
      </c>
      <c r="D77" s="204">
        <f t="shared" si="5"/>
        <v>927.2023381294964</v>
      </c>
      <c r="E77" s="15">
        <v>3104709</v>
      </c>
      <c r="F77" s="15">
        <v>3093147</v>
      </c>
      <c r="G77" s="205">
        <f t="shared" si="6"/>
        <v>99.62759794879327</v>
      </c>
      <c r="H77" s="15">
        <v>2172741</v>
      </c>
      <c r="I77" s="206">
        <v>156747</v>
      </c>
      <c r="J77" s="15">
        <v>348282</v>
      </c>
      <c r="K77" s="15">
        <v>48694</v>
      </c>
      <c r="L77" s="15">
        <v>195698</v>
      </c>
      <c r="M77" s="15">
        <v>5988</v>
      </c>
      <c r="N77" s="15">
        <v>118165</v>
      </c>
      <c r="O77" s="15"/>
      <c r="P77" s="207"/>
    </row>
    <row r="78" spans="1:16" ht="11.25">
      <c r="A78" s="202" t="s">
        <v>139</v>
      </c>
      <c r="B78" s="203" t="s">
        <v>165</v>
      </c>
      <c r="C78" s="212">
        <v>178</v>
      </c>
      <c r="D78" s="204">
        <f t="shared" si="5"/>
        <v>704.628277153558</v>
      </c>
      <c r="E78" s="15">
        <v>1506343</v>
      </c>
      <c r="F78" s="15">
        <v>1505086</v>
      </c>
      <c r="G78" s="205">
        <f t="shared" si="6"/>
        <v>99.91655287009665</v>
      </c>
      <c r="H78" s="15">
        <v>1109556</v>
      </c>
      <c r="I78" s="206">
        <v>81426</v>
      </c>
      <c r="J78" s="15">
        <v>176784</v>
      </c>
      <c r="K78" s="15">
        <v>24329</v>
      </c>
      <c r="L78" s="15">
        <v>25559</v>
      </c>
      <c r="M78" s="15">
        <v>255</v>
      </c>
      <c r="N78" s="15">
        <v>60118</v>
      </c>
      <c r="O78" s="15"/>
      <c r="P78" s="207"/>
    </row>
    <row r="79" spans="1:16" ht="11.25">
      <c r="A79" s="218" t="s">
        <v>166</v>
      </c>
      <c r="B79" s="219" t="s">
        <v>167</v>
      </c>
      <c r="C79" s="212">
        <v>181</v>
      </c>
      <c r="D79" s="204">
        <f t="shared" si="5"/>
        <v>185.5635359116022</v>
      </c>
      <c r="E79" s="15">
        <v>406695</v>
      </c>
      <c r="F79" s="15">
        <v>403044</v>
      </c>
      <c r="G79" s="205">
        <f t="shared" si="6"/>
        <v>99.10227566112198</v>
      </c>
      <c r="H79" s="15">
        <v>300623</v>
      </c>
      <c r="I79" s="206">
        <v>21279</v>
      </c>
      <c r="J79" s="15">
        <v>29223</v>
      </c>
      <c r="K79" s="15">
        <v>5558</v>
      </c>
      <c r="L79" s="15">
        <v>1323</v>
      </c>
      <c r="M79" s="15">
        <v>5999</v>
      </c>
      <c r="N79" s="15">
        <v>20567</v>
      </c>
      <c r="O79" s="15"/>
      <c r="P79" s="207"/>
    </row>
    <row r="80" spans="1:16" ht="11.25">
      <c r="A80" s="218" t="s">
        <v>168</v>
      </c>
      <c r="B80" s="219" t="s">
        <v>169</v>
      </c>
      <c r="C80" s="212">
        <v>148</v>
      </c>
      <c r="D80" s="204">
        <f t="shared" si="5"/>
        <v>552.6306306306305</v>
      </c>
      <c r="E80" s="15">
        <v>981472</v>
      </c>
      <c r="F80" s="15">
        <v>981472</v>
      </c>
      <c r="G80" s="205">
        <f t="shared" si="6"/>
        <v>100</v>
      </c>
      <c r="H80" s="15">
        <v>690167</v>
      </c>
      <c r="I80" s="206">
        <v>49808</v>
      </c>
      <c r="J80" s="15">
        <v>110964</v>
      </c>
      <c r="K80" s="15">
        <v>18002</v>
      </c>
      <c r="L80" s="15">
        <v>15756</v>
      </c>
      <c r="M80" s="15"/>
      <c r="N80" s="15">
        <v>45186</v>
      </c>
      <c r="O80" s="15"/>
      <c r="P80" s="207"/>
    </row>
    <row r="81" spans="1:16" ht="11.25">
      <c r="A81" s="218" t="s">
        <v>170</v>
      </c>
      <c r="B81" s="219" t="s">
        <v>171</v>
      </c>
      <c r="C81" s="212">
        <v>229</v>
      </c>
      <c r="D81" s="204">
        <f t="shared" si="5"/>
        <v>542.170305676856</v>
      </c>
      <c r="E81" s="15">
        <v>1508529</v>
      </c>
      <c r="F81" s="15">
        <v>1489884</v>
      </c>
      <c r="G81" s="205">
        <f t="shared" si="6"/>
        <v>98.76402773828013</v>
      </c>
      <c r="H81" s="15">
        <v>1094141</v>
      </c>
      <c r="I81" s="206">
        <v>82860</v>
      </c>
      <c r="J81" s="15">
        <v>177451</v>
      </c>
      <c r="K81" s="15">
        <v>21663</v>
      </c>
      <c r="L81" s="15"/>
      <c r="M81" s="15"/>
      <c r="N81" s="15">
        <v>66608</v>
      </c>
      <c r="O81" s="15"/>
      <c r="P81" s="207"/>
    </row>
    <row r="82" spans="1:16" ht="11.25">
      <c r="A82" s="98" t="s">
        <v>172</v>
      </c>
      <c r="B82" s="98"/>
      <c r="C82" s="208">
        <f>SUM(C60:C81)</f>
        <v>6410</v>
      </c>
      <c r="D82" s="209">
        <f t="shared" si="5"/>
        <v>626.7053302132085</v>
      </c>
      <c r="E82" s="12">
        <f>SUM(E60:E81)</f>
        <v>48503730</v>
      </c>
      <c r="F82" s="12">
        <f>SUM(F60:F81)</f>
        <v>48206174</v>
      </c>
      <c r="G82" s="126">
        <f t="shared" si="6"/>
        <v>99.38652965452349</v>
      </c>
      <c r="H82" s="12">
        <f aca="true" t="shared" si="7" ref="H82:P82">SUM(H60:H81)</f>
        <v>33626327</v>
      </c>
      <c r="I82" s="127">
        <f t="shared" si="7"/>
        <v>2453425</v>
      </c>
      <c r="J82" s="12">
        <f t="shared" si="7"/>
        <v>5323222</v>
      </c>
      <c r="K82" s="12">
        <f t="shared" si="7"/>
        <v>721641</v>
      </c>
      <c r="L82" s="12">
        <f t="shared" si="7"/>
        <v>2227310</v>
      </c>
      <c r="M82" s="12">
        <f t="shared" si="7"/>
        <v>535430</v>
      </c>
      <c r="N82" s="12">
        <f t="shared" si="7"/>
        <v>1891976</v>
      </c>
      <c r="O82" s="12">
        <f t="shared" si="7"/>
        <v>0</v>
      </c>
      <c r="P82" s="12">
        <f t="shared" si="7"/>
        <v>0</v>
      </c>
    </row>
    <row r="83" spans="1:16" ht="11.25">
      <c r="A83" s="207" t="s">
        <v>145</v>
      </c>
      <c r="B83" s="203" t="s">
        <v>145</v>
      </c>
      <c r="C83" s="199"/>
      <c r="D83" s="199"/>
      <c r="E83" s="15">
        <v>3500</v>
      </c>
      <c r="F83" s="15">
        <v>3085</v>
      </c>
      <c r="G83" s="205">
        <f t="shared" si="6"/>
        <v>88.14285714285714</v>
      </c>
      <c r="H83" s="12"/>
      <c r="I83" s="127"/>
      <c r="J83" s="12"/>
      <c r="K83" s="12"/>
      <c r="L83" s="12"/>
      <c r="M83" s="12"/>
      <c r="N83" s="12"/>
      <c r="O83" s="12"/>
      <c r="P83" s="12"/>
    </row>
    <row r="84" spans="1:16" ht="11.25">
      <c r="A84" s="207" t="s">
        <v>111</v>
      </c>
      <c r="B84" s="203">
        <v>8</v>
      </c>
      <c r="C84" s="199"/>
      <c r="D84" s="199"/>
      <c r="E84" s="15">
        <v>13373</v>
      </c>
      <c r="F84" s="15">
        <v>12860</v>
      </c>
      <c r="G84" s="205">
        <f t="shared" si="6"/>
        <v>96.16391236072684</v>
      </c>
      <c r="H84" s="12"/>
      <c r="I84" s="127"/>
      <c r="J84" s="12"/>
      <c r="K84" s="12"/>
      <c r="L84" s="12"/>
      <c r="M84" s="12"/>
      <c r="N84" s="12"/>
      <c r="O84" s="12"/>
      <c r="P84" s="12"/>
    </row>
    <row r="85" spans="1:16" ht="11.25">
      <c r="A85" s="207" t="s">
        <v>112</v>
      </c>
      <c r="B85" s="203">
        <v>10</v>
      </c>
      <c r="C85" s="199"/>
      <c r="D85" s="199"/>
      <c r="E85" s="15">
        <v>16642</v>
      </c>
      <c r="F85" s="15">
        <v>15430</v>
      </c>
      <c r="G85" s="205">
        <f t="shared" si="6"/>
        <v>92.71722148780195</v>
      </c>
      <c r="H85" s="12"/>
      <c r="I85" s="127"/>
      <c r="J85" s="12"/>
      <c r="K85" s="12"/>
      <c r="L85" s="12"/>
      <c r="M85" s="12"/>
      <c r="N85" s="12"/>
      <c r="O85" s="12"/>
      <c r="P85" s="12"/>
    </row>
    <row r="86" spans="1:16" ht="11.25">
      <c r="A86" s="207" t="s">
        <v>113</v>
      </c>
      <c r="B86" s="203">
        <v>11</v>
      </c>
      <c r="C86" s="199"/>
      <c r="D86" s="199"/>
      <c r="E86" s="15">
        <v>10561</v>
      </c>
      <c r="F86" s="15">
        <v>9868</v>
      </c>
      <c r="G86" s="205">
        <f t="shared" si="6"/>
        <v>93.43812139001987</v>
      </c>
      <c r="H86" s="12"/>
      <c r="I86" s="127"/>
      <c r="J86" s="12"/>
      <c r="K86" s="12"/>
      <c r="L86" s="12"/>
      <c r="M86" s="12"/>
      <c r="N86" s="12"/>
      <c r="O86" s="12"/>
      <c r="P86" s="12"/>
    </row>
    <row r="87" spans="1:16" ht="11.25">
      <c r="A87" s="207" t="s">
        <v>124</v>
      </c>
      <c r="B87" s="203">
        <v>28</v>
      </c>
      <c r="C87" s="199"/>
      <c r="D87" s="199"/>
      <c r="E87" s="15">
        <v>13000</v>
      </c>
      <c r="F87" s="15">
        <v>11536</v>
      </c>
      <c r="G87" s="205">
        <f t="shared" si="6"/>
        <v>88.73846153846155</v>
      </c>
      <c r="H87" s="12"/>
      <c r="I87" s="127"/>
      <c r="J87" s="12"/>
      <c r="K87" s="12"/>
      <c r="L87" s="12"/>
      <c r="M87" s="12"/>
      <c r="N87" s="12"/>
      <c r="O87" s="12"/>
      <c r="P87" s="12"/>
    </row>
    <row r="88" spans="1:16" ht="11.25">
      <c r="A88" s="207" t="s">
        <v>128</v>
      </c>
      <c r="B88" s="203">
        <v>34</v>
      </c>
      <c r="C88" s="199"/>
      <c r="D88" s="199"/>
      <c r="E88" s="15">
        <v>14681</v>
      </c>
      <c r="F88" s="15">
        <v>11104</v>
      </c>
      <c r="G88" s="205">
        <f t="shared" si="6"/>
        <v>75.63517471561883</v>
      </c>
      <c r="H88" s="12"/>
      <c r="I88" s="127"/>
      <c r="J88" s="12"/>
      <c r="K88" s="12"/>
      <c r="L88" s="12"/>
      <c r="M88" s="12"/>
      <c r="N88" s="12"/>
      <c r="O88" s="12"/>
      <c r="P88" s="12"/>
    </row>
    <row r="89" spans="1:16" ht="11.25">
      <c r="A89" s="207" t="s">
        <v>134</v>
      </c>
      <c r="B89" s="203">
        <v>43</v>
      </c>
      <c r="C89" s="199"/>
      <c r="D89" s="199"/>
      <c r="E89" s="15">
        <v>16274</v>
      </c>
      <c r="F89" s="15">
        <v>16273</v>
      </c>
      <c r="G89" s="205">
        <f t="shared" si="6"/>
        <v>99.99385522919995</v>
      </c>
      <c r="H89" s="12"/>
      <c r="I89" s="127"/>
      <c r="J89" s="12"/>
      <c r="K89" s="12"/>
      <c r="L89" s="12"/>
      <c r="M89" s="12"/>
      <c r="N89" s="12"/>
      <c r="O89" s="12"/>
      <c r="P89" s="12"/>
    </row>
    <row r="90" spans="1:16" ht="11.25">
      <c r="A90" s="207" t="s">
        <v>138</v>
      </c>
      <c r="B90" s="203">
        <v>47</v>
      </c>
      <c r="C90" s="199"/>
      <c r="D90" s="199"/>
      <c r="E90" s="15">
        <v>12987</v>
      </c>
      <c r="F90" s="15">
        <v>12987</v>
      </c>
      <c r="G90" s="205">
        <f t="shared" si="6"/>
        <v>100</v>
      </c>
      <c r="H90" s="12"/>
      <c r="I90" s="127"/>
      <c r="J90" s="12"/>
      <c r="K90" s="12"/>
      <c r="L90" s="12"/>
      <c r="M90" s="12"/>
      <c r="N90" s="12"/>
      <c r="O90" s="12"/>
      <c r="P90" s="12"/>
    </row>
    <row r="91" spans="1:16" ht="11.25">
      <c r="A91" s="207" t="s">
        <v>139</v>
      </c>
      <c r="B91" s="203">
        <v>48</v>
      </c>
      <c r="C91" s="199"/>
      <c r="D91" s="199"/>
      <c r="E91" s="15">
        <v>10217</v>
      </c>
      <c r="F91" s="15">
        <v>10217</v>
      </c>
      <c r="G91" s="205">
        <f t="shared" si="6"/>
        <v>100</v>
      </c>
      <c r="H91" s="12"/>
      <c r="I91" s="127"/>
      <c r="J91" s="12"/>
      <c r="K91" s="12"/>
      <c r="L91" s="12"/>
      <c r="M91" s="12"/>
      <c r="N91" s="12"/>
      <c r="O91" s="12"/>
      <c r="P91" s="12"/>
    </row>
    <row r="92" spans="1:16" ht="11.25">
      <c r="A92" s="98" t="s">
        <v>173</v>
      </c>
      <c r="B92" s="199"/>
      <c r="C92" s="199"/>
      <c r="D92" s="199"/>
      <c r="E92" s="12">
        <f>SUM(E83:E91)</f>
        <v>111235</v>
      </c>
      <c r="F92" s="12">
        <f>SUM(F83:F91)</f>
        <v>103360</v>
      </c>
      <c r="G92" s="126">
        <f t="shared" si="6"/>
        <v>92.92039376095653</v>
      </c>
      <c r="H92" s="12">
        <f aca="true" t="shared" si="8" ref="H92:P92">SUM(H83:H91)</f>
        <v>0</v>
      </c>
      <c r="I92" s="127">
        <f t="shared" si="8"/>
        <v>0</v>
      </c>
      <c r="J92" s="12">
        <f t="shared" si="8"/>
        <v>0</v>
      </c>
      <c r="K92" s="12">
        <f t="shared" si="8"/>
        <v>0</v>
      </c>
      <c r="L92" s="12">
        <f t="shared" si="8"/>
        <v>0</v>
      </c>
      <c r="M92" s="12">
        <f t="shared" si="8"/>
        <v>0</v>
      </c>
      <c r="N92" s="12">
        <f t="shared" si="8"/>
        <v>0</v>
      </c>
      <c r="O92" s="12">
        <f t="shared" si="8"/>
        <v>0</v>
      </c>
      <c r="P92" s="12">
        <f t="shared" si="8"/>
        <v>0</v>
      </c>
    </row>
    <row r="93" spans="1:16" ht="11.25">
      <c r="A93" s="207" t="s">
        <v>174</v>
      </c>
      <c r="B93" s="203" t="s">
        <v>174</v>
      </c>
      <c r="C93" s="199"/>
      <c r="D93" s="199"/>
      <c r="E93" s="15">
        <v>4708</v>
      </c>
      <c r="F93" s="15">
        <v>3500</v>
      </c>
      <c r="G93" s="205">
        <f t="shared" si="6"/>
        <v>74.34154630416313</v>
      </c>
      <c r="H93" s="12"/>
      <c r="I93" s="127"/>
      <c r="J93" s="12"/>
      <c r="K93" s="12"/>
      <c r="L93" s="12"/>
      <c r="M93" s="12"/>
      <c r="N93" s="12"/>
      <c r="O93" s="12"/>
      <c r="P93" s="12"/>
    </row>
    <row r="94" spans="1:16" ht="11.25">
      <c r="A94" s="97" t="s">
        <v>144</v>
      </c>
      <c r="B94" s="212" t="s">
        <v>144</v>
      </c>
      <c r="C94" s="199"/>
      <c r="D94" s="199"/>
      <c r="E94" s="15">
        <v>5236</v>
      </c>
      <c r="F94" s="15">
        <v>3900</v>
      </c>
      <c r="G94" s="205">
        <f t="shared" si="6"/>
        <v>74.48433919022153</v>
      </c>
      <c r="H94" s="12"/>
      <c r="I94" s="127"/>
      <c r="J94" s="12"/>
      <c r="K94" s="12"/>
      <c r="L94" s="12"/>
      <c r="M94" s="12"/>
      <c r="N94" s="12"/>
      <c r="O94" s="12"/>
      <c r="P94" s="12"/>
    </row>
    <row r="95" spans="1:16" ht="11.25">
      <c r="A95" s="97" t="s">
        <v>145</v>
      </c>
      <c r="B95" s="212" t="s">
        <v>145</v>
      </c>
      <c r="C95" s="199"/>
      <c r="D95" s="199"/>
      <c r="E95" s="15">
        <v>5555</v>
      </c>
      <c r="F95" s="15">
        <v>5443</v>
      </c>
      <c r="G95" s="205">
        <f t="shared" si="6"/>
        <v>97.98379837983798</v>
      </c>
      <c r="H95" s="12"/>
      <c r="I95" s="127"/>
      <c r="J95" s="12"/>
      <c r="K95" s="12"/>
      <c r="L95" s="12"/>
      <c r="M95" s="12"/>
      <c r="N95" s="12"/>
      <c r="O95" s="12"/>
      <c r="P95" s="12"/>
    </row>
    <row r="96" spans="1:16" ht="11.25">
      <c r="A96" s="97" t="s">
        <v>110</v>
      </c>
      <c r="B96" s="212">
        <v>6</v>
      </c>
      <c r="C96" s="199"/>
      <c r="D96" s="199"/>
      <c r="E96" s="15">
        <v>9276</v>
      </c>
      <c r="F96" s="15">
        <v>8986</v>
      </c>
      <c r="G96" s="205">
        <f t="shared" si="6"/>
        <v>96.87365243639499</v>
      </c>
      <c r="H96" s="12"/>
      <c r="I96" s="127"/>
      <c r="J96" s="12"/>
      <c r="K96" s="12"/>
      <c r="L96" s="12"/>
      <c r="M96" s="12"/>
      <c r="N96" s="12"/>
      <c r="O96" s="12"/>
      <c r="P96" s="12"/>
    </row>
    <row r="97" spans="1:16" ht="11.25">
      <c r="A97" s="97" t="s">
        <v>146</v>
      </c>
      <c r="B97" s="212" t="s">
        <v>146</v>
      </c>
      <c r="C97" s="199"/>
      <c r="D97" s="199"/>
      <c r="E97" s="15">
        <v>5437</v>
      </c>
      <c r="F97" s="15">
        <v>4587</v>
      </c>
      <c r="G97" s="205">
        <f t="shared" si="6"/>
        <v>84.36637851756484</v>
      </c>
      <c r="H97" s="12"/>
      <c r="I97" s="127"/>
      <c r="J97" s="12"/>
      <c r="K97" s="12"/>
      <c r="L97" s="12"/>
      <c r="M97" s="12"/>
      <c r="N97" s="12"/>
      <c r="O97" s="12"/>
      <c r="P97" s="12"/>
    </row>
    <row r="98" spans="1:16" ht="11.25">
      <c r="A98" s="97" t="s">
        <v>111</v>
      </c>
      <c r="B98" s="212">
        <v>8</v>
      </c>
      <c r="C98" s="199"/>
      <c r="D98" s="199"/>
      <c r="E98" s="15">
        <v>11510</v>
      </c>
      <c r="F98" s="15">
        <v>6370</v>
      </c>
      <c r="G98" s="205">
        <f t="shared" si="6"/>
        <v>55.343179843614244</v>
      </c>
      <c r="H98" s="12"/>
      <c r="I98" s="127"/>
      <c r="J98" s="12"/>
      <c r="K98" s="12"/>
      <c r="L98" s="12"/>
      <c r="M98" s="12"/>
      <c r="N98" s="12"/>
      <c r="O98" s="12"/>
      <c r="P98" s="12"/>
    </row>
    <row r="99" spans="1:16" ht="11.25">
      <c r="A99" s="97" t="s">
        <v>112</v>
      </c>
      <c r="B99" s="212">
        <v>10</v>
      </c>
      <c r="C99" s="199"/>
      <c r="D99" s="199"/>
      <c r="E99" s="15">
        <v>14670</v>
      </c>
      <c r="F99" s="15">
        <v>14666</v>
      </c>
      <c r="G99" s="205">
        <f t="shared" si="6"/>
        <v>99.97273346966598</v>
      </c>
      <c r="H99" s="12"/>
      <c r="I99" s="127"/>
      <c r="J99" s="12"/>
      <c r="K99" s="12"/>
      <c r="L99" s="12"/>
      <c r="M99" s="12"/>
      <c r="N99" s="12"/>
      <c r="O99" s="12"/>
      <c r="P99" s="12"/>
    </row>
    <row r="100" spans="1:16" ht="11.25">
      <c r="A100" s="97" t="s">
        <v>113</v>
      </c>
      <c r="B100" s="212">
        <v>11</v>
      </c>
      <c r="C100" s="199"/>
      <c r="D100" s="199"/>
      <c r="E100" s="15">
        <v>5537</v>
      </c>
      <c r="F100" s="15">
        <v>5390</v>
      </c>
      <c r="G100" s="205">
        <f t="shared" si="6"/>
        <v>97.34513274336283</v>
      </c>
      <c r="H100" s="12"/>
      <c r="I100" s="127"/>
      <c r="J100" s="12"/>
      <c r="K100" s="12"/>
      <c r="L100" s="12"/>
      <c r="M100" s="12"/>
      <c r="N100" s="12"/>
      <c r="O100" s="12"/>
      <c r="P100" s="12"/>
    </row>
    <row r="101" spans="1:16" ht="11.25">
      <c r="A101" s="97" t="s">
        <v>114</v>
      </c>
      <c r="B101" s="212">
        <v>12</v>
      </c>
      <c r="C101" s="199"/>
      <c r="D101" s="199"/>
      <c r="E101" s="15">
        <v>7112</v>
      </c>
      <c r="F101" s="15">
        <v>7112</v>
      </c>
      <c r="G101" s="205">
        <f t="shared" si="6"/>
        <v>100</v>
      </c>
      <c r="H101" s="12"/>
      <c r="I101" s="127"/>
      <c r="J101" s="12"/>
      <c r="K101" s="12"/>
      <c r="L101" s="12"/>
      <c r="M101" s="12"/>
      <c r="N101" s="12"/>
      <c r="O101" s="12"/>
      <c r="P101" s="12"/>
    </row>
    <row r="102" spans="1:16" ht="11.25">
      <c r="A102" s="97" t="s">
        <v>115</v>
      </c>
      <c r="B102" s="212">
        <v>13</v>
      </c>
      <c r="C102" s="199"/>
      <c r="D102" s="199"/>
      <c r="E102" s="15">
        <v>6817</v>
      </c>
      <c r="F102" s="15">
        <v>5447</v>
      </c>
      <c r="G102" s="205">
        <f t="shared" si="6"/>
        <v>79.90318321842452</v>
      </c>
      <c r="H102" s="12"/>
      <c r="I102" s="127"/>
      <c r="J102" s="12"/>
      <c r="K102" s="12"/>
      <c r="L102" s="12"/>
      <c r="M102" s="12"/>
      <c r="N102" s="12"/>
      <c r="O102" s="12"/>
      <c r="P102" s="12"/>
    </row>
    <row r="103" spans="1:16" ht="11.25">
      <c r="A103" s="97" t="s">
        <v>150</v>
      </c>
      <c r="B103" s="212">
        <v>14</v>
      </c>
      <c r="C103" s="199"/>
      <c r="D103" s="199"/>
      <c r="E103" s="15">
        <v>5445</v>
      </c>
      <c r="F103" s="15">
        <v>2220</v>
      </c>
      <c r="G103" s="205">
        <f t="shared" si="6"/>
        <v>40.77134986225895</v>
      </c>
      <c r="H103" s="12"/>
      <c r="I103" s="127"/>
      <c r="J103" s="12"/>
      <c r="K103" s="12"/>
      <c r="L103" s="12"/>
      <c r="M103" s="12"/>
      <c r="N103" s="12"/>
      <c r="O103" s="12"/>
      <c r="P103" s="12"/>
    </row>
    <row r="104" spans="1:16" ht="11.25">
      <c r="A104" s="97" t="s">
        <v>117</v>
      </c>
      <c r="B104" s="212">
        <v>16</v>
      </c>
      <c r="C104" s="199"/>
      <c r="D104" s="199"/>
      <c r="E104" s="15">
        <v>10850</v>
      </c>
      <c r="F104" s="15">
        <v>10850</v>
      </c>
      <c r="G104" s="205">
        <f t="shared" si="6"/>
        <v>100</v>
      </c>
      <c r="H104" s="12"/>
      <c r="I104" s="127"/>
      <c r="J104" s="12"/>
      <c r="K104" s="12"/>
      <c r="L104" s="12"/>
      <c r="M104" s="12"/>
      <c r="N104" s="12"/>
      <c r="O104" s="12"/>
      <c r="P104" s="12"/>
    </row>
    <row r="105" spans="1:16" ht="11.25">
      <c r="A105" s="97" t="s">
        <v>118</v>
      </c>
      <c r="B105" s="212">
        <v>17</v>
      </c>
      <c r="C105" s="199"/>
      <c r="D105" s="199"/>
      <c r="E105" s="15">
        <v>5109</v>
      </c>
      <c r="F105" s="15">
        <v>5009</v>
      </c>
      <c r="G105" s="205">
        <f t="shared" si="6"/>
        <v>98.04266979839498</v>
      </c>
      <c r="H105" s="12"/>
      <c r="I105" s="127"/>
      <c r="J105" s="12"/>
      <c r="K105" s="12"/>
      <c r="L105" s="12"/>
      <c r="M105" s="12"/>
      <c r="N105" s="12"/>
      <c r="O105" s="12"/>
      <c r="P105" s="12"/>
    </row>
    <row r="106" spans="1:16" ht="11.25">
      <c r="A106" s="97" t="s">
        <v>119</v>
      </c>
      <c r="B106" s="212">
        <v>18</v>
      </c>
      <c r="C106" s="199"/>
      <c r="D106" s="199"/>
      <c r="E106" s="15">
        <v>6811</v>
      </c>
      <c r="F106" s="15">
        <v>3370</v>
      </c>
      <c r="G106" s="205">
        <f t="shared" si="6"/>
        <v>49.47878431948319</v>
      </c>
      <c r="H106" s="12"/>
      <c r="I106" s="127"/>
      <c r="J106" s="12"/>
      <c r="K106" s="12"/>
      <c r="L106" s="12"/>
      <c r="M106" s="12"/>
      <c r="N106" s="12"/>
      <c r="O106" s="12"/>
      <c r="P106" s="12"/>
    </row>
    <row r="107" spans="1:16" ht="11.25">
      <c r="A107" s="97" t="s">
        <v>120</v>
      </c>
      <c r="B107" s="212">
        <v>20</v>
      </c>
      <c r="C107" s="199"/>
      <c r="D107" s="199"/>
      <c r="E107" s="15">
        <v>7367</v>
      </c>
      <c r="F107" s="15">
        <v>7367</v>
      </c>
      <c r="G107" s="205">
        <f t="shared" si="6"/>
        <v>100</v>
      </c>
      <c r="H107" s="12"/>
      <c r="I107" s="127"/>
      <c r="J107" s="12"/>
      <c r="K107" s="12"/>
      <c r="L107" s="12"/>
      <c r="M107" s="12"/>
      <c r="N107" s="12"/>
      <c r="O107" s="12"/>
      <c r="P107" s="12"/>
    </row>
    <row r="108" spans="1:16" ht="11.25">
      <c r="A108" s="97" t="s">
        <v>121</v>
      </c>
      <c r="B108" s="212">
        <v>21</v>
      </c>
      <c r="C108" s="199"/>
      <c r="D108" s="199"/>
      <c r="E108" s="15">
        <v>4676</v>
      </c>
      <c r="F108" s="15">
        <v>4676</v>
      </c>
      <c r="G108" s="205">
        <f t="shared" si="6"/>
        <v>100</v>
      </c>
      <c r="H108" s="12"/>
      <c r="I108" s="127"/>
      <c r="J108" s="12"/>
      <c r="K108" s="12"/>
      <c r="L108" s="12"/>
      <c r="M108" s="12"/>
      <c r="N108" s="12"/>
      <c r="O108" s="12"/>
      <c r="P108" s="12"/>
    </row>
    <row r="109" spans="1:16" ht="11.25">
      <c r="A109" s="97" t="s">
        <v>122</v>
      </c>
      <c r="B109" s="212">
        <v>23</v>
      </c>
      <c r="C109" s="199"/>
      <c r="D109" s="199"/>
      <c r="E109" s="15">
        <v>10159</v>
      </c>
      <c r="F109" s="15">
        <v>6159</v>
      </c>
      <c r="G109" s="205">
        <f t="shared" si="6"/>
        <v>60.62604587065656</v>
      </c>
      <c r="H109" s="12"/>
      <c r="I109" s="127"/>
      <c r="J109" s="12"/>
      <c r="K109" s="12"/>
      <c r="L109" s="12"/>
      <c r="M109" s="12"/>
      <c r="N109" s="12"/>
      <c r="O109" s="12"/>
      <c r="P109" s="12"/>
    </row>
    <row r="110" spans="1:16" ht="11.25">
      <c r="A110" s="97" t="s">
        <v>123</v>
      </c>
      <c r="B110" s="212">
        <v>26</v>
      </c>
      <c r="C110" s="199"/>
      <c r="D110" s="199"/>
      <c r="E110" s="15">
        <v>3156</v>
      </c>
      <c r="F110" s="15">
        <v>3156</v>
      </c>
      <c r="G110" s="205">
        <f t="shared" si="6"/>
        <v>100</v>
      </c>
      <c r="H110" s="12"/>
      <c r="I110" s="127"/>
      <c r="J110" s="12"/>
      <c r="K110" s="12"/>
      <c r="L110" s="12"/>
      <c r="M110" s="12"/>
      <c r="N110" s="12"/>
      <c r="O110" s="12"/>
      <c r="P110" s="12"/>
    </row>
    <row r="111" spans="1:16" ht="11.25">
      <c r="A111" s="97" t="s">
        <v>154</v>
      </c>
      <c r="B111" s="212" t="s">
        <v>154</v>
      </c>
      <c r="C111" s="199"/>
      <c r="D111" s="199"/>
      <c r="E111" s="15">
        <v>7582</v>
      </c>
      <c r="F111" s="15">
        <v>7470</v>
      </c>
      <c r="G111" s="205">
        <f t="shared" si="6"/>
        <v>98.52281719862833</v>
      </c>
      <c r="H111" s="12"/>
      <c r="I111" s="127"/>
      <c r="J111" s="12"/>
      <c r="K111" s="12"/>
      <c r="L111" s="12"/>
      <c r="M111" s="12"/>
      <c r="N111" s="12"/>
      <c r="O111" s="12"/>
      <c r="P111" s="12"/>
    </row>
    <row r="112" spans="1:16" ht="11.25">
      <c r="A112" s="97" t="s">
        <v>124</v>
      </c>
      <c r="B112" s="212">
        <v>28</v>
      </c>
      <c r="C112" s="199"/>
      <c r="D112" s="199"/>
      <c r="E112" s="15">
        <v>4327</v>
      </c>
      <c r="F112" s="15">
        <v>3320</v>
      </c>
      <c r="G112" s="205">
        <f t="shared" si="6"/>
        <v>76.72752484400277</v>
      </c>
      <c r="H112" s="12"/>
      <c r="I112" s="127"/>
      <c r="J112" s="12"/>
      <c r="K112" s="12"/>
      <c r="L112" s="12"/>
      <c r="M112" s="12"/>
      <c r="N112" s="12"/>
      <c r="O112" s="12"/>
      <c r="P112" s="12"/>
    </row>
    <row r="113" spans="1:16" ht="11.25">
      <c r="A113" s="97" t="s">
        <v>125</v>
      </c>
      <c r="B113" s="212">
        <v>29</v>
      </c>
      <c r="C113" s="199"/>
      <c r="D113" s="199"/>
      <c r="E113" s="15">
        <v>9922</v>
      </c>
      <c r="F113" s="15">
        <v>7462</v>
      </c>
      <c r="G113" s="205">
        <f t="shared" si="6"/>
        <v>75.20661157024794</v>
      </c>
      <c r="H113" s="12"/>
      <c r="I113" s="127"/>
      <c r="J113" s="12"/>
      <c r="K113" s="12"/>
      <c r="L113" s="12"/>
      <c r="M113" s="12"/>
      <c r="N113" s="12"/>
      <c r="O113" s="12"/>
      <c r="P113" s="12"/>
    </row>
    <row r="114" spans="1:16" ht="11.25">
      <c r="A114" s="97" t="s">
        <v>126</v>
      </c>
      <c r="B114" s="212">
        <v>31</v>
      </c>
      <c r="C114" s="199"/>
      <c r="D114" s="199"/>
      <c r="E114" s="15">
        <v>9536</v>
      </c>
      <c r="F114" s="15">
        <v>8730</v>
      </c>
      <c r="G114" s="205">
        <f t="shared" si="6"/>
        <v>91.54781879194631</v>
      </c>
      <c r="H114" s="12"/>
      <c r="I114" s="127"/>
      <c r="J114" s="12"/>
      <c r="K114" s="12"/>
      <c r="L114" s="12"/>
      <c r="M114" s="12"/>
      <c r="N114" s="12"/>
      <c r="O114" s="12"/>
      <c r="P114" s="12"/>
    </row>
    <row r="115" spans="1:16" ht="11.25">
      <c r="A115" s="97" t="s">
        <v>127</v>
      </c>
      <c r="B115" s="212">
        <v>33</v>
      </c>
      <c r="C115" s="199"/>
      <c r="D115" s="199"/>
      <c r="E115" s="15">
        <v>7507</v>
      </c>
      <c r="F115" s="15">
        <v>6480</v>
      </c>
      <c r="G115" s="205">
        <f t="shared" si="6"/>
        <v>86.3194351938191</v>
      </c>
      <c r="H115" s="12"/>
      <c r="I115" s="127"/>
      <c r="J115" s="12"/>
      <c r="K115" s="12"/>
      <c r="L115" s="12"/>
      <c r="M115" s="12"/>
      <c r="N115" s="12"/>
      <c r="O115" s="12"/>
      <c r="P115" s="12"/>
    </row>
    <row r="116" spans="1:16" ht="11.25">
      <c r="A116" s="97" t="s">
        <v>128</v>
      </c>
      <c r="B116" s="212">
        <v>34</v>
      </c>
      <c r="C116" s="199"/>
      <c r="D116" s="199"/>
      <c r="E116" s="15">
        <v>7534</v>
      </c>
      <c r="F116" s="15">
        <v>6600</v>
      </c>
      <c r="G116" s="205">
        <f t="shared" si="6"/>
        <v>87.60286700292009</v>
      </c>
      <c r="H116" s="12"/>
      <c r="I116" s="127"/>
      <c r="J116" s="12"/>
      <c r="K116" s="12"/>
      <c r="L116" s="12"/>
      <c r="M116" s="12"/>
      <c r="N116" s="12"/>
      <c r="O116" s="12"/>
      <c r="P116" s="12"/>
    </row>
    <row r="117" spans="1:16" ht="11.25">
      <c r="A117" s="97" t="s">
        <v>129</v>
      </c>
      <c r="B117" s="212">
        <v>35</v>
      </c>
      <c r="C117" s="199"/>
      <c r="D117" s="199"/>
      <c r="E117" s="15">
        <v>3205</v>
      </c>
      <c r="F117" s="15">
        <v>2205</v>
      </c>
      <c r="G117" s="205">
        <f t="shared" si="6"/>
        <v>68.79875195007801</v>
      </c>
      <c r="H117" s="12"/>
      <c r="I117" s="127"/>
      <c r="J117" s="12"/>
      <c r="K117" s="12"/>
      <c r="L117" s="12"/>
      <c r="M117" s="12"/>
      <c r="N117" s="12"/>
      <c r="O117" s="12"/>
      <c r="P117" s="12"/>
    </row>
    <row r="118" spans="1:16" ht="11.25">
      <c r="A118" s="97" t="s">
        <v>156</v>
      </c>
      <c r="B118" s="212" t="s">
        <v>157</v>
      </c>
      <c r="C118" s="199"/>
      <c r="D118" s="199"/>
      <c r="E118" s="15">
        <v>15268</v>
      </c>
      <c r="F118" s="15">
        <v>11638</v>
      </c>
      <c r="G118" s="205">
        <f t="shared" si="6"/>
        <v>76.22478386167147</v>
      </c>
      <c r="H118" s="12"/>
      <c r="I118" s="127"/>
      <c r="J118" s="12"/>
      <c r="K118" s="12"/>
      <c r="L118" s="12"/>
      <c r="M118" s="12"/>
      <c r="N118" s="12"/>
      <c r="O118" s="12"/>
      <c r="P118" s="12"/>
    </row>
    <row r="119" spans="1:16" ht="11.25">
      <c r="A119" s="97" t="s">
        <v>130</v>
      </c>
      <c r="B119" s="212">
        <v>37</v>
      </c>
      <c r="C119" s="199"/>
      <c r="D119" s="199"/>
      <c r="E119" s="15">
        <v>7256</v>
      </c>
      <c r="F119" s="15">
        <v>4624</v>
      </c>
      <c r="G119" s="205">
        <f t="shared" si="6"/>
        <v>63.72657111356119</v>
      </c>
      <c r="H119" s="12"/>
      <c r="I119" s="127"/>
      <c r="J119" s="12"/>
      <c r="K119" s="12"/>
      <c r="L119" s="12"/>
      <c r="M119" s="12"/>
      <c r="N119" s="12"/>
      <c r="O119" s="12"/>
      <c r="P119" s="12"/>
    </row>
    <row r="120" spans="1:16" ht="11.25">
      <c r="A120" s="97" t="s">
        <v>131</v>
      </c>
      <c r="B120" s="212">
        <v>39</v>
      </c>
      <c r="C120" s="199"/>
      <c r="D120" s="199"/>
      <c r="E120" s="15">
        <v>10716</v>
      </c>
      <c r="F120" s="15">
        <v>5345</v>
      </c>
      <c r="G120" s="205">
        <f t="shared" si="6"/>
        <v>49.87868607689436</v>
      </c>
      <c r="H120" s="12"/>
      <c r="I120" s="127"/>
      <c r="J120" s="12"/>
      <c r="K120" s="12"/>
      <c r="L120" s="12"/>
      <c r="M120" s="12"/>
      <c r="N120" s="12"/>
      <c r="O120" s="12"/>
      <c r="P120" s="12"/>
    </row>
    <row r="121" spans="1:16" ht="11.25">
      <c r="A121" s="97" t="s">
        <v>132</v>
      </c>
      <c r="B121" s="212">
        <v>40</v>
      </c>
      <c r="C121" s="199"/>
      <c r="D121" s="199"/>
      <c r="E121" s="15">
        <v>11288</v>
      </c>
      <c r="F121" s="15">
        <v>11288</v>
      </c>
      <c r="G121" s="205">
        <f t="shared" si="6"/>
        <v>100</v>
      </c>
      <c r="H121" s="12"/>
      <c r="I121" s="127"/>
      <c r="J121" s="12"/>
      <c r="K121" s="12"/>
      <c r="L121" s="12"/>
      <c r="M121" s="12"/>
      <c r="N121" s="12"/>
      <c r="O121" s="12"/>
      <c r="P121" s="12"/>
    </row>
    <row r="122" spans="1:16" ht="11.25">
      <c r="A122" s="97" t="s">
        <v>158</v>
      </c>
      <c r="B122" s="212" t="s">
        <v>159</v>
      </c>
      <c r="C122" s="199"/>
      <c r="D122" s="199"/>
      <c r="E122" s="15">
        <v>10683</v>
      </c>
      <c r="F122" s="15">
        <v>9275</v>
      </c>
      <c r="G122" s="205">
        <f t="shared" si="6"/>
        <v>86.8201815969297</v>
      </c>
      <c r="H122" s="12"/>
      <c r="I122" s="127"/>
      <c r="J122" s="12"/>
      <c r="K122" s="12"/>
      <c r="L122" s="12"/>
      <c r="M122" s="12"/>
      <c r="N122" s="12"/>
      <c r="O122" s="12"/>
      <c r="P122" s="12"/>
    </row>
    <row r="123" spans="1:16" ht="11.25">
      <c r="A123" s="97" t="s">
        <v>133</v>
      </c>
      <c r="B123" s="212">
        <v>42</v>
      </c>
      <c r="C123" s="199"/>
      <c r="D123" s="199"/>
      <c r="E123" s="15">
        <v>12889</v>
      </c>
      <c r="F123" s="15">
        <v>12439</v>
      </c>
      <c r="G123" s="205">
        <f t="shared" si="6"/>
        <v>96.50865078749321</v>
      </c>
      <c r="H123" s="12"/>
      <c r="I123" s="127"/>
      <c r="J123" s="12"/>
      <c r="K123" s="12"/>
      <c r="L123" s="12"/>
      <c r="M123" s="12"/>
      <c r="N123" s="12"/>
      <c r="O123" s="12"/>
      <c r="P123" s="12"/>
    </row>
    <row r="124" spans="1:16" ht="11.25">
      <c r="A124" s="97" t="s">
        <v>134</v>
      </c>
      <c r="B124" s="212">
        <v>43</v>
      </c>
      <c r="C124" s="199"/>
      <c r="D124" s="199"/>
      <c r="E124" s="15">
        <v>20268</v>
      </c>
      <c r="F124" s="15">
        <v>12668</v>
      </c>
      <c r="G124" s="205">
        <f t="shared" si="6"/>
        <v>62.502466942964276</v>
      </c>
      <c r="H124" s="12"/>
      <c r="I124" s="127"/>
      <c r="J124" s="12"/>
      <c r="K124" s="12"/>
      <c r="L124" s="12"/>
      <c r="M124" s="12"/>
      <c r="N124" s="12"/>
      <c r="O124" s="12"/>
      <c r="P124" s="12"/>
    </row>
    <row r="125" spans="1:16" ht="11.25">
      <c r="A125" s="97" t="s">
        <v>135</v>
      </c>
      <c r="B125" s="212">
        <v>44</v>
      </c>
      <c r="C125" s="199"/>
      <c r="D125" s="199"/>
      <c r="E125" s="15">
        <v>12279</v>
      </c>
      <c r="F125" s="15">
        <v>11929</v>
      </c>
      <c r="G125" s="205">
        <f t="shared" si="6"/>
        <v>97.14960501669518</v>
      </c>
      <c r="H125" s="12"/>
      <c r="I125" s="127"/>
      <c r="J125" s="12"/>
      <c r="K125" s="12"/>
      <c r="L125" s="12"/>
      <c r="M125" s="12"/>
      <c r="N125" s="12"/>
      <c r="O125" s="12"/>
      <c r="P125" s="12"/>
    </row>
    <row r="126" spans="1:16" ht="11.25">
      <c r="A126" s="97" t="s">
        <v>136</v>
      </c>
      <c r="B126" s="212">
        <v>45</v>
      </c>
      <c r="C126" s="199"/>
      <c r="D126" s="199"/>
      <c r="E126" s="15">
        <v>8880</v>
      </c>
      <c r="F126" s="15">
        <v>5353</v>
      </c>
      <c r="G126" s="205">
        <f t="shared" si="6"/>
        <v>60.28153153153153</v>
      </c>
      <c r="H126" s="12"/>
      <c r="I126" s="127"/>
      <c r="J126" s="12"/>
      <c r="K126" s="12"/>
      <c r="L126" s="12"/>
      <c r="M126" s="12"/>
      <c r="N126" s="12"/>
      <c r="O126" s="12"/>
      <c r="P126" s="12"/>
    </row>
    <row r="127" spans="1:16" ht="11.25">
      <c r="A127" s="97" t="s">
        <v>137</v>
      </c>
      <c r="B127" s="212">
        <v>46</v>
      </c>
      <c r="C127" s="199"/>
      <c r="D127" s="199"/>
      <c r="E127" s="15">
        <v>9578</v>
      </c>
      <c r="F127" s="15">
        <v>9482</v>
      </c>
      <c r="G127" s="205">
        <f t="shared" si="6"/>
        <v>98.99770306953435</v>
      </c>
      <c r="H127" s="12"/>
      <c r="I127" s="127"/>
      <c r="J127" s="12"/>
      <c r="K127" s="12"/>
      <c r="L127" s="12"/>
      <c r="M127" s="12"/>
      <c r="N127" s="12"/>
      <c r="O127" s="12"/>
      <c r="P127" s="12"/>
    </row>
    <row r="128" spans="1:16" ht="11.25">
      <c r="A128" s="97" t="s">
        <v>138</v>
      </c>
      <c r="B128" s="212">
        <v>47</v>
      </c>
      <c r="C128" s="199"/>
      <c r="D128" s="199"/>
      <c r="E128" s="15">
        <v>20168</v>
      </c>
      <c r="F128" s="15">
        <v>19011</v>
      </c>
      <c r="G128" s="205">
        <f t="shared" si="6"/>
        <v>94.2631892106307</v>
      </c>
      <c r="H128" s="12"/>
      <c r="I128" s="127"/>
      <c r="J128" s="12"/>
      <c r="K128" s="12"/>
      <c r="L128" s="12"/>
      <c r="M128" s="12"/>
      <c r="N128" s="12"/>
      <c r="O128" s="12"/>
      <c r="P128" s="12"/>
    </row>
    <row r="129" spans="1:16" ht="11.25">
      <c r="A129" s="97" t="s">
        <v>139</v>
      </c>
      <c r="B129" s="212">
        <v>48</v>
      </c>
      <c r="C129" s="199"/>
      <c r="D129" s="199"/>
      <c r="E129" s="15">
        <v>7521</v>
      </c>
      <c r="F129" s="15">
        <v>4850</v>
      </c>
      <c r="G129" s="205">
        <f t="shared" si="6"/>
        <v>64.48610557106768</v>
      </c>
      <c r="H129" s="12"/>
      <c r="I129" s="127"/>
      <c r="J129" s="12"/>
      <c r="K129" s="12"/>
      <c r="L129" s="12"/>
      <c r="M129" s="12"/>
      <c r="N129" s="12"/>
      <c r="O129" s="12"/>
      <c r="P129" s="12"/>
    </row>
    <row r="130" spans="1:16" ht="11.25">
      <c r="A130" s="98" t="s">
        <v>175</v>
      </c>
      <c r="B130" s="199"/>
      <c r="C130" s="199"/>
      <c r="D130" s="199"/>
      <c r="E130" s="12">
        <f>SUM(E93:E129)</f>
        <v>325838</v>
      </c>
      <c r="F130" s="12">
        <f>SUM(F93:F129)</f>
        <v>268377</v>
      </c>
      <c r="G130" s="126">
        <f t="shared" si="6"/>
        <v>82.36516305648819</v>
      </c>
      <c r="H130" s="12">
        <f aca="true" t="shared" si="9" ref="H130:P130">SUM(H93:H129)</f>
        <v>0</v>
      </c>
      <c r="I130" s="127">
        <f t="shared" si="9"/>
        <v>0</v>
      </c>
      <c r="J130" s="12">
        <f t="shared" si="9"/>
        <v>0</v>
      </c>
      <c r="K130" s="12">
        <f t="shared" si="9"/>
        <v>0</v>
      </c>
      <c r="L130" s="12">
        <f t="shared" si="9"/>
        <v>0</v>
      </c>
      <c r="M130" s="12">
        <f t="shared" si="9"/>
        <v>0</v>
      </c>
      <c r="N130" s="12">
        <f t="shared" si="9"/>
        <v>0</v>
      </c>
      <c r="O130" s="12">
        <f t="shared" si="9"/>
        <v>0</v>
      </c>
      <c r="P130" s="12">
        <f t="shared" si="9"/>
        <v>0</v>
      </c>
    </row>
    <row r="131" spans="1:16" ht="11.25">
      <c r="A131" s="97" t="s">
        <v>144</v>
      </c>
      <c r="B131" s="212" t="s">
        <v>144</v>
      </c>
      <c r="C131" s="15"/>
      <c r="D131" s="15"/>
      <c r="E131" s="15">
        <v>120105</v>
      </c>
      <c r="F131" s="15">
        <f>2997+116425</f>
        <v>119422</v>
      </c>
      <c r="G131" s="205">
        <f t="shared" si="6"/>
        <v>99.43133091877941</v>
      </c>
      <c r="H131" s="15">
        <v>89068</v>
      </c>
      <c r="I131" s="206">
        <v>6688</v>
      </c>
      <c r="J131" s="15">
        <v>14624</v>
      </c>
      <c r="K131" s="15">
        <v>1924</v>
      </c>
      <c r="L131" s="15"/>
      <c r="M131" s="15"/>
      <c r="N131" s="15">
        <v>4120</v>
      </c>
      <c r="O131" s="15"/>
      <c r="P131" s="15"/>
    </row>
    <row r="132" spans="1:16" ht="11.25">
      <c r="A132" s="97" t="s">
        <v>145</v>
      </c>
      <c r="B132" s="212" t="s">
        <v>145</v>
      </c>
      <c r="C132" s="15"/>
      <c r="D132" s="15"/>
      <c r="E132" s="15">
        <v>107361</v>
      </c>
      <c r="F132" s="15">
        <f>2929+98170</f>
        <v>101099</v>
      </c>
      <c r="G132" s="205">
        <f t="shared" si="6"/>
        <v>94.1673419584393</v>
      </c>
      <c r="H132" s="15">
        <v>58824</v>
      </c>
      <c r="I132" s="206">
        <v>4560</v>
      </c>
      <c r="J132" s="15">
        <v>8006</v>
      </c>
      <c r="K132" s="15">
        <v>1389</v>
      </c>
      <c r="L132" s="15">
        <v>21317</v>
      </c>
      <c r="M132" s="15"/>
      <c r="N132" s="15">
        <v>2575</v>
      </c>
      <c r="O132" s="15"/>
      <c r="P132" s="15"/>
    </row>
    <row r="133" spans="1:16" ht="11.25">
      <c r="A133" s="97" t="s">
        <v>110</v>
      </c>
      <c r="B133" s="212">
        <v>6</v>
      </c>
      <c r="C133" s="15"/>
      <c r="D133" s="15"/>
      <c r="E133" s="15">
        <v>153437</v>
      </c>
      <c r="F133" s="15">
        <v>151485</v>
      </c>
      <c r="G133" s="205">
        <f aca="true" t="shared" si="10" ref="G133:G196">F133/E133*100</f>
        <v>98.72781662832303</v>
      </c>
      <c r="H133" s="15">
        <v>100033</v>
      </c>
      <c r="I133" s="206">
        <v>7185</v>
      </c>
      <c r="J133" s="15">
        <v>15832</v>
      </c>
      <c r="K133" s="15">
        <v>2271</v>
      </c>
      <c r="L133" s="15">
        <v>13130</v>
      </c>
      <c r="M133" s="15">
        <v>1699</v>
      </c>
      <c r="N133" s="15">
        <v>4635</v>
      </c>
      <c r="O133" s="15"/>
      <c r="P133" s="15"/>
    </row>
    <row r="134" spans="1:16" ht="11.25">
      <c r="A134" s="97" t="s">
        <v>146</v>
      </c>
      <c r="B134" s="212" t="s">
        <v>146</v>
      </c>
      <c r="C134" s="15"/>
      <c r="D134" s="15"/>
      <c r="E134" s="15">
        <v>81526</v>
      </c>
      <c r="F134" s="15">
        <v>81008</v>
      </c>
      <c r="G134" s="205">
        <f t="shared" si="10"/>
        <v>99.36461987586782</v>
      </c>
      <c r="H134" s="15">
        <v>60196</v>
      </c>
      <c r="I134" s="206">
        <v>4424</v>
      </c>
      <c r="J134" s="15">
        <v>9221</v>
      </c>
      <c r="K134" s="15">
        <v>964</v>
      </c>
      <c r="L134" s="15">
        <v>2718</v>
      </c>
      <c r="M134" s="15"/>
      <c r="N134" s="15">
        <v>2575</v>
      </c>
      <c r="O134" s="15"/>
      <c r="P134" s="15"/>
    </row>
    <row r="135" spans="1:16" ht="11.25">
      <c r="A135" s="97" t="s">
        <v>111</v>
      </c>
      <c r="B135" s="212">
        <v>8</v>
      </c>
      <c r="C135" s="15"/>
      <c r="D135" s="15"/>
      <c r="E135" s="15">
        <v>145949</v>
      </c>
      <c r="F135" s="15">
        <v>144640</v>
      </c>
      <c r="G135" s="205">
        <f t="shared" si="10"/>
        <v>99.10311136081782</v>
      </c>
      <c r="H135" s="15">
        <v>114046</v>
      </c>
      <c r="I135" s="206">
        <v>8209</v>
      </c>
      <c r="J135" s="15">
        <v>13050</v>
      </c>
      <c r="K135" s="15">
        <v>2724</v>
      </c>
      <c r="L135" s="15"/>
      <c r="M135" s="15"/>
      <c r="N135" s="15">
        <v>4635</v>
      </c>
      <c r="O135" s="15"/>
      <c r="P135" s="15"/>
    </row>
    <row r="136" spans="1:16" ht="11.25">
      <c r="A136" s="97" t="s">
        <v>112</v>
      </c>
      <c r="B136" s="212">
        <v>10</v>
      </c>
      <c r="C136" s="15"/>
      <c r="D136" s="15"/>
      <c r="E136" s="15">
        <v>182113</v>
      </c>
      <c r="F136" s="15">
        <v>179490</v>
      </c>
      <c r="G136" s="205">
        <f t="shared" si="10"/>
        <v>98.55968547001038</v>
      </c>
      <c r="H136" s="15">
        <v>113260</v>
      </c>
      <c r="I136" s="206">
        <v>9389</v>
      </c>
      <c r="J136" s="15">
        <v>18072</v>
      </c>
      <c r="K136" s="15">
        <v>2919</v>
      </c>
      <c r="L136" s="15">
        <v>23712</v>
      </c>
      <c r="M136" s="15"/>
      <c r="N136" s="15">
        <v>5150</v>
      </c>
      <c r="O136" s="15"/>
      <c r="P136" s="15"/>
    </row>
    <row r="137" spans="1:16" ht="11.25">
      <c r="A137" s="97" t="s">
        <v>113</v>
      </c>
      <c r="B137" s="212">
        <v>11</v>
      </c>
      <c r="C137" s="15"/>
      <c r="D137" s="15"/>
      <c r="E137" s="15">
        <v>108307</v>
      </c>
      <c r="F137" s="15">
        <v>106658</v>
      </c>
      <c r="G137" s="205">
        <f t="shared" si="10"/>
        <v>98.47747606341234</v>
      </c>
      <c r="H137" s="15">
        <v>78371</v>
      </c>
      <c r="I137" s="206">
        <v>5509</v>
      </c>
      <c r="J137" s="15">
        <v>12638</v>
      </c>
      <c r="K137" s="15">
        <v>1753</v>
      </c>
      <c r="L137" s="15">
        <v>3747</v>
      </c>
      <c r="M137" s="15"/>
      <c r="N137" s="15">
        <v>4120</v>
      </c>
      <c r="O137" s="15"/>
      <c r="P137" s="15"/>
    </row>
    <row r="138" spans="1:16" ht="11.25">
      <c r="A138" s="97" t="s">
        <v>114</v>
      </c>
      <c r="B138" s="212">
        <v>12</v>
      </c>
      <c r="C138" s="15"/>
      <c r="D138" s="15"/>
      <c r="E138" s="15">
        <v>191340</v>
      </c>
      <c r="F138" s="15">
        <v>189905</v>
      </c>
      <c r="G138" s="205">
        <f t="shared" si="10"/>
        <v>99.25002613149367</v>
      </c>
      <c r="H138" s="15">
        <v>137129</v>
      </c>
      <c r="I138" s="206">
        <v>9241</v>
      </c>
      <c r="J138" s="15">
        <v>20067</v>
      </c>
      <c r="K138" s="15">
        <v>1912</v>
      </c>
      <c r="L138" s="15">
        <v>12221</v>
      </c>
      <c r="M138" s="15">
        <v>1653</v>
      </c>
      <c r="N138" s="15">
        <v>5150</v>
      </c>
      <c r="O138" s="15"/>
      <c r="P138" s="15"/>
    </row>
    <row r="139" spans="1:16" ht="11.25">
      <c r="A139" s="97" t="s">
        <v>115</v>
      </c>
      <c r="B139" s="212">
        <v>13</v>
      </c>
      <c r="C139" s="15"/>
      <c r="D139" s="15"/>
      <c r="E139" s="15">
        <v>96123</v>
      </c>
      <c r="F139" s="15">
        <v>95761</v>
      </c>
      <c r="G139" s="205">
        <f t="shared" si="10"/>
        <v>99.62339918645901</v>
      </c>
      <c r="H139" s="15">
        <v>68845</v>
      </c>
      <c r="I139" s="206">
        <v>4436</v>
      </c>
      <c r="J139" s="15">
        <v>10602</v>
      </c>
      <c r="K139" s="15">
        <v>1243</v>
      </c>
      <c r="L139" s="15">
        <v>4915</v>
      </c>
      <c r="M139" s="15"/>
      <c r="N139" s="15">
        <v>2575</v>
      </c>
      <c r="O139" s="15"/>
      <c r="P139" s="15"/>
    </row>
    <row r="140" spans="1:16" ht="11.25">
      <c r="A140" s="97" t="s">
        <v>150</v>
      </c>
      <c r="B140" s="212">
        <v>14</v>
      </c>
      <c r="C140" s="15"/>
      <c r="D140" s="15"/>
      <c r="E140" s="15">
        <v>184965</v>
      </c>
      <c r="F140" s="15">
        <v>184927</v>
      </c>
      <c r="G140" s="205">
        <f t="shared" si="10"/>
        <v>99.97945557267592</v>
      </c>
      <c r="H140" s="15">
        <v>124067</v>
      </c>
      <c r="I140" s="206">
        <v>9249</v>
      </c>
      <c r="J140" s="15">
        <v>19186</v>
      </c>
      <c r="K140" s="15">
        <v>2779</v>
      </c>
      <c r="L140" s="15">
        <v>24497</v>
      </c>
      <c r="M140" s="15"/>
      <c r="N140" s="15">
        <v>5150</v>
      </c>
      <c r="O140" s="15"/>
      <c r="P140" s="15"/>
    </row>
    <row r="141" spans="1:16" ht="11.25">
      <c r="A141" s="97" t="s">
        <v>117</v>
      </c>
      <c r="B141" s="212">
        <v>16</v>
      </c>
      <c r="C141" s="15"/>
      <c r="D141" s="15"/>
      <c r="E141" s="15">
        <v>109574</v>
      </c>
      <c r="F141" s="15">
        <f>3000+106110</f>
        <v>109110</v>
      </c>
      <c r="G141" s="205">
        <f t="shared" si="10"/>
        <v>99.57654188037309</v>
      </c>
      <c r="H141" s="15">
        <v>77595</v>
      </c>
      <c r="I141" s="206">
        <v>4365</v>
      </c>
      <c r="J141" s="15">
        <v>12241</v>
      </c>
      <c r="K141" s="15">
        <v>1974</v>
      </c>
      <c r="L141" s="15">
        <v>2130</v>
      </c>
      <c r="M141" s="15"/>
      <c r="N141" s="15">
        <v>3605</v>
      </c>
      <c r="O141" s="15"/>
      <c r="P141" s="15"/>
    </row>
    <row r="142" spans="1:16" ht="15" customHeight="1">
      <c r="A142" s="97" t="s">
        <v>118</v>
      </c>
      <c r="B142" s="212">
        <v>17</v>
      </c>
      <c r="C142" s="15"/>
      <c r="D142" s="15"/>
      <c r="E142" s="15">
        <v>135037</v>
      </c>
      <c r="F142" s="15">
        <v>132665</v>
      </c>
      <c r="G142" s="205">
        <f t="shared" si="10"/>
        <v>98.24344438931553</v>
      </c>
      <c r="H142" s="15">
        <v>91370</v>
      </c>
      <c r="I142" s="206">
        <v>6922</v>
      </c>
      <c r="J142" s="15">
        <v>14891</v>
      </c>
      <c r="K142" s="15">
        <v>1131</v>
      </c>
      <c r="L142" s="15">
        <v>6577</v>
      </c>
      <c r="M142" s="15">
        <v>1241</v>
      </c>
      <c r="N142" s="15">
        <v>3863</v>
      </c>
      <c r="O142" s="15"/>
      <c r="P142" s="15"/>
    </row>
    <row r="143" spans="1:16" ht="13.5" customHeight="1">
      <c r="A143" s="97" t="s">
        <v>119</v>
      </c>
      <c r="B143" s="212">
        <v>18</v>
      </c>
      <c r="C143" s="15"/>
      <c r="D143" s="15"/>
      <c r="E143" s="15">
        <v>151907</v>
      </c>
      <c r="F143" s="15">
        <v>151703</v>
      </c>
      <c r="G143" s="205">
        <f t="shared" si="10"/>
        <v>99.86570730776066</v>
      </c>
      <c r="H143" s="15">
        <v>114487</v>
      </c>
      <c r="I143" s="206">
        <v>8710</v>
      </c>
      <c r="J143" s="15">
        <v>18342</v>
      </c>
      <c r="K143" s="15">
        <v>2571</v>
      </c>
      <c r="L143" s="15"/>
      <c r="M143" s="15"/>
      <c r="N143" s="15">
        <v>4893</v>
      </c>
      <c r="O143" s="15"/>
      <c r="P143" s="15"/>
    </row>
    <row r="144" spans="1:16" ht="11.25">
      <c r="A144" s="97" t="s">
        <v>120</v>
      </c>
      <c r="B144" s="212">
        <v>20</v>
      </c>
      <c r="C144" s="212"/>
      <c r="D144" s="212"/>
      <c r="E144" s="15">
        <v>108467</v>
      </c>
      <c r="F144" s="15">
        <v>106462</v>
      </c>
      <c r="G144" s="205">
        <f t="shared" si="10"/>
        <v>98.15151151963269</v>
      </c>
      <c r="H144" s="96">
        <v>76420</v>
      </c>
      <c r="I144" s="214">
        <v>5491</v>
      </c>
      <c r="J144" s="96">
        <v>10147</v>
      </c>
      <c r="K144" s="96">
        <v>1637</v>
      </c>
      <c r="L144" s="96">
        <v>2024</v>
      </c>
      <c r="M144" s="96">
        <v>977</v>
      </c>
      <c r="N144" s="96">
        <v>3348</v>
      </c>
      <c r="O144" s="96"/>
      <c r="P144" s="96"/>
    </row>
    <row r="145" spans="1:16" ht="11.25">
      <c r="A145" s="97" t="s">
        <v>121</v>
      </c>
      <c r="B145" s="212">
        <v>21</v>
      </c>
      <c r="C145" s="212"/>
      <c r="D145" s="212"/>
      <c r="E145" s="15">
        <v>148239</v>
      </c>
      <c r="F145" s="15">
        <v>148120</v>
      </c>
      <c r="G145" s="205">
        <f t="shared" si="10"/>
        <v>99.9197242291165</v>
      </c>
      <c r="H145" s="96">
        <v>114996</v>
      </c>
      <c r="I145" s="214">
        <v>8274</v>
      </c>
      <c r="J145" s="96">
        <v>11381</v>
      </c>
      <c r="K145" s="96">
        <v>2008</v>
      </c>
      <c r="L145" s="96">
        <v>2326</v>
      </c>
      <c r="M145" s="96">
        <v>1000</v>
      </c>
      <c r="N145" s="96">
        <v>4635</v>
      </c>
      <c r="O145" s="96"/>
      <c r="P145" s="96"/>
    </row>
    <row r="146" spans="1:16" ht="11.25">
      <c r="A146" s="97" t="s">
        <v>122</v>
      </c>
      <c r="B146" s="212">
        <v>23</v>
      </c>
      <c r="C146" s="212"/>
      <c r="D146" s="212"/>
      <c r="E146" s="15">
        <v>109813</v>
      </c>
      <c r="F146" s="15">
        <v>109742</v>
      </c>
      <c r="G146" s="205">
        <f t="shared" si="10"/>
        <v>99.93534463132781</v>
      </c>
      <c r="H146" s="15">
        <v>78800</v>
      </c>
      <c r="I146" s="206">
        <v>5617</v>
      </c>
      <c r="J146" s="15">
        <v>11810</v>
      </c>
      <c r="K146" s="15">
        <v>985</v>
      </c>
      <c r="L146" s="15">
        <v>6444</v>
      </c>
      <c r="M146" s="15"/>
      <c r="N146" s="15">
        <v>3090</v>
      </c>
      <c r="O146" s="15"/>
      <c r="P146" s="15"/>
    </row>
    <row r="147" spans="1:16" ht="11.25">
      <c r="A147" s="97" t="s">
        <v>123</v>
      </c>
      <c r="B147" s="212">
        <v>26</v>
      </c>
      <c r="C147" s="212"/>
      <c r="D147" s="212"/>
      <c r="E147" s="15">
        <v>122102</v>
      </c>
      <c r="F147" s="15">
        <f>3000+118767</f>
        <v>121767</v>
      </c>
      <c r="G147" s="205">
        <f t="shared" si="10"/>
        <v>99.7256392196688</v>
      </c>
      <c r="H147" s="15">
        <v>85412</v>
      </c>
      <c r="I147" s="206">
        <v>7281</v>
      </c>
      <c r="J147" s="15">
        <v>13267</v>
      </c>
      <c r="K147" s="15">
        <v>2140</v>
      </c>
      <c r="L147" s="15">
        <v>6654</v>
      </c>
      <c r="M147" s="15"/>
      <c r="N147" s="15">
        <v>3605</v>
      </c>
      <c r="O147" s="15"/>
      <c r="P147" s="15"/>
    </row>
    <row r="148" spans="1:16" ht="11.25">
      <c r="A148" s="97" t="s">
        <v>154</v>
      </c>
      <c r="B148" s="212" t="s">
        <v>154</v>
      </c>
      <c r="C148" s="212"/>
      <c r="D148" s="212"/>
      <c r="E148" s="15">
        <v>87601</v>
      </c>
      <c r="F148" s="15">
        <v>87529</v>
      </c>
      <c r="G148" s="205">
        <f t="shared" si="10"/>
        <v>99.9178091574297</v>
      </c>
      <c r="H148" s="15">
        <v>61098</v>
      </c>
      <c r="I148" s="206">
        <v>4352</v>
      </c>
      <c r="J148" s="15">
        <v>9040</v>
      </c>
      <c r="K148" s="15">
        <v>1464</v>
      </c>
      <c r="L148" s="15">
        <v>5000</v>
      </c>
      <c r="M148" s="15"/>
      <c r="N148" s="15">
        <v>2575</v>
      </c>
      <c r="O148" s="15"/>
      <c r="P148" s="15"/>
    </row>
    <row r="149" spans="1:16" ht="11.25">
      <c r="A149" s="97" t="s">
        <v>124</v>
      </c>
      <c r="B149" s="212">
        <v>28</v>
      </c>
      <c r="C149" s="212"/>
      <c r="D149" s="212"/>
      <c r="E149" s="15">
        <v>142701</v>
      </c>
      <c r="F149" s="15">
        <v>142363</v>
      </c>
      <c r="G149" s="205">
        <f t="shared" si="10"/>
        <v>99.76314111323677</v>
      </c>
      <c r="H149" s="15">
        <v>105226</v>
      </c>
      <c r="I149" s="206">
        <v>7621</v>
      </c>
      <c r="J149" s="15">
        <v>16532</v>
      </c>
      <c r="K149" s="15">
        <v>2674</v>
      </c>
      <c r="L149" s="15">
        <v>5197</v>
      </c>
      <c r="M149" s="15"/>
      <c r="N149" s="15">
        <v>4120</v>
      </c>
      <c r="O149" s="15"/>
      <c r="P149" s="15"/>
    </row>
    <row r="150" spans="1:16" ht="11.25">
      <c r="A150" s="97" t="s">
        <v>125</v>
      </c>
      <c r="B150" s="212">
        <v>29</v>
      </c>
      <c r="C150" s="212"/>
      <c r="D150" s="212"/>
      <c r="E150" s="15">
        <v>135305</v>
      </c>
      <c r="F150" s="15">
        <f>5048+129784</f>
        <v>134832</v>
      </c>
      <c r="G150" s="205">
        <f t="shared" si="10"/>
        <v>99.65041942278556</v>
      </c>
      <c r="H150" s="15">
        <v>86701</v>
      </c>
      <c r="I150" s="206">
        <v>6672</v>
      </c>
      <c r="J150" s="15">
        <v>13745</v>
      </c>
      <c r="K150" s="15">
        <v>1294</v>
      </c>
      <c r="L150" s="15">
        <v>9767</v>
      </c>
      <c r="M150" s="15"/>
      <c r="N150" s="15">
        <v>3605</v>
      </c>
      <c r="O150" s="15"/>
      <c r="P150" s="15"/>
    </row>
    <row r="151" spans="1:16" ht="11.25">
      <c r="A151" s="97" t="s">
        <v>126</v>
      </c>
      <c r="B151" s="212">
        <v>31</v>
      </c>
      <c r="C151" s="212"/>
      <c r="D151" s="212"/>
      <c r="E151" s="15">
        <v>219395</v>
      </c>
      <c r="F151" s="15">
        <v>208056</v>
      </c>
      <c r="G151" s="205">
        <f t="shared" si="10"/>
        <v>94.83169625561202</v>
      </c>
      <c r="H151" s="15">
        <v>134872</v>
      </c>
      <c r="I151" s="206">
        <v>10027</v>
      </c>
      <c r="J151" s="15">
        <v>21507</v>
      </c>
      <c r="K151" s="15">
        <v>2242</v>
      </c>
      <c r="L151" s="15">
        <v>15025</v>
      </c>
      <c r="M151" s="15">
        <v>1000</v>
      </c>
      <c r="N151" s="15">
        <v>5665</v>
      </c>
      <c r="O151" s="15"/>
      <c r="P151" s="15">
        <v>8479</v>
      </c>
    </row>
    <row r="152" spans="1:16" ht="11.25">
      <c r="A152" s="97" t="s">
        <v>127</v>
      </c>
      <c r="B152" s="212">
        <v>33</v>
      </c>
      <c r="C152" s="212"/>
      <c r="D152" s="212"/>
      <c r="E152" s="15">
        <v>175531</v>
      </c>
      <c r="F152" s="15">
        <v>175213</v>
      </c>
      <c r="G152" s="205">
        <f t="shared" si="10"/>
        <v>99.81883541938461</v>
      </c>
      <c r="H152" s="15">
        <v>131009</v>
      </c>
      <c r="I152" s="206">
        <v>9284</v>
      </c>
      <c r="J152" s="15">
        <v>19398</v>
      </c>
      <c r="K152" s="15">
        <v>2100</v>
      </c>
      <c r="L152" s="15"/>
      <c r="M152" s="15">
        <v>1771</v>
      </c>
      <c r="N152" s="15">
        <v>5150</v>
      </c>
      <c r="O152" s="15"/>
      <c r="P152" s="15"/>
    </row>
    <row r="153" spans="1:16" ht="11.25">
      <c r="A153" s="97" t="s">
        <v>128</v>
      </c>
      <c r="B153" s="212">
        <v>34</v>
      </c>
      <c r="C153" s="212"/>
      <c r="D153" s="212"/>
      <c r="E153" s="15">
        <v>117800</v>
      </c>
      <c r="F153" s="15">
        <v>116504</v>
      </c>
      <c r="G153" s="205">
        <f t="shared" si="10"/>
        <v>98.89983022071307</v>
      </c>
      <c r="H153" s="15">
        <v>87484</v>
      </c>
      <c r="I153" s="206">
        <v>6312</v>
      </c>
      <c r="J153" s="15">
        <v>13880</v>
      </c>
      <c r="K153" s="15">
        <v>1761</v>
      </c>
      <c r="L153" s="15"/>
      <c r="M153" s="15"/>
      <c r="N153" s="15">
        <v>3863</v>
      </c>
      <c r="O153" s="15"/>
      <c r="P153" s="15"/>
    </row>
    <row r="154" spans="1:16" ht="11.25">
      <c r="A154" s="97" t="s">
        <v>129</v>
      </c>
      <c r="B154" s="212">
        <v>35</v>
      </c>
      <c r="C154" s="212"/>
      <c r="D154" s="212"/>
      <c r="E154" s="15">
        <v>160048</v>
      </c>
      <c r="F154" s="15">
        <f>7000+152265</f>
        <v>159265</v>
      </c>
      <c r="G154" s="205">
        <f t="shared" si="10"/>
        <v>99.51077176846947</v>
      </c>
      <c r="H154" s="15">
        <v>100258</v>
      </c>
      <c r="I154" s="206">
        <v>7933</v>
      </c>
      <c r="J154" s="15">
        <v>16424</v>
      </c>
      <c r="K154" s="15">
        <v>1199.13</v>
      </c>
      <c r="L154" s="15">
        <v>3906</v>
      </c>
      <c r="M154" s="15">
        <v>700</v>
      </c>
      <c r="N154" s="15">
        <v>4120</v>
      </c>
      <c r="O154" s="15"/>
      <c r="P154" s="15">
        <v>14000</v>
      </c>
    </row>
    <row r="155" spans="1:16" ht="11.25">
      <c r="A155" s="97" t="s">
        <v>156</v>
      </c>
      <c r="B155" s="212" t="s">
        <v>157</v>
      </c>
      <c r="C155" s="212"/>
      <c r="D155" s="212"/>
      <c r="E155" s="15">
        <v>105399</v>
      </c>
      <c r="F155" s="15">
        <f>2971+101627</f>
        <v>104598</v>
      </c>
      <c r="G155" s="205">
        <f t="shared" si="10"/>
        <v>99.24003074032962</v>
      </c>
      <c r="H155" s="15">
        <v>77061</v>
      </c>
      <c r="I155" s="206">
        <v>5761</v>
      </c>
      <c r="J155" s="15">
        <v>11001</v>
      </c>
      <c r="K155" s="15">
        <v>1436</v>
      </c>
      <c r="L155" s="15">
        <v>3021</v>
      </c>
      <c r="M155" s="15"/>
      <c r="N155" s="15">
        <v>3348</v>
      </c>
      <c r="O155" s="15"/>
      <c r="P155" s="15"/>
    </row>
    <row r="156" spans="1:16" ht="11.25">
      <c r="A156" s="97" t="s">
        <v>131</v>
      </c>
      <c r="B156" s="212">
        <v>39</v>
      </c>
      <c r="C156" s="212"/>
      <c r="D156" s="212"/>
      <c r="E156" s="15">
        <v>172569</v>
      </c>
      <c r="F156" s="15">
        <v>160077</v>
      </c>
      <c r="G156" s="205">
        <f t="shared" si="10"/>
        <v>92.76115640700242</v>
      </c>
      <c r="H156" s="15">
        <v>121198</v>
      </c>
      <c r="I156" s="206">
        <v>9159</v>
      </c>
      <c r="J156" s="15">
        <v>19283</v>
      </c>
      <c r="K156" s="15">
        <v>1912</v>
      </c>
      <c r="L156" s="15"/>
      <c r="M156" s="15"/>
      <c r="N156" s="15">
        <v>5150</v>
      </c>
      <c r="O156" s="15"/>
      <c r="P156" s="15"/>
    </row>
    <row r="157" spans="1:16" ht="11.25">
      <c r="A157" s="97" t="s">
        <v>132</v>
      </c>
      <c r="B157" s="212">
        <v>40</v>
      </c>
      <c r="C157" s="212"/>
      <c r="D157" s="212"/>
      <c r="E157" s="15">
        <v>208349</v>
      </c>
      <c r="F157" s="15">
        <f>4000+199813</f>
        <v>203813</v>
      </c>
      <c r="G157" s="205">
        <f t="shared" si="10"/>
        <v>97.82288371914431</v>
      </c>
      <c r="H157" s="15">
        <v>132142</v>
      </c>
      <c r="I157" s="206">
        <v>9159</v>
      </c>
      <c r="J157" s="15">
        <v>20379</v>
      </c>
      <c r="K157" s="15">
        <v>2710</v>
      </c>
      <c r="L157" s="15">
        <v>18250</v>
      </c>
      <c r="M157" s="15">
        <v>1944</v>
      </c>
      <c r="N157" s="15">
        <v>6180</v>
      </c>
      <c r="O157" s="15"/>
      <c r="P157" s="15"/>
    </row>
    <row r="158" spans="1:16" ht="11.25">
      <c r="A158" s="97" t="s">
        <v>158</v>
      </c>
      <c r="B158" s="212" t="s">
        <v>159</v>
      </c>
      <c r="C158" s="212"/>
      <c r="D158" s="212"/>
      <c r="E158" s="15">
        <v>86815</v>
      </c>
      <c r="F158" s="15">
        <v>86237</v>
      </c>
      <c r="G158" s="205">
        <f t="shared" si="10"/>
        <v>99.33421643725163</v>
      </c>
      <c r="H158" s="15">
        <v>64922</v>
      </c>
      <c r="I158" s="206">
        <v>4991</v>
      </c>
      <c r="J158" s="15">
        <v>10447</v>
      </c>
      <c r="K158" s="15">
        <v>969</v>
      </c>
      <c r="L158" s="15">
        <v>2076</v>
      </c>
      <c r="M158" s="15"/>
      <c r="N158" s="15">
        <v>2833</v>
      </c>
      <c r="O158" s="15"/>
      <c r="P158" s="15"/>
    </row>
    <row r="159" spans="1:16" ht="11.25">
      <c r="A159" s="97" t="s">
        <v>133</v>
      </c>
      <c r="B159" s="212">
        <v>42</v>
      </c>
      <c r="C159" s="212"/>
      <c r="D159" s="212"/>
      <c r="E159" s="15">
        <v>159831</v>
      </c>
      <c r="F159" s="15">
        <f>2000+156567</f>
        <v>158567</v>
      </c>
      <c r="G159" s="205">
        <f t="shared" si="10"/>
        <v>99.20916468019345</v>
      </c>
      <c r="H159" s="15">
        <v>113473</v>
      </c>
      <c r="I159" s="206">
        <v>8207</v>
      </c>
      <c r="J159" s="15">
        <v>16500</v>
      </c>
      <c r="K159" s="15">
        <v>1503</v>
      </c>
      <c r="L159" s="15">
        <v>2812</v>
      </c>
      <c r="M159" s="15"/>
      <c r="N159" s="15">
        <v>4378</v>
      </c>
      <c r="O159" s="15"/>
      <c r="P159" s="15">
        <v>9694</v>
      </c>
    </row>
    <row r="160" spans="1:16" ht="11.25">
      <c r="A160" s="97" t="s">
        <v>134</v>
      </c>
      <c r="B160" s="212">
        <v>43</v>
      </c>
      <c r="C160" s="212"/>
      <c r="D160" s="212"/>
      <c r="E160" s="15">
        <v>165140</v>
      </c>
      <c r="F160" s="15">
        <v>165130</v>
      </c>
      <c r="G160" s="205">
        <f t="shared" si="10"/>
        <v>99.99394453191232</v>
      </c>
      <c r="H160" s="15">
        <v>125975</v>
      </c>
      <c r="I160" s="206">
        <v>8143</v>
      </c>
      <c r="J160" s="15">
        <v>18695</v>
      </c>
      <c r="K160" s="15">
        <v>3167</v>
      </c>
      <c r="L160" s="15"/>
      <c r="M160" s="15"/>
      <c r="N160" s="15">
        <v>5150</v>
      </c>
      <c r="O160" s="15"/>
      <c r="P160" s="15"/>
    </row>
    <row r="161" spans="1:16" ht="11.25">
      <c r="A161" s="97" t="s">
        <v>135</v>
      </c>
      <c r="B161" s="212">
        <v>44</v>
      </c>
      <c r="C161" s="212"/>
      <c r="D161" s="212"/>
      <c r="E161" s="15">
        <v>129469</v>
      </c>
      <c r="F161" s="15">
        <v>128892</v>
      </c>
      <c r="G161" s="205">
        <f t="shared" si="10"/>
        <v>99.55433346978813</v>
      </c>
      <c r="H161" s="15">
        <v>90431</v>
      </c>
      <c r="I161" s="206">
        <v>6843</v>
      </c>
      <c r="J161" s="15">
        <v>14171</v>
      </c>
      <c r="K161" s="15">
        <v>1484</v>
      </c>
      <c r="L161" s="15">
        <v>5508</v>
      </c>
      <c r="M161" s="15">
        <v>2255</v>
      </c>
      <c r="N161" s="15">
        <v>4120</v>
      </c>
      <c r="O161" s="15"/>
      <c r="P161" s="15"/>
    </row>
    <row r="162" spans="1:16" ht="11.25">
      <c r="A162" s="97" t="s">
        <v>136</v>
      </c>
      <c r="B162" s="212">
        <v>45</v>
      </c>
      <c r="C162" s="212"/>
      <c r="D162" s="212"/>
      <c r="E162" s="15">
        <v>137169</v>
      </c>
      <c r="F162" s="15">
        <v>134972</v>
      </c>
      <c r="G162" s="205">
        <f t="shared" si="10"/>
        <v>98.39832615241053</v>
      </c>
      <c r="H162" s="15">
        <v>93880</v>
      </c>
      <c r="I162" s="206">
        <v>7046</v>
      </c>
      <c r="J162" s="15">
        <v>13787</v>
      </c>
      <c r="K162" s="15">
        <v>1539</v>
      </c>
      <c r="L162" s="15">
        <v>10100</v>
      </c>
      <c r="M162" s="15">
        <v>500</v>
      </c>
      <c r="N162" s="15">
        <v>4120</v>
      </c>
      <c r="O162" s="15"/>
      <c r="P162" s="15"/>
    </row>
    <row r="163" spans="1:16" ht="11.25">
      <c r="A163" s="97" t="s">
        <v>137</v>
      </c>
      <c r="B163" s="212">
        <v>46</v>
      </c>
      <c r="C163" s="212"/>
      <c r="D163" s="212"/>
      <c r="E163" s="15">
        <v>251288</v>
      </c>
      <c r="F163" s="15">
        <v>249392</v>
      </c>
      <c r="G163" s="205">
        <f t="shared" si="10"/>
        <v>99.2454872496896</v>
      </c>
      <c r="H163" s="15">
        <v>176559</v>
      </c>
      <c r="I163" s="206">
        <v>12498</v>
      </c>
      <c r="J163" s="15">
        <v>28187</v>
      </c>
      <c r="K163" s="15">
        <v>4565</v>
      </c>
      <c r="L163" s="15">
        <v>9781</v>
      </c>
      <c r="M163" s="15">
        <v>1018</v>
      </c>
      <c r="N163" s="15">
        <v>7210</v>
      </c>
      <c r="O163" s="15"/>
      <c r="P163" s="15">
        <v>7500</v>
      </c>
    </row>
    <row r="164" spans="1:16" ht="11.25">
      <c r="A164" s="97" t="s">
        <v>138</v>
      </c>
      <c r="B164" s="212">
        <v>47</v>
      </c>
      <c r="C164" s="212"/>
      <c r="D164" s="212"/>
      <c r="E164" s="15">
        <v>271155</v>
      </c>
      <c r="F164" s="15">
        <v>269050</v>
      </c>
      <c r="G164" s="205">
        <f t="shared" si="10"/>
        <v>99.22369124670392</v>
      </c>
      <c r="H164" s="15">
        <v>181590</v>
      </c>
      <c r="I164" s="206">
        <v>12925</v>
      </c>
      <c r="J164" s="15">
        <v>28456</v>
      </c>
      <c r="K164" s="15">
        <v>3523</v>
      </c>
      <c r="L164" s="15">
        <v>25388</v>
      </c>
      <c r="M164" s="15">
        <v>1409</v>
      </c>
      <c r="N164" s="15">
        <v>7210</v>
      </c>
      <c r="O164" s="15"/>
      <c r="P164" s="15"/>
    </row>
    <row r="165" spans="1:16" ht="11.25">
      <c r="A165" s="97" t="s">
        <v>139</v>
      </c>
      <c r="B165" s="212">
        <v>48</v>
      </c>
      <c r="C165" s="212"/>
      <c r="D165" s="212"/>
      <c r="E165" s="15">
        <v>166284</v>
      </c>
      <c r="F165" s="15">
        <f>1800+163722</f>
        <v>165522</v>
      </c>
      <c r="G165" s="205">
        <f t="shared" si="10"/>
        <v>99.54174785307065</v>
      </c>
      <c r="H165" s="15">
        <v>127420</v>
      </c>
      <c r="I165" s="206">
        <v>8904</v>
      </c>
      <c r="J165" s="15">
        <v>19390</v>
      </c>
      <c r="K165" s="15">
        <v>3115</v>
      </c>
      <c r="L165" s="15"/>
      <c r="M165" s="15"/>
      <c r="N165" s="15">
        <v>4893</v>
      </c>
      <c r="O165" s="15"/>
      <c r="P165" s="15"/>
    </row>
    <row r="166" spans="1:16" ht="11.25">
      <c r="A166" s="98" t="s">
        <v>176</v>
      </c>
      <c r="B166" s="199"/>
      <c r="C166" s="199"/>
      <c r="D166" s="199"/>
      <c r="E166" s="12">
        <f>SUM(E131:E165)</f>
        <v>5148214</v>
      </c>
      <c r="F166" s="12">
        <f>SUM(F131:F165)</f>
        <v>5083976</v>
      </c>
      <c r="G166" s="126">
        <f t="shared" si="10"/>
        <v>98.7522274715076</v>
      </c>
      <c r="H166" s="12">
        <f aca="true" t="shared" si="11" ref="H166:P166">SUM(H131:H165)</f>
        <v>3594218</v>
      </c>
      <c r="I166" s="127">
        <f t="shared" si="11"/>
        <v>261387</v>
      </c>
      <c r="J166" s="12">
        <f t="shared" si="11"/>
        <v>544199</v>
      </c>
      <c r="K166" s="12">
        <f t="shared" si="11"/>
        <v>70981.13</v>
      </c>
      <c r="L166" s="12">
        <f t="shared" si="11"/>
        <v>248243</v>
      </c>
      <c r="M166" s="12">
        <f t="shared" si="11"/>
        <v>17167</v>
      </c>
      <c r="N166" s="12">
        <f t="shared" si="11"/>
        <v>151414</v>
      </c>
      <c r="O166" s="12">
        <f t="shared" si="11"/>
        <v>0</v>
      </c>
      <c r="P166" s="12">
        <f t="shared" si="11"/>
        <v>39673</v>
      </c>
    </row>
    <row r="167" spans="1:16" ht="11.25">
      <c r="A167" s="207" t="s">
        <v>174</v>
      </c>
      <c r="B167" s="203" t="s">
        <v>174</v>
      </c>
      <c r="C167" s="199"/>
      <c r="D167" s="199"/>
      <c r="E167" s="15">
        <v>5200</v>
      </c>
      <c r="F167" s="15">
        <v>5200</v>
      </c>
      <c r="G167" s="205">
        <f t="shared" si="10"/>
        <v>100</v>
      </c>
      <c r="H167" s="12"/>
      <c r="I167" s="127"/>
      <c r="J167" s="12"/>
      <c r="K167" s="12"/>
      <c r="L167" s="12"/>
      <c r="M167" s="12"/>
      <c r="N167" s="12"/>
      <c r="O167" s="12"/>
      <c r="P167" s="12"/>
    </row>
    <row r="168" spans="1:16" ht="11.25">
      <c r="A168" s="97" t="s">
        <v>144</v>
      </c>
      <c r="B168" s="212" t="s">
        <v>144</v>
      </c>
      <c r="C168" s="199"/>
      <c r="D168" s="199"/>
      <c r="E168" s="15">
        <v>6855</v>
      </c>
      <c r="F168" s="15">
        <v>6855</v>
      </c>
      <c r="G168" s="205">
        <f t="shared" si="10"/>
        <v>100</v>
      </c>
      <c r="H168" s="12"/>
      <c r="I168" s="127"/>
      <c r="J168" s="12"/>
      <c r="K168" s="12"/>
      <c r="L168" s="12"/>
      <c r="M168" s="12"/>
      <c r="N168" s="12"/>
      <c r="O168" s="12"/>
      <c r="P168" s="12"/>
    </row>
    <row r="169" spans="1:16" ht="11.25">
      <c r="A169" s="97" t="s">
        <v>145</v>
      </c>
      <c r="B169" s="212" t="s">
        <v>145</v>
      </c>
      <c r="C169" s="199"/>
      <c r="D169" s="199"/>
      <c r="E169" s="15">
        <v>1000</v>
      </c>
      <c r="F169" s="15">
        <v>999</v>
      </c>
      <c r="G169" s="205">
        <f t="shared" si="10"/>
        <v>99.9</v>
      </c>
      <c r="H169" s="12"/>
      <c r="I169" s="127"/>
      <c r="J169" s="12"/>
      <c r="K169" s="12"/>
      <c r="L169" s="12"/>
      <c r="M169" s="12"/>
      <c r="N169" s="12"/>
      <c r="O169" s="12"/>
      <c r="P169" s="12"/>
    </row>
    <row r="170" spans="1:16" ht="11.25">
      <c r="A170" s="97" t="s">
        <v>110</v>
      </c>
      <c r="B170" s="212">
        <v>6</v>
      </c>
      <c r="C170" s="199"/>
      <c r="D170" s="199"/>
      <c r="E170" s="15">
        <v>24939</v>
      </c>
      <c r="F170" s="15">
        <v>24920</v>
      </c>
      <c r="G170" s="205">
        <f t="shared" si="10"/>
        <v>99.92381410641966</v>
      </c>
      <c r="H170" s="12"/>
      <c r="I170" s="127"/>
      <c r="J170" s="12"/>
      <c r="K170" s="12"/>
      <c r="L170" s="12"/>
      <c r="M170" s="12"/>
      <c r="N170" s="12"/>
      <c r="O170" s="12"/>
      <c r="P170" s="12"/>
    </row>
    <row r="171" spans="1:16" ht="11.25">
      <c r="A171" s="97" t="s">
        <v>146</v>
      </c>
      <c r="B171" s="212" t="s">
        <v>146</v>
      </c>
      <c r="C171" s="199"/>
      <c r="D171" s="199"/>
      <c r="E171" s="15">
        <v>42207</v>
      </c>
      <c r="F171" s="15">
        <v>42200</v>
      </c>
      <c r="G171" s="205">
        <f t="shared" si="10"/>
        <v>99.98341507332907</v>
      </c>
      <c r="H171" s="12"/>
      <c r="I171" s="127"/>
      <c r="J171" s="12"/>
      <c r="K171" s="12"/>
      <c r="L171" s="12"/>
      <c r="M171" s="12"/>
      <c r="N171" s="12"/>
      <c r="O171" s="12"/>
      <c r="P171" s="12"/>
    </row>
    <row r="172" spans="1:16" ht="11.25">
      <c r="A172" s="97" t="s">
        <v>111</v>
      </c>
      <c r="B172" s="212">
        <v>8</v>
      </c>
      <c r="C172" s="199"/>
      <c r="D172" s="199"/>
      <c r="E172" s="15">
        <v>104000</v>
      </c>
      <c r="F172" s="15">
        <v>103578</v>
      </c>
      <c r="G172" s="205">
        <f t="shared" si="10"/>
        <v>99.59423076923078</v>
      </c>
      <c r="H172" s="12"/>
      <c r="I172" s="127"/>
      <c r="J172" s="12"/>
      <c r="K172" s="12"/>
      <c r="L172" s="12"/>
      <c r="M172" s="12"/>
      <c r="N172" s="12"/>
      <c r="O172" s="12"/>
      <c r="P172" s="12"/>
    </row>
    <row r="173" spans="1:16" ht="11.25">
      <c r="A173" s="97" t="s">
        <v>112</v>
      </c>
      <c r="B173" s="212">
        <v>10</v>
      </c>
      <c r="C173" s="199"/>
      <c r="D173" s="199"/>
      <c r="E173" s="15">
        <v>80251</v>
      </c>
      <c r="F173" s="15">
        <v>79890</v>
      </c>
      <c r="G173" s="205">
        <f t="shared" si="10"/>
        <v>99.55016136870569</v>
      </c>
      <c r="H173" s="12"/>
      <c r="I173" s="127"/>
      <c r="J173" s="12"/>
      <c r="K173" s="12"/>
      <c r="L173" s="12"/>
      <c r="M173" s="12"/>
      <c r="N173" s="12"/>
      <c r="O173" s="12"/>
      <c r="P173" s="12"/>
    </row>
    <row r="174" spans="1:16" ht="11.25">
      <c r="A174" s="97" t="s">
        <v>113</v>
      </c>
      <c r="B174" s="212">
        <v>11</v>
      </c>
      <c r="C174" s="199"/>
      <c r="D174" s="199"/>
      <c r="E174" s="15">
        <v>38420</v>
      </c>
      <c r="F174" s="15">
        <v>38310</v>
      </c>
      <c r="G174" s="205">
        <f t="shared" si="10"/>
        <v>99.71369078604894</v>
      </c>
      <c r="H174" s="12"/>
      <c r="I174" s="127"/>
      <c r="J174" s="12"/>
      <c r="K174" s="12"/>
      <c r="L174" s="12"/>
      <c r="M174" s="12"/>
      <c r="N174" s="12"/>
      <c r="O174" s="12"/>
      <c r="P174" s="12"/>
    </row>
    <row r="175" spans="1:16" ht="11.25">
      <c r="A175" s="97" t="s">
        <v>114</v>
      </c>
      <c r="B175" s="212">
        <v>12</v>
      </c>
      <c r="C175" s="199"/>
      <c r="D175" s="199"/>
      <c r="E175" s="15">
        <v>82543</v>
      </c>
      <c r="F175" s="15">
        <v>81684</v>
      </c>
      <c r="G175" s="205">
        <f t="shared" si="10"/>
        <v>98.95933028845572</v>
      </c>
      <c r="H175" s="12"/>
      <c r="I175" s="127"/>
      <c r="J175" s="12"/>
      <c r="K175" s="12"/>
      <c r="L175" s="12"/>
      <c r="M175" s="12"/>
      <c r="N175" s="12"/>
      <c r="O175" s="12"/>
      <c r="P175" s="12"/>
    </row>
    <row r="176" spans="1:16" ht="11.25">
      <c r="A176" s="97" t="s">
        <v>150</v>
      </c>
      <c r="B176" s="212">
        <v>14</v>
      </c>
      <c r="C176" s="199"/>
      <c r="D176" s="199"/>
      <c r="E176" s="15">
        <v>7200</v>
      </c>
      <c r="F176" s="15">
        <v>7200</v>
      </c>
      <c r="G176" s="205">
        <f t="shared" si="10"/>
        <v>100</v>
      </c>
      <c r="H176" s="12"/>
      <c r="I176" s="127"/>
      <c r="J176" s="12"/>
      <c r="K176" s="12"/>
      <c r="L176" s="12"/>
      <c r="M176" s="12"/>
      <c r="N176" s="12"/>
      <c r="O176" s="12"/>
      <c r="P176" s="12"/>
    </row>
    <row r="177" spans="1:16" ht="11.25">
      <c r="A177" s="97" t="s">
        <v>117</v>
      </c>
      <c r="B177" s="212">
        <v>16</v>
      </c>
      <c r="C177" s="199"/>
      <c r="D177" s="199"/>
      <c r="E177" s="15">
        <v>34990</v>
      </c>
      <c r="F177" s="15">
        <f>5000+29848</f>
        <v>34848</v>
      </c>
      <c r="G177" s="205">
        <f t="shared" si="10"/>
        <v>99.59416976278936</v>
      </c>
      <c r="H177" s="12"/>
      <c r="I177" s="127"/>
      <c r="J177" s="12"/>
      <c r="K177" s="12"/>
      <c r="L177" s="12"/>
      <c r="M177" s="12"/>
      <c r="N177" s="12"/>
      <c r="O177" s="12"/>
      <c r="P177" s="12"/>
    </row>
    <row r="178" spans="1:16" ht="11.25">
      <c r="A178" s="97" t="s">
        <v>118</v>
      </c>
      <c r="B178" s="212">
        <v>17</v>
      </c>
      <c r="C178" s="199"/>
      <c r="D178" s="199"/>
      <c r="E178" s="15">
        <v>10200</v>
      </c>
      <c r="F178" s="15">
        <v>10198</v>
      </c>
      <c r="G178" s="205">
        <f t="shared" si="10"/>
        <v>99.98039215686273</v>
      </c>
      <c r="H178" s="12"/>
      <c r="I178" s="127"/>
      <c r="J178" s="12"/>
      <c r="K178" s="12"/>
      <c r="L178" s="12"/>
      <c r="M178" s="12"/>
      <c r="N178" s="12"/>
      <c r="O178" s="12"/>
      <c r="P178" s="12"/>
    </row>
    <row r="179" spans="1:16" ht="11.25">
      <c r="A179" s="97" t="s">
        <v>119</v>
      </c>
      <c r="B179" s="212">
        <v>18</v>
      </c>
      <c r="C179" s="199"/>
      <c r="D179" s="199"/>
      <c r="E179" s="15">
        <v>13000</v>
      </c>
      <c r="F179" s="15">
        <v>13000</v>
      </c>
      <c r="G179" s="205">
        <f t="shared" si="10"/>
        <v>100</v>
      </c>
      <c r="H179" s="12"/>
      <c r="I179" s="127"/>
      <c r="J179" s="12"/>
      <c r="K179" s="12"/>
      <c r="L179" s="12"/>
      <c r="M179" s="12"/>
      <c r="N179" s="12"/>
      <c r="O179" s="12"/>
      <c r="P179" s="12"/>
    </row>
    <row r="180" spans="1:16" ht="11.25">
      <c r="A180" s="97" t="s">
        <v>120</v>
      </c>
      <c r="B180" s="212">
        <v>20</v>
      </c>
      <c r="C180" s="199"/>
      <c r="D180" s="199"/>
      <c r="E180" s="15">
        <v>7993</v>
      </c>
      <c r="F180" s="15">
        <v>7984</v>
      </c>
      <c r="G180" s="205">
        <f t="shared" si="10"/>
        <v>99.88740147629176</v>
      </c>
      <c r="H180" s="12"/>
      <c r="I180" s="127"/>
      <c r="J180" s="12"/>
      <c r="K180" s="12"/>
      <c r="L180" s="12"/>
      <c r="M180" s="12"/>
      <c r="N180" s="12"/>
      <c r="O180" s="12"/>
      <c r="P180" s="12"/>
    </row>
    <row r="181" spans="1:16" ht="11.25">
      <c r="A181" s="97" t="s">
        <v>121</v>
      </c>
      <c r="B181" s="212">
        <v>21</v>
      </c>
      <c r="C181" s="199"/>
      <c r="D181" s="199"/>
      <c r="E181" s="15">
        <v>27100</v>
      </c>
      <c r="F181" s="15">
        <v>26993</v>
      </c>
      <c r="G181" s="205">
        <f t="shared" si="10"/>
        <v>99.60516605166052</v>
      </c>
      <c r="H181" s="12"/>
      <c r="I181" s="127"/>
      <c r="J181" s="12"/>
      <c r="K181" s="12"/>
      <c r="L181" s="12"/>
      <c r="M181" s="12"/>
      <c r="N181" s="12"/>
      <c r="O181" s="12"/>
      <c r="P181" s="12"/>
    </row>
    <row r="182" spans="1:16" ht="11.25">
      <c r="A182" s="97" t="s">
        <v>123</v>
      </c>
      <c r="B182" s="212">
        <v>26</v>
      </c>
      <c r="C182" s="199"/>
      <c r="D182" s="199"/>
      <c r="E182" s="15">
        <v>18600</v>
      </c>
      <c r="F182" s="15">
        <v>18598</v>
      </c>
      <c r="G182" s="205">
        <f t="shared" si="10"/>
        <v>99.98924731182795</v>
      </c>
      <c r="H182" s="12"/>
      <c r="I182" s="127"/>
      <c r="J182" s="12"/>
      <c r="K182" s="12"/>
      <c r="L182" s="12"/>
      <c r="M182" s="12"/>
      <c r="N182" s="12"/>
      <c r="O182" s="12"/>
      <c r="P182" s="12"/>
    </row>
    <row r="183" spans="1:16" ht="11.25">
      <c r="A183" s="97" t="s">
        <v>154</v>
      </c>
      <c r="B183" s="212" t="s">
        <v>154</v>
      </c>
      <c r="C183" s="199"/>
      <c r="D183" s="199"/>
      <c r="E183" s="15">
        <v>9107</v>
      </c>
      <c r="F183" s="15">
        <v>9059</v>
      </c>
      <c r="G183" s="205">
        <f t="shared" si="10"/>
        <v>99.47293290875152</v>
      </c>
      <c r="H183" s="12"/>
      <c r="I183" s="127"/>
      <c r="J183" s="12"/>
      <c r="K183" s="12"/>
      <c r="L183" s="12"/>
      <c r="M183" s="12"/>
      <c r="N183" s="12"/>
      <c r="O183" s="12"/>
      <c r="P183" s="12"/>
    </row>
    <row r="184" spans="1:16" ht="11.25">
      <c r="A184" s="97" t="s">
        <v>124</v>
      </c>
      <c r="B184" s="212">
        <v>28</v>
      </c>
      <c r="C184" s="199"/>
      <c r="D184" s="199"/>
      <c r="E184" s="15">
        <v>6700</v>
      </c>
      <c r="F184" s="15">
        <v>6696</v>
      </c>
      <c r="G184" s="205">
        <f t="shared" si="10"/>
        <v>99.94029850746269</v>
      </c>
      <c r="H184" s="12"/>
      <c r="I184" s="127"/>
      <c r="J184" s="12"/>
      <c r="K184" s="12"/>
      <c r="L184" s="12"/>
      <c r="M184" s="12"/>
      <c r="N184" s="12"/>
      <c r="O184" s="12"/>
      <c r="P184" s="12"/>
    </row>
    <row r="185" spans="1:16" ht="11.25">
      <c r="A185" s="97" t="s">
        <v>125</v>
      </c>
      <c r="B185" s="212">
        <v>29</v>
      </c>
      <c r="C185" s="199"/>
      <c r="D185" s="199"/>
      <c r="E185" s="15">
        <v>6893</v>
      </c>
      <c r="F185" s="15">
        <v>6871</v>
      </c>
      <c r="G185" s="205">
        <f t="shared" si="10"/>
        <v>99.68083563034963</v>
      </c>
      <c r="H185" s="12"/>
      <c r="I185" s="127"/>
      <c r="J185" s="12"/>
      <c r="K185" s="12"/>
      <c r="L185" s="12"/>
      <c r="M185" s="12"/>
      <c r="N185" s="12"/>
      <c r="O185" s="12"/>
      <c r="P185" s="12"/>
    </row>
    <row r="186" spans="1:16" ht="11.25">
      <c r="A186" s="97" t="s">
        <v>126</v>
      </c>
      <c r="B186" s="212">
        <v>31</v>
      </c>
      <c r="C186" s="199"/>
      <c r="D186" s="199"/>
      <c r="E186" s="15">
        <v>23931</v>
      </c>
      <c r="F186" s="15">
        <v>23919</v>
      </c>
      <c r="G186" s="205">
        <f t="shared" si="10"/>
        <v>99.94985583552715</v>
      </c>
      <c r="H186" s="12"/>
      <c r="I186" s="127"/>
      <c r="J186" s="12"/>
      <c r="K186" s="12"/>
      <c r="L186" s="12"/>
      <c r="M186" s="12"/>
      <c r="N186" s="12"/>
      <c r="O186" s="12"/>
      <c r="P186" s="12"/>
    </row>
    <row r="187" spans="1:16" ht="11.25">
      <c r="A187" s="97" t="s">
        <v>127</v>
      </c>
      <c r="B187" s="212">
        <v>33</v>
      </c>
      <c r="C187" s="199"/>
      <c r="D187" s="199"/>
      <c r="E187" s="15">
        <v>48202</v>
      </c>
      <c r="F187" s="15">
        <v>41423</v>
      </c>
      <c r="G187" s="205">
        <f t="shared" si="10"/>
        <v>85.93626820463881</v>
      </c>
      <c r="H187" s="12"/>
      <c r="I187" s="127"/>
      <c r="J187" s="12"/>
      <c r="K187" s="12"/>
      <c r="L187" s="12"/>
      <c r="M187" s="12"/>
      <c r="N187" s="12"/>
      <c r="O187" s="12"/>
      <c r="P187" s="12"/>
    </row>
    <row r="188" spans="1:16" ht="11.25">
      <c r="A188" s="97" t="s">
        <v>128</v>
      </c>
      <c r="B188" s="212">
        <v>34</v>
      </c>
      <c r="C188" s="199"/>
      <c r="D188" s="199"/>
      <c r="E188" s="15">
        <v>28090</v>
      </c>
      <c r="F188" s="15">
        <v>28090</v>
      </c>
      <c r="G188" s="205">
        <f t="shared" si="10"/>
        <v>100</v>
      </c>
      <c r="H188" s="12"/>
      <c r="I188" s="127"/>
      <c r="J188" s="12"/>
      <c r="K188" s="12"/>
      <c r="L188" s="12"/>
      <c r="M188" s="12"/>
      <c r="N188" s="12"/>
      <c r="O188" s="12"/>
      <c r="P188" s="12"/>
    </row>
    <row r="189" spans="1:16" ht="11.25">
      <c r="A189" s="97" t="s">
        <v>129</v>
      </c>
      <c r="B189" s="212">
        <v>35</v>
      </c>
      <c r="C189" s="199"/>
      <c r="D189" s="199"/>
      <c r="E189" s="15">
        <v>15870</v>
      </c>
      <c r="F189" s="15">
        <v>15870</v>
      </c>
      <c r="G189" s="205">
        <f t="shared" si="10"/>
        <v>100</v>
      </c>
      <c r="H189" s="12"/>
      <c r="I189" s="127"/>
      <c r="J189" s="12"/>
      <c r="K189" s="12"/>
      <c r="L189" s="12"/>
      <c r="M189" s="12"/>
      <c r="N189" s="12"/>
      <c r="O189" s="12"/>
      <c r="P189" s="12"/>
    </row>
    <row r="190" spans="1:16" ht="11.25">
      <c r="A190" s="97" t="s">
        <v>156</v>
      </c>
      <c r="B190" s="212" t="s">
        <v>157</v>
      </c>
      <c r="C190" s="199"/>
      <c r="D190" s="199"/>
      <c r="E190" s="15">
        <v>25125</v>
      </c>
      <c r="F190" s="15">
        <f>16930+5125+2985</f>
        <v>25040</v>
      </c>
      <c r="G190" s="205">
        <f t="shared" si="10"/>
        <v>99.66169154228855</v>
      </c>
      <c r="H190" s="12"/>
      <c r="I190" s="127"/>
      <c r="J190" s="12"/>
      <c r="K190" s="12"/>
      <c r="L190" s="12"/>
      <c r="M190" s="12"/>
      <c r="N190" s="12"/>
      <c r="O190" s="12"/>
      <c r="P190" s="12"/>
    </row>
    <row r="191" spans="1:16" ht="11.25">
      <c r="A191" s="97" t="s">
        <v>130</v>
      </c>
      <c r="B191" s="212">
        <v>37</v>
      </c>
      <c r="C191" s="199"/>
      <c r="D191" s="199"/>
      <c r="E191" s="15">
        <v>5000</v>
      </c>
      <c r="F191" s="15">
        <v>4970</v>
      </c>
      <c r="G191" s="205">
        <f t="shared" si="10"/>
        <v>99.4</v>
      </c>
      <c r="H191" s="12"/>
      <c r="I191" s="127"/>
      <c r="J191" s="12"/>
      <c r="K191" s="12"/>
      <c r="L191" s="12"/>
      <c r="M191" s="12"/>
      <c r="N191" s="12"/>
      <c r="O191" s="12"/>
      <c r="P191" s="12"/>
    </row>
    <row r="192" spans="1:16" ht="11.25">
      <c r="A192" s="97" t="s">
        <v>131</v>
      </c>
      <c r="B192" s="212">
        <v>39</v>
      </c>
      <c r="C192" s="199"/>
      <c r="D192" s="199"/>
      <c r="E192" s="15">
        <v>2149</v>
      </c>
      <c r="F192" s="15">
        <v>2149</v>
      </c>
      <c r="G192" s="205">
        <f t="shared" si="10"/>
        <v>100</v>
      </c>
      <c r="H192" s="12"/>
      <c r="I192" s="127"/>
      <c r="J192" s="12"/>
      <c r="K192" s="12"/>
      <c r="L192" s="12"/>
      <c r="M192" s="12"/>
      <c r="N192" s="12"/>
      <c r="O192" s="12"/>
      <c r="P192" s="12"/>
    </row>
    <row r="193" spans="1:16" ht="11.25">
      <c r="A193" s="97" t="s">
        <v>132</v>
      </c>
      <c r="B193" s="212">
        <v>40</v>
      </c>
      <c r="C193" s="199"/>
      <c r="D193" s="199"/>
      <c r="E193" s="15">
        <v>43203</v>
      </c>
      <c r="F193" s="15">
        <f>2000+41202</f>
        <v>43202</v>
      </c>
      <c r="G193" s="205">
        <f t="shared" si="10"/>
        <v>99.99768534592505</v>
      </c>
      <c r="H193" s="12"/>
      <c r="I193" s="127"/>
      <c r="J193" s="12"/>
      <c r="K193" s="12"/>
      <c r="L193" s="12"/>
      <c r="M193" s="12"/>
      <c r="N193" s="12"/>
      <c r="O193" s="12"/>
      <c r="P193" s="12"/>
    </row>
    <row r="194" spans="1:16" ht="11.25">
      <c r="A194" s="97" t="s">
        <v>133</v>
      </c>
      <c r="B194" s="212">
        <v>42</v>
      </c>
      <c r="C194" s="199"/>
      <c r="D194" s="199"/>
      <c r="E194" s="15">
        <v>45854</v>
      </c>
      <c r="F194" s="15">
        <f>2498+43285</f>
        <v>45783</v>
      </c>
      <c r="G194" s="205">
        <f t="shared" si="10"/>
        <v>99.84516072752649</v>
      </c>
      <c r="H194" s="12"/>
      <c r="I194" s="127"/>
      <c r="J194" s="12"/>
      <c r="K194" s="12"/>
      <c r="L194" s="12"/>
      <c r="M194" s="12"/>
      <c r="N194" s="12"/>
      <c r="O194" s="12"/>
      <c r="P194" s="12"/>
    </row>
    <row r="195" spans="1:16" ht="11.25">
      <c r="A195" s="97" t="s">
        <v>134</v>
      </c>
      <c r="B195" s="212">
        <v>43</v>
      </c>
      <c r="C195" s="199"/>
      <c r="D195" s="199"/>
      <c r="E195" s="15">
        <v>58730</v>
      </c>
      <c r="F195" s="15">
        <v>58023</v>
      </c>
      <c r="G195" s="205">
        <f t="shared" si="10"/>
        <v>98.79618593563765</v>
      </c>
      <c r="H195" s="12"/>
      <c r="I195" s="127"/>
      <c r="J195" s="12"/>
      <c r="K195" s="12"/>
      <c r="L195" s="12"/>
      <c r="M195" s="12"/>
      <c r="N195" s="12"/>
      <c r="O195" s="12"/>
      <c r="P195" s="12"/>
    </row>
    <row r="196" spans="1:16" ht="11.25">
      <c r="A196" s="97" t="s">
        <v>135</v>
      </c>
      <c r="B196" s="212">
        <v>44</v>
      </c>
      <c r="C196" s="199"/>
      <c r="D196" s="199"/>
      <c r="E196" s="15">
        <v>16050</v>
      </c>
      <c r="F196" s="15">
        <f>4000+12031</f>
        <v>16031</v>
      </c>
      <c r="G196" s="205">
        <f t="shared" si="10"/>
        <v>99.8816199376947</v>
      </c>
      <c r="H196" s="12"/>
      <c r="I196" s="127"/>
      <c r="J196" s="12"/>
      <c r="K196" s="12"/>
      <c r="L196" s="12"/>
      <c r="M196" s="12"/>
      <c r="N196" s="12"/>
      <c r="O196" s="12"/>
      <c r="P196" s="12"/>
    </row>
    <row r="197" spans="1:16" ht="11.25">
      <c r="A197" s="97" t="s">
        <v>136</v>
      </c>
      <c r="B197" s="212">
        <v>45</v>
      </c>
      <c r="C197" s="199"/>
      <c r="D197" s="199"/>
      <c r="E197" s="15">
        <v>7200</v>
      </c>
      <c r="F197" s="15">
        <v>7197</v>
      </c>
      <c r="G197" s="205">
        <f aca="true" t="shared" si="12" ref="G197:G260">F197/E197*100</f>
        <v>99.95833333333334</v>
      </c>
      <c r="H197" s="12"/>
      <c r="I197" s="127"/>
      <c r="J197" s="12"/>
      <c r="K197" s="12"/>
      <c r="L197" s="12"/>
      <c r="M197" s="12"/>
      <c r="N197" s="12"/>
      <c r="O197" s="12"/>
      <c r="P197" s="12"/>
    </row>
    <row r="198" spans="1:16" ht="11.25">
      <c r="A198" s="97" t="s">
        <v>137</v>
      </c>
      <c r="B198" s="212">
        <v>46</v>
      </c>
      <c r="C198" s="199"/>
      <c r="D198" s="199"/>
      <c r="E198" s="15">
        <v>1500</v>
      </c>
      <c r="F198" s="15">
        <v>1500</v>
      </c>
      <c r="G198" s="205">
        <f t="shared" si="12"/>
        <v>100</v>
      </c>
      <c r="H198" s="12"/>
      <c r="I198" s="127"/>
      <c r="J198" s="12"/>
      <c r="K198" s="12"/>
      <c r="L198" s="12"/>
      <c r="M198" s="12"/>
      <c r="N198" s="12"/>
      <c r="O198" s="12"/>
      <c r="P198" s="12"/>
    </row>
    <row r="199" spans="1:16" ht="11.25">
      <c r="A199" s="97" t="s">
        <v>138</v>
      </c>
      <c r="B199" s="212">
        <v>47</v>
      </c>
      <c r="C199" s="199"/>
      <c r="D199" s="199"/>
      <c r="E199" s="15">
        <v>72320</v>
      </c>
      <c r="F199" s="15">
        <f>29251+39547</f>
        <v>68798</v>
      </c>
      <c r="G199" s="205">
        <f t="shared" si="12"/>
        <v>95.1299778761062</v>
      </c>
      <c r="H199" s="12"/>
      <c r="I199" s="127"/>
      <c r="J199" s="12"/>
      <c r="K199" s="12"/>
      <c r="L199" s="12"/>
      <c r="M199" s="12"/>
      <c r="N199" s="12"/>
      <c r="O199" s="12"/>
      <c r="P199" s="12"/>
    </row>
    <row r="200" spans="1:16" ht="11.25">
      <c r="A200" s="97" t="s">
        <v>139</v>
      </c>
      <c r="B200" s="212">
        <v>48</v>
      </c>
      <c r="C200" s="199"/>
      <c r="D200" s="199"/>
      <c r="E200" s="15">
        <v>59320</v>
      </c>
      <c r="F200" s="15">
        <f>10000+49320</f>
        <v>59320</v>
      </c>
      <c r="G200" s="205">
        <f t="shared" si="12"/>
        <v>100</v>
      </c>
      <c r="H200" s="12"/>
      <c r="I200" s="127"/>
      <c r="J200" s="12"/>
      <c r="K200" s="12"/>
      <c r="L200" s="12"/>
      <c r="M200" s="12"/>
      <c r="N200" s="12"/>
      <c r="O200" s="12"/>
      <c r="P200" s="12"/>
    </row>
    <row r="201" spans="1:16" ht="11.25">
      <c r="A201" s="98" t="s">
        <v>177</v>
      </c>
      <c r="B201" s="199"/>
      <c r="C201" s="199"/>
      <c r="D201" s="199"/>
      <c r="E201" s="12">
        <f>SUM(E167:E200)</f>
        <v>979742</v>
      </c>
      <c r="F201" s="12">
        <f>SUM(F167:F200)</f>
        <v>966398</v>
      </c>
      <c r="G201" s="126">
        <f t="shared" si="12"/>
        <v>98.6380087819038</v>
      </c>
      <c r="H201" s="12">
        <f aca="true" t="shared" si="13" ref="H201:P201">SUM(H167:H200)</f>
        <v>0</v>
      </c>
      <c r="I201" s="127">
        <f t="shared" si="13"/>
        <v>0</v>
      </c>
      <c r="J201" s="12">
        <f t="shared" si="13"/>
        <v>0</v>
      </c>
      <c r="K201" s="12">
        <f t="shared" si="13"/>
        <v>0</v>
      </c>
      <c r="L201" s="12">
        <f t="shared" si="13"/>
        <v>0</v>
      </c>
      <c r="M201" s="12">
        <f t="shared" si="13"/>
        <v>0</v>
      </c>
      <c r="N201" s="12">
        <f t="shared" si="13"/>
        <v>0</v>
      </c>
      <c r="O201" s="12">
        <f t="shared" si="13"/>
        <v>0</v>
      </c>
      <c r="P201" s="12">
        <f t="shared" si="13"/>
        <v>0</v>
      </c>
    </row>
    <row r="202" spans="1:16" ht="11.25">
      <c r="A202" s="97" t="s">
        <v>110</v>
      </c>
      <c r="B202" s="212">
        <v>6</v>
      </c>
      <c r="C202" s="199"/>
      <c r="D202" s="199"/>
      <c r="E202" s="96">
        <v>239537</v>
      </c>
      <c r="F202" s="96">
        <v>238940</v>
      </c>
      <c r="G202" s="126">
        <f t="shared" si="12"/>
        <v>99.75076919223335</v>
      </c>
      <c r="H202" s="96">
        <v>174000</v>
      </c>
      <c r="I202" s="214">
        <v>9979</v>
      </c>
      <c r="J202" s="96">
        <v>28696</v>
      </c>
      <c r="K202" s="96">
        <v>4135</v>
      </c>
      <c r="L202" s="96">
        <v>5160</v>
      </c>
      <c r="M202" s="96">
        <v>600</v>
      </c>
      <c r="N202" s="96">
        <v>13970</v>
      </c>
      <c r="O202" s="96"/>
      <c r="P202" s="96"/>
    </row>
    <row r="203" spans="1:16" ht="11.25">
      <c r="A203" s="97" t="s">
        <v>111</v>
      </c>
      <c r="B203" s="212">
        <v>8</v>
      </c>
      <c r="C203" s="199"/>
      <c r="D203" s="199"/>
      <c r="E203" s="96">
        <v>191712</v>
      </c>
      <c r="F203" s="96">
        <v>191140</v>
      </c>
      <c r="G203" s="126">
        <f t="shared" si="12"/>
        <v>99.70163578701386</v>
      </c>
      <c r="H203" s="96">
        <v>140835</v>
      </c>
      <c r="I203" s="214">
        <v>6552</v>
      </c>
      <c r="J203" s="96">
        <v>17940</v>
      </c>
      <c r="K203" s="96">
        <v>2096</v>
      </c>
      <c r="L203" s="96">
        <v>14100</v>
      </c>
      <c r="M203" s="96"/>
      <c r="N203" s="96">
        <v>7620</v>
      </c>
      <c r="O203" s="96"/>
      <c r="P203" s="96"/>
    </row>
    <row r="204" spans="1:16" ht="11.25">
      <c r="A204" s="97" t="s">
        <v>112</v>
      </c>
      <c r="B204" s="212">
        <v>10</v>
      </c>
      <c r="C204" s="199"/>
      <c r="D204" s="199"/>
      <c r="E204" s="96">
        <v>253614</v>
      </c>
      <c r="F204" s="96">
        <v>244559</v>
      </c>
      <c r="G204" s="126">
        <f t="shared" si="12"/>
        <v>96.42961350714077</v>
      </c>
      <c r="H204" s="96">
        <v>170470</v>
      </c>
      <c r="I204" s="214">
        <v>11456</v>
      </c>
      <c r="J204" s="96">
        <v>27185</v>
      </c>
      <c r="K204" s="96">
        <v>3584</v>
      </c>
      <c r="L204" s="96">
        <v>18720</v>
      </c>
      <c r="M204" s="96"/>
      <c r="N204" s="96">
        <v>10160</v>
      </c>
      <c r="O204" s="96"/>
      <c r="P204" s="96"/>
    </row>
    <row r="205" spans="1:16" ht="11.25">
      <c r="A205" s="97" t="s">
        <v>113</v>
      </c>
      <c r="B205" s="212">
        <v>11</v>
      </c>
      <c r="C205" s="199"/>
      <c r="D205" s="199"/>
      <c r="E205" s="96">
        <v>118081</v>
      </c>
      <c r="F205" s="96">
        <v>117801</v>
      </c>
      <c r="G205" s="126">
        <f t="shared" si="12"/>
        <v>99.76287463690178</v>
      </c>
      <c r="H205" s="96">
        <v>89935</v>
      </c>
      <c r="I205" s="214">
        <v>5510</v>
      </c>
      <c r="J205" s="96">
        <v>12821</v>
      </c>
      <c r="K205" s="96">
        <v>2203</v>
      </c>
      <c r="L205" s="96"/>
      <c r="M205" s="96"/>
      <c r="N205" s="96">
        <v>7036</v>
      </c>
      <c r="O205" s="96"/>
      <c r="P205" s="96"/>
    </row>
    <row r="206" spans="1:16" ht="13.5" customHeight="1">
      <c r="A206" s="97" t="s">
        <v>114</v>
      </c>
      <c r="B206" s="212">
        <v>12</v>
      </c>
      <c r="C206" s="199"/>
      <c r="D206" s="199"/>
      <c r="E206" s="96">
        <v>242244</v>
      </c>
      <c r="F206" s="96">
        <v>240549</v>
      </c>
      <c r="G206" s="126">
        <f t="shared" si="12"/>
        <v>99.30029226730073</v>
      </c>
      <c r="H206" s="96">
        <v>178172</v>
      </c>
      <c r="I206" s="214">
        <v>9183</v>
      </c>
      <c r="J206" s="96">
        <v>27722</v>
      </c>
      <c r="K206" s="96">
        <v>3810</v>
      </c>
      <c r="L206" s="96">
        <v>8399</v>
      </c>
      <c r="M206" s="96"/>
      <c r="N206" s="96">
        <v>12700</v>
      </c>
      <c r="O206" s="96"/>
      <c r="P206" s="96"/>
    </row>
    <row r="207" spans="1:16" ht="11.25">
      <c r="A207" s="97" t="s">
        <v>115</v>
      </c>
      <c r="B207" s="212">
        <v>13</v>
      </c>
      <c r="C207" s="207"/>
      <c r="D207" s="207"/>
      <c r="E207" s="96">
        <v>178116</v>
      </c>
      <c r="F207" s="96">
        <v>176845</v>
      </c>
      <c r="G207" s="126">
        <f t="shared" si="12"/>
        <v>99.28642008578679</v>
      </c>
      <c r="H207" s="96">
        <v>127962</v>
      </c>
      <c r="I207" s="214">
        <v>7449</v>
      </c>
      <c r="J207" s="96">
        <v>19568</v>
      </c>
      <c r="K207" s="96">
        <v>2633</v>
      </c>
      <c r="L207" s="96">
        <v>4915</v>
      </c>
      <c r="M207" s="96"/>
      <c r="N207" s="96">
        <v>10160</v>
      </c>
      <c r="O207" s="96"/>
      <c r="P207" s="96"/>
    </row>
    <row r="208" spans="1:16" ht="11.25">
      <c r="A208" s="97" t="s">
        <v>117</v>
      </c>
      <c r="B208" s="212">
        <v>16</v>
      </c>
      <c r="C208" s="207"/>
      <c r="D208" s="207"/>
      <c r="E208" s="96">
        <v>253856</v>
      </c>
      <c r="F208" s="96">
        <v>252959</v>
      </c>
      <c r="G208" s="126">
        <f t="shared" si="12"/>
        <v>99.64665006933065</v>
      </c>
      <c r="H208" s="96">
        <v>190496</v>
      </c>
      <c r="I208" s="214">
        <v>10085</v>
      </c>
      <c r="J208" s="96">
        <v>29648</v>
      </c>
      <c r="K208" s="96">
        <v>4782</v>
      </c>
      <c r="L208" s="96">
        <v>3150</v>
      </c>
      <c r="M208" s="96"/>
      <c r="N208" s="96">
        <v>12700</v>
      </c>
      <c r="O208" s="96"/>
      <c r="P208" s="96"/>
    </row>
    <row r="209" spans="1:16" ht="11.25">
      <c r="A209" s="97" t="s">
        <v>118</v>
      </c>
      <c r="B209" s="212">
        <v>17</v>
      </c>
      <c r="C209" s="207"/>
      <c r="D209" s="207"/>
      <c r="E209" s="96">
        <v>158813</v>
      </c>
      <c r="F209" s="96">
        <v>156219</v>
      </c>
      <c r="G209" s="126">
        <f t="shared" si="12"/>
        <v>98.36663245452199</v>
      </c>
      <c r="H209" s="96">
        <v>110967</v>
      </c>
      <c r="I209" s="214">
        <v>6901</v>
      </c>
      <c r="J209" s="96">
        <v>17436</v>
      </c>
      <c r="K209" s="96">
        <v>2785</v>
      </c>
      <c r="L209" s="96">
        <v>8250</v>
      </c>
      <c r="M209" s="96"/>
      <c r="N209" s="96">
        <v>7620</v>
      </c>
      <c r="O209" s="96"/>
      <c r="P209" s="96"/>
    </row>
    <row r="210" spans="1:16" ht="11.25">
      <c r="A210" s="97" t="s">
        <v>119</v>
      </c>
      <c r="B210" s="212">
        <v>18</v>
      </c>
      <c r="C210" s="207"/>
      <c r="D210" s="207"/>
      <c r="E210" s="96">
        <v>294379</v>
      </c>
      <c r="F210" s="96">
        <v>289407</v>
      </c>
      <c r="G210" s="126">
        <f t="shared" si="12"/>
        <v>98.31102082689323</v>
      </c>
      <c r="H210" s="96">
        <v>214865</v>
      </c>
      <c r="I210" s="214">
        <v>10474</v>
      </c>
      <c r="J210" s="96">
        <v>33350</v>
      </c>
      <c r="K210" s="96">
        <v>3978</v>
      </c>
      <c r="L210" s="96">
        <v>6000</v>
      </c>
      <c r="M210" s="96"/>
      <c r="N210" s="96">
        <v>15240</v>
      </c>
      <c r="O210" s="96"/>
      <c r="P210" s="96"/>
    </row>
    <row r="211" spans="1:16" ht="11.25">
      <c r="A211" s="97" t="s">
        <v>120</v>
      </c>
      <c r="B211" s="212">
        <v>20</v>
      </c>
      <c r="C211" s="207"/>
      <c r="D211" s="207"/>
      <c r="E211" s="96">
        <v>117488</v>
      </c>
      <c r="F211" s="96">
        <v>116609</v>
      </c>
      <c r="G211" s="126">
        <f t="shared" si="12"/>
        <v>99.25183848563258</v>
      </c>
      <c r="H211" s="96">
        <v>83658</v>
      </c>
      <c r="I211" s="214">
        <v>6334</v>
      </c>
      <c r="J211" s="96">
        <v>13018</v>
      </c>
      <c r="K211" s="96">
        <v>2100</v>
      </c>
      <c r="L211" s="96">
        <v>1131</v>
      </c>
      <c r="M211" s="96"/>
      <c r="N211" s="96">
        <v>7620</v>
      </c>
      <c r="O211" s="96"/>
      <c r="P211" s="96"/>
    </row>
    <row r="212" spans="1:16" ht="11.25">
      <c r="A212" s="97" t="s">
        <v>121</v>
      </c>
      <c r="B212" s="212">
        <v>21</v>
      </c>
      <c r="C212" s="207"/>
      <c r="D212" s="207"/>
      <c r="E212" s="96">
        <v>220694</v>
      </c>
      <c r="F212" s="96">
        <v>219883</v>
      </c>
      <c r="G212" s="126">
        <f t="shared" si="12"/>
        <v>99.6325228597062</v>
      </c>
      <c r="H212" s="96">
        <v>164177</v>
      </c>
      <c r="I212" s="214">
        <v>10130</v>
      </c>
      <c r="J212" s="96">
        <v>24206</v>
      </c>
      <c r="K212" s="96">
        <v>3763</v>
      </c>
      <c r="L212" s="96"/>
      <c r="M212" s="96"/>
      <c r="N212" s="96">
        <v>15240</v>
      </c>
      <c r="O212" s="96"/>
      <c r="P212" s="96"/>
    </row>
    <row r="213" spans="1:16" ht="11.25">
      <c r="A213" s="97" t="s">
        <v>122</v>
      </c>
      <c r="B213" s="212">
        <v>23</v>
      </c>
      <c r="C213" s="207"/>
      <c r="D213" s="207"/>
      <c r="E213" s="96">
        <v>236251</v>
      </c>
      <c r="F213" s="96">
        <v>227204</v>
      </c>
      <c r="G213" s="126">
        <f t="shared" si="12"/>
        <v>96.17059821969008</v>
      </c>
      <c r="H213" s="96">
        <v>168669</v>
      </c>
      <c r="I213" s="214">
        <v>8269</v>
      </c>
      <c r="J213" s="96">
        <v>28787</v>
      </c>
      <c r="K213" s="96">
        <v>4374</v>
      </c>
      <c r="L213" s="96">
        <v>6444</v>
      </c>
      <c r="M213" s="96"/>
      <c r="N213" s="96">
        <v>7315</v>
      </c>
      <c r="O213" s="96"/>
      <c r="P213" s="96"/>
    </row>
    <row r="214" spans="1:16" ht="11.25">
      <c r="A214" s="97" t="s">
        <v>123</v>
      </c>
      <c r="B214" s="212">
        <v>26</v>
      </c>
      <c r="C214" s="207"/>
      <c r="D214" s="207"/>
      <c r="E214" s="96">
        <v>209834</v>
      </c>
      <c r="F214" s="96">
        <v>208707</v>
      </c>
      <c r="G214" s="126">
        <f t="shared" si="12"/>
        <v>99.46290877550827</v>
      </c>
      <c r="H214" s="96">
        <v>162873</v>
      </c>
      <c r="I214" s="214">
        <v>8033</v>
      </c>
      <c r="J214" s="96">
        <v>24323</v>
      </c>
      <c r="K214" s="96">
        <v>3318</v>
      </c>
      <c r="L214" s="96"/>
      <c r="M214" s="96"/>
      <c r="N214" s="96">
        <v>10160</v>
      </c>
      <c r="O214" s="96"/>
      <c r="P214" s="96"/>
    </row>
    <row r="215" spans="1:16" ht="11.25">
      <c r="A215" s="97" t="s">
        <v>124</v>
      </c>
      <c r="B215" s="212">
        <v>28</v>
      </c>
      <c r="C215" s="207"/>
      <c r="D215" s="207"/>
      <c r="E215" s="96">
        <v>173119</v>
      </c>
      <c r="F215" s="96">
        <v>172596</v>
      </c>
      <c r="G215" s="126">
        <f t="shared" si="12"/>
        <v>99.69789566714226</v>
      </c>
      <c r="H215" s="96">
        <v>131099</v>
      </c>
      <c r="I215" s="214">
        <v>8529</v>
      </c>
      <c r="J215" s="96">
        <v>19169</v>
      </c>
      <c r="K215" s="96">
        <v>3364</v>
      </c>
      <c r="L215" s="96">
        <v>1560</v>
      </c>
      <c r="M215" s="96"/>
      <c r="N215" s="96">
        <v>7620</v>
      </c>
      <c r="O215" s="96"/>
      <c r="P215" s="96"/>
    </row>
    <row r="216" spans="1:16" ht="11.25">
      <c r="A216" s="97" t="s">
        <v>125</v>
      </c>
      <c r="B216" s="212">
        <v>29</v>
      </c>
      <c r="C216" s="207"/>
      <c r="D216" s="207"/>
      <c r="E216" s="96">
        <v>161047</v>
      </c>
      <c r="F216" s="96">
        <v>159476</v>
      </c>
      <c r="G216" s="126">
        <f t="shared" si="12"/>
        <v>99.02450837333201</v>
      </c>
      <c r="H216" s="96">
        <v>121176</v>
      </c>
      <c r="I216" s="214">
        <v>7154</v>
      </c>
      <c r="J216" s="96">
        <v>18369</v>
      </c>
      <c r="K216" s="96">
        <v>2339</v>
      </c>
      <c r="L216" s="96"/>
      <c r="M216" s="96"/>
      <c r="N216" s="96">
        <v>7239</v>
      </c>
      <c r="O216" s="96"/>
      <c r="P216" s="96"/>
    </row>
    <row r="217" spans="1:16" ht="11.25">
      <c r="A217" s="97" t="s">
        <v>126</v>
      </c>
      <c r="B217" s="212">
        <v>31</v>
      </c>
      <c r="C217" s="207"/>
      <c r="D217" s="207"/>
      <c r="E217" s="96">
        <v>189250</v>
      </c>
      <c r="F217" s="96">
        <v>177429</v>
      </c>
      <c r="G217" s="126">
        <f t="shared" si="12"/>
        <v>93.75376486129458</v>
      </c>
      <c r="H217" s="96">
        <v>125594</v>
      </c>
      <c r="I217" s="214">
        <v>9694</v>
      </c>
      <c r="J217" s="96">
        <v>20674</v>
      </c>
      <c r="K217" s="96">
        <v>3307</v>
      </c>
      <c r="L217" s="96">
        <v>0</v>
      </c>
      <c r="M217" s="96"/>
      <c r="N217" s="96">
        <v>10160</v>
      </c>
      <c r="O217" s="96"/>
      <c r="P217" s="96"/>
    </row>
    <row r="218" spans="1:16" ht="11.25">
      <c r="A218" s="97" t="s">
        <v>127</v>
      </c>
      <c r="B218" s="212">
        <v>33</v>
      </c>
      <c r="C218" s="207"/>
      <c r="D218" s="207"/>
      <c r="E218" s="96">
        <v>203013</v>
      </c>
      <c r="F218" s="96">
        <v>201191</v>
      </c>
      <c r="G218" s="126">
        <f t="shared" si="12"/>
        <v>99.10252052824204</v>
      </c>
      <c r="H218" s="96">
        <v>148711</v>
      </c>
      <c r="I218" s="214">
        <v>9172</v>
      </c>
      <c r="J218" s="96">
        <v>23918</v>
      </c>
      <c r="K218" s="96">
        <v>3720</v>
      </c>
      <c r="L218" s="96"/>
      <c r="M218" s="96"/>
      <c r="N218" s="96">
        <v>12700</v>
      </c>
      <c r="O218" s="96"/>
      <c r="P218" s="96"/>
    </row>
    <row r="219" spans="1:16" ht="11.25">
      <c r="A219" s="97" t="s">
        <v>128</v>
      </c>
      <c r="B219" s="212">
        <v>34</v>
      </c>
      <c r="C219" s="207"/>
      <c r="D219" s="207"/>
      <c r="E219" s="96">
        <v>227857</v>
      </c>
      <c r="F219" s="96">
        <v>223604</v>
      </c>
      <c r="G219" s="126">
        <f t="shared" si="12"/>
        <v>98.13347845359151</v>
      </c>
      <c r="H219" s="96">
        <v>166885</v>
      </c>
      <c r="I219" s="214">
        <v>9827</v>
      </c>
      <c r="J219" s="96">
        <v>24628</v>
      </c>
      <c r="K219" s="96">
        <v>3318</v>
      </c>
      <c r="L219" s="96">
        <v>8286</v>
      </c>
      <c r="M219" s="96"/>
      <c r="N219" s="96">
        <v>10160</v>
      </c>
      <c r="O219" s="96"/>
      <c r="P219" s="96"/>
    </row>
    <row r="220" spans="1:16" ht="11.25">
      <c r="A220" s="97" t="s">
        <v>129</v>
      </c>
      <c r="B220" s="212">
        <v>35</v>
      </c>
      <c r="C220" s="207"/>
      <c r="D220" s="207"/>
      <c r="E220" s="96">
        <v>162274</v>
      </c>
      <c r="F220" s="96">
        <v>162272</v>
      </c>
      <c r="G220" s="126">
        <f t="shared" si="12"/>
        <v>99.99876751666935</v>
      </c>
      <c r="H220" s="96">
        <v>124666</v>
      </c>
      <c r="I220" s="214">
        <v>7774</v>
      </c>
      <c r="J220" s="96">
        <v>18841</v>
      </c>
      <c r="K220" s="96">
        <v>3039</v>
      </c>
      <c r="L220" s="96"/>
      <c r="M220" s="96"/>
      <c r="N220" s="96">
        <v>7620</v>
      </c>
      <c r="O220" s="96"/>
      <c r="P220" s="96"/>
    </row>
    <row r="221" spans="1:16" ht="11.25">
      <c r="A221" s="97" t="s">
        <v>130</v>
      </c>
      <c r="B221" s="212">
        <v>37</v>
      </c>
      <c r="C221" s="207"/>
      <c r="D221" s="207"/>
      <c r="E221" s="96">
        <v>11198</v>
      </c>
      <c r="F221" s="96">
        <v>11196</v>
      </c>
      <c r="G221" s="126">
        <f t="shared" si="12"/>
        <v>99.98213966779782</v>
      </c>
      <c r="H221" s="96">
        <v>9387</v>
      </c>
      <c r="I221" s="214"/>
      <c r="J221" s="96">
        <v>1557</v>
      </c>
      <c r="K221" s="96">
        <v>253</v>
      </c>
      <c r="L221" s="96"/>
      <c r="M221" s="96"/>
      <c r="N221" s="96"/>
      <c r="O221" s="96"/>
      <c r="P221" s="96"/>
    </row>
    <row r="222" spans="1:16" ht="11.25">
      <c r="A222" s="97" t="s">
        <v>131</v>
      </c>
      <c r="B222" s="212">
        <v>39</v>
      </c>
      <c r="C222" s="207"/>
      <c r="D222" s="207"/>
      <c r="E222" s="96">
        <v>293681</v>
      </c>
      <c r="F222" s="96">
        <v>291077</v>
      </c>
      <c r="G222" s="126">
        <f t="shared" si="12"/>
        <v>99.11332364027635</v>
      </c>
      <c r="H222" s="96">
        <v>220175</v>
      </c>
      <c r="I222" s="214">
        <v>12690</v>
      </c>
      <c r="J222" s="96">
        <v>35605</v>
      </c>
      <c r="K222" s="96">
        <v>4375</v>
      </c>
      <c r="L222" s="96"/>
      <c r="M222" s="96"/>
      <c r="N222" s="96">
        <v>16612</v>
      </c>
      <c r="O222" s="96"/>
      <c r="P222" s="96"/>
    </row>
    <row r="223" spans="1:16" ht="11.25">
      <c r="A223" s="97" t="s">
        <v>132</v>
      </c>
      <c r="B223" s="212">
        <v>40</v>
      </c>
      <c r="C223" s="207"/>
      <c r="D223" s="207"/>
      <c r="E223" s="96">
        <v>297191</v>
      </c>
      <c r="F223" s="96">
        <v>295514</v>
      </c>
      <c r="G223" s="126">
        <f t="shared" si="12"/>
        <v>99.43571642479078</v>
      </c>
      <c r="H223" s="96">
        <v>217196</v>
      </c>
      <c r="I223" s="214">
        <v>13807</v>
      </c>
      <c r="J223" s="96">
        <v>33701</v>
      </c>
      <c r="K223" s="96">
        <v>5258</v>
      </c>
      <c r="L223" s="96">
        <v>9562</v>
      </c>
      <c r="M223" s="96"/>
      <c r="N223" s="96">
        <v>15240</v>
      </c>
      <c r="O223" s="96"/>
      <c r="P223" s="96"/>
    </row>
    <row r="224" spans="1:16" ht="11.25">
      <c r="A224" s="97" t="s">
        <v>133</v>
      </c>
      <c r="B224" s="212">
        <v>42</v>
      </c>
      <c r="C224" s="207"/>
      <c r="D224" s="207"/>
      <c r="E224" s="96">
        <v>198463</v>
      </c>
      <c r="F224" s="96">
        <v>197761</v>
      </c>
      <c r="G224" s="126">
        <f t="shared" si="12"/>
        <v>99.64628167466984</v>
      </c>
      <c r="H224" s="96">
        <v>150699</v>
      </c>
      <c r="I224" s="214">
        <v>8500</v>
      </c>
      <c r="J224" s="96">
        <v>23135</v>
      </c>
      <c r="K224" s="96">
        <v>2652</v>
      </c>
      <c r="L224" s="96">
        <v>2200</v>
      </c>
      <c r="M224" s="96"/>
      <c r="N224" s="96">
        <v>10160</v>
      </c>
      <c r="O224" s="96"/>
      <c r="P224" s="96"/>
    </row>
    <row r="225" spans="1:16" ht="11.25">
      <c r="A225" s="97" t="s">
        <v>134</v>
      </c>
      <c r="B225" s="212">
        <v>43</v>
      </c>
      <c r="C225" s="207"/>
      <c r="D225" s="207"/>
      <c r="E225" s="96">
        <v>223516</v>
      </c>
      <c r="F225" s="96">
        <v>213720</v>
      </c>
      <c r="G225" s="126">
        <f t="shared" si="12"/>
        <v>95.6173159863276</v>
      </c>
      <c r="H225" s="96">
        <v>151658</v>
      </c>
      <c r="I225" s="214">
        <v>11120</v>
      </c>
      <c r="J225" s="96">
        <v>24220</v>
      </c>
      <c r="K225" s="96">
        <v>3835</v>
      </c>
      <c r="L225" s="96">
        <v>10937</v>
      </c>
      <c r="M225" s="96"/>
      <c r="N225" s="96">
        <v>11430</v>
      </c>
      <c r="O225" s="96"/>
      <c r="P225" s="96"/>
    </row>
    <row r="226" spans="1:16" ht="11.25">
      <c r="A226" s="97" t="s">
        <v>135</v>
      </c>
      <c r="B226" s="212">
        <v>44</v>
      </c>
      <c r="C226" s="207"/>
      <c r="D226" s="207"/>
      <c r="E226" s="96">
        <v>135294</v>
      </c>
      <c r="F226" s="96">
        <v>135138</v>
      </c>
      <c r="G226" s="126">
        <f t="shared" si="12"/>
        <v>99.88469555190918</v>
      </c>
      <c r="H226" s="96">
        <v>99242</v>
      </c>
      <c r="I226" s="214">
        <v>7705</v>
      </c>
      <c r="J226" s="96">
        <v>15544</v>
      </c>
      <c r="K226" s="96">
        <v>2516</v>
      </c>
      <c r="L226" s="96">
        <v>2203</v>
      </c>
      <c r="M226" s="96"/>
      <c r="N226" s="96">
        <v>7620</v>
      </c>
      <c r="O226" s="96"/>
      <c r="P226" s="96"/>
    </row>
    <row r="227" spans="1:16" ht="11.25">
      <c r="A227" s="97" t="s">
        <v>136</v>
      </c>
      <c r="B227" s="212">
        <v>45</v>
      </c>
      <c r="C227" s="207"/>
      <c r="D227" s="207"/>
      <c r="E227" s="96">
        <v>324903</v>
      </c>
      <c r="F227" s="96">
        <v>323197</v>
      </c>
      <c r="G227" s="126">
        <f t="shared" si="12"/>
        <v>99.47492020695408</v>
      </c>
      <c r="H227" s="96">
        <v>236836</v>
      </c>
      <c r="I227" s="214">
        <v>17644</v>
      </c>
      <c r="J227" s="96">
        <v>36782</v>
      </c>
      <c r="K227" s="96">
        <v>5596</v>
      </c>
      <c r="L227" s="96">
        <v>10100</v>
      </c>
      <c r="M227" s="96"/>
      <c r="N227" s="96">
        <v>15240</v>
      </c>
      <c r="O227" s="96"/>
      <c r="P227" s="96"/>
    </row>
    <row r="228" spans="1:16" ht="11.25">
      <c r="A228" s="97" t="s">
        <v>137</v>
      </c>
      <c r="B228" s="212">
        <v>46</v>
      </c>
      <c r="C228" s="207"/>
      <c r="D228" s="207"/>
      <c r="E228" s="96">
        <v>280765</v>
      </c>
      <c r="F228" s="96">
        <v>278708</v>
      </c>
      <c r="G228" s="126">
        <f t="shared" si="12"/>
        <v>99.26735882321515</v>
      </c>
      <c r="H228" s="96">
        <v>214758</v>
      </c>
      <c r="I228" s="214">
        <v>10849</v>
      </c>
      <c r="J228" s="96">
        <v>32754</v>
      </c>
      <c r="K228" s="96">
        <v>5106</v>
      </c>
      <c r="L228" s="96"/>
      <c r="M228" s="96"/>
      <c r="N228" s="96">
        <v>15240</v>
      </c>
      <c r="O228" s="96"/>
      <c r="P228" s="96"/>
    </row>
    <row r="229" spans="1:16" ht="11.25">
      <c r="A229" s="97" t="s">
        <v>138</v>
      </c>
      <c r="B229" s="212">
        <v>47</v>
      </c>
      <c r="C229" s="207"/>
      <c r="D229" s="207"/>
      <c r="E229" s="96">
        <v>383702</v>
      </c>
      <c r="F229" s="96">
        <v>382837</v>
      </c>
      <c r="G229" s="126">
        <f t="shared" si="12"/>
        <v>99.77456463609781</v>
      </c>
      <c r="H229" s="96">
        <v>281510</v>
      </c>
      <c r="I229" s="214">
        <v>14792</v>
      </c>
      <c r="J229" s="96">
        <v>42661</v>
      </c>
      <c r="K229" s="96">
        <v>5477</v>
      </c>
      <c r="L229" s="96">
        <v>10888</v>
      </c>
      <c r="M229" s="96">
        <v>456</v>
      </c>
      <c r="N229" s="96">
        <v>20320</v>
      </c>
      <c r="O229" s="96"/>
      <c r="P229" s="96"/>
    </row>
    <row r="230" spans="1:16" ht="11.25">
      <c r="A230" s="97" t="s">
        <v>139</v>
      </c>
      <c r="B230" s="212">
        <v>48</v>
      </c>
      <c r="C230" s="207"/>
      <c r="D230" s="207"/>
      <c r="E230" s="96">
        <v>180548</v>
      </c>
      <c r="F230" s="96">
        <v>179538</v>
      </c>
      <c r="G230" s="126">
        <f t="shared" si="12"/>
        <v>99.44059197554112</v>
      </c>
      <c r="H230" s="96">
        <v>136927</v>
      </c>
      <c r="I230" s="214">
        <v>6415</v>
      </c>
      <c r="J230" s="96">
        <v>21647</v>
      </c>
      <c r="K230" s="96">
        <v>3461</v>
      </c>
      <c r="L230" s="96">
        <v>1844</v>
      </c>
      <c r="M230" s="96"/>
      <c r="N230" s="96">
        <v>8890</v>
      </c>
      <c r="O230" s="96"/>
      <c r="P230" s="96"/>
    </row>
    <row r="231" spans="1:16" ht="11.25">
      <c r="A231" s="98" t="s">
        <v>178</v>
      </c>
      <c r="B231" s="15"/>
      <c r="C231" s="98"/>
      <c r="D231" s="98"/>
      <c r="E231" s="12">
        <f>SUM(E202:E230)</f>
        <v>6160440</v>
      </c>
      <c r="F231" s="12">
        <f>SUM(F202:F230)</f>
        <v>6086076</v>
      </c>
      <c r="G231" s="126">
        <f t="shared" si="12"/>
        <v>98.79287843076145</v>
      </c>
      <c r="H231" s="12">
        <f aca="true" t="shared" si="14" ref="H231:P231">SUM(H202:H230)</f>
        <v>4513598</v>
      </c>
      <c r="I231" s="127">
        <f t="shared" si="14"/>
        <v>266027</v>
      </c>
      <c r="J231" s="12">
        <f t="shared" si="14"/>
        <v>697905</v>
      </c>
      <c r="K231" s="12">
        <f t="shared" si="14"/>
        <v>101177</v>
      </c>
      <c r="L231" s="12">
        <f t="shared" si="14"/>
        <v>133849</v>
      </c>
      <c r="M231" s="12">
        <f t="shared" si="14"/>
        <v>1056</v>
      </c>
      <c r="N231" s="12">
        <f t="shared" si="14"/>
        <v>313792</v>
      </c>
      <c r="O231" s="12">
        <f t="shared" si="14"/>
        <v>0</v>
      </c>
      <c r="P231" s="12">
        <f t="shared" si="14"/>
        <v>0</v>
      </c>
    </row>
    <row r="232" spans="1:16" ht="11.25">
      <c r="A232" s="207" t="s">
        <v>143</v>
      </c>
      <c r="B232" s="203" t="s">
        <v>174</v>
      </c>
      <c r="C232" s="207"/>
      <c r="D232" s="207"/>
      <c r="E232" s="15">
        <v>1400</v>
      </c>
      <c r="F232" s="15">
        <v>1396</v>
      </c>
      <c r="G232" s="205">
        <f t="shared" si="12"/>
        <v>99.71428571428571</v>
      </c>
      <c r="H232" s="15"/>
      <c r="I232" s="206"/>
      <c r="J232" s="15"/>
      <c r="K232" s="15"/>
      <c r="L232" s="15"/>
      <c r="M232" s="15"/>
      <c r="N232" s="15"/>
      <c r="O232" s="15"/>
      <c r="P232" s="15"/>
    </row>
    <row r="233" spans="1:16" ht="11.25">
      <c r="A233" s="97" t="s">
        <v>144</v>
      </c>
      <c r="B233" s="212" t="s">
        <v>144</v>
      </c>
      <c r="C233" s="207"/>
      <c r="D233" s="207"/>
      <c r="E233" s="15">
        <v>1369</v>
      </c>
      <c r="F233" s="15">
        <v>1368</v>
      </c>
      <c r="G233" s="205">
        <f t="shared" si="12"/>
        <v>99.92695398100804</v>
      </c>
      <c r="H233" s="15"/>
      <c r="I233" s="206"/>
      <c r="J233" s="15"/>
      <c r="K233" s="15"/>
      <c r="L233" s="15"/>
      <c r="M233" s="15"/>
      <c r="N233" s="15"/>
      <c r="O233" s="15"/>
      <c r="P233" s="15"/>
    </row>
    <row r="234" spans="1:16" ht="11.25">
      <c r="A234" s="97" t="s">
        <v>145</v>
      </c>
      <c r="B234" s="212" t="s">
        <v>145</v>
      </c>
      <c r="C234" s="207"/>
      <c r="D234" s="207"/>
      <c r="E234" s="15">
        <v>2030</v>
      </c>
      <c r="F234" s="15">
        <v>2021</v>
      </c>
      <c r="G234" s="205">
        <f t="shared" si="12"/>
        <v>99.55665024630542</v>
      </c>
      <c r="H234" s="15"/>
      <c r="I234" s="206"/>
      <c r="J234" s="15"/>
      <c r="K234" s="15"/>
      <c r="L234" s="15"/>
      <c r="M234" s="15"/>
      <c r="N234" s="15"/>
      <c r="O234" s="15"/>
      <c r="P234" s="15"/>
    </row>
    <row r="235" spans="1:16" ht="11.25">
      <c r="A235" s="97" t="s">
        <v>146</v>
      </c>
      <c r="B235" s="212" t="s">
        <v>146</v>
      </c>
      <c r="C235" s="207"/>
      <c r="D235" s="207"/>
      <c r="E235" s="15">
        <v>10465</v>
      </c>
      <c r="F235" s="15">
        <v>10459</v>
      </c>
      <c r="G235" s="205">
        <f t="shared" si="12"/>
        <v>99.94266602962256</v>
      </c>
      <c r="H235" s="15"/>
      <c r="I235" s="206"/>
      <c r="J235" s="15"/>
      <c r="K235" s="15"/>
      <c r="L235" s="15"/>
      <c r="M235" s="15"/>
      <c r="N235" s="15"/>
      <c r="O235" s="15"/>
      <c r="P235" s="15"/>
    </row>
    <row r="236" spans="1:16" ht="11.25">
      <c r="A236" s="97" t="s">
        <v>111</v>
      </c>
      <c r="B236" s="212">
        <v>8</v>
      </c>
      <c r="C236" s="207"/>
      <c r="D236" s="207"/>
      <c r="E236" s="15">
        <v>2100</v>
      </c>
      <c r="F236" s="15">
        <v>2095</v>
      </c>
      <c r="G236" s="205">
        <f t="shared" si="12"/>
        <v>99.76190476190476</v>
      </c>
      <c r="H236" s="15"/>
      <c r="I236" s="206"/>
      <c r="J236" s="15"/>
      <c r="K236" s="15"/>
      <c r="L236" s="15"/>
      <c r="M236" s="15"/>
      <c r="N236" s="15"/>
      <c r="O236" s="15"/>
      <c r="P236" s="15"/>
    </row>
    <row r="237" spans="1:16" ht="11.25">
      <c r="A237" s="97" t="s">
        <v>112</v>
      </c>
      <c r="B237" s="212">
        <v>10</v>
      </c>
      <c r="C237" s="207"/>
      <c r="D237" s="207"/>
      <c r="E237" s="15">
        <v>8850</v>
      </c>
      <c r="F237" s="15">
        <v>8847</v>
      </c>
      <c r="G237" s="205">
        <f t="shared" si="12"/>
        <v>99.96610169491525</v>
      </c>
      <c r="H237" s="15"/>
      <c r="I237" s="206"/>
      <c r="J237" s="15"/>
      <c r="K237" s="15"/>
      <c r="L237" s="15"/>
      <c r="M237" s="15"/>
      <c r="N237" s="15"/>
      <c r="O237" s="15"/>
      <c r="P237" s="15"/>
    </row>
    <row r="238" spans="1:16" ht="11.25">
      <c r="A238" s="97" t="s">
        <v>113</v>
      </c>
      <c r="B238" s="212">
        <v>11</v>
      </c>
      <c r="C238" s="207"/>
      <c r="D238" s="207"/>
      <c r="E238" s="15">
        <v>2800</v>
      </c>
      <c r="F238" s="15">
        <v>2798</v>
      </c>
      <c r="G238" s="205">
        <f t="shared" si="12"/>
        <v>99.92857142857143</v>
      </c>
      <c r="H238" s="15"/>
      <c r="I238" s="206"/>
      <c r="J238" s="15"/>
      <c r="K238" s="15"/>
      <c r="L238" s="15"/>
      <c r="M238" s="15"/>
      <c r="N238" s="15"/>
      <c r="O238" s="15"/>
      <c r="P238" s="15"/>
    </row>
    <row r="239" spans="1:16" ht="11.25">
      <c r="A239" s="97" t="s">
        <v>114</v>
      </c>
      <c r="B239" s="212">
        <v>12</v>
      </c>
      <c r="C239" s="207"/>
      <c r="D239" s="207"/>
      <c r="E239" s="15">
        <v>11600</v>
      </c>
      <c r="F239" s="15">
        <v>11537</v>
      </c>
      <c r="G239" s="205">
        <f t="shared" si="12"/>
        <v>99.45689655172414</v>
      </c>
      <c r="H239" s="15"/>
      <c r="I239" s="206"/>
      <c r="J239" s="15"/>
      <c r="K239" s="15"/>
      <c r="L239" s="15"/>
      <c r="M239" s="15"/>
      <c r="N239" s="15"/>
      <c r="O239" s="15"/>
      <c r="P239" s="15"/>
    </row>
    <row r="240" spans="1:16" ht="11.25">
      <c r="A240" s="97" t="s">
        <v>115</v>
      </c>
      <c r="B240" s="212">
        <v>13</v>
      </c>
      <c r="C240" s="207"/>
      <c r="D240" s="207"/>
      <c r="E240" s="15">
        <v>4200</v>
      </c>
      <c r="F240" s="15">
        <v>4200</v>
      </c>
      <c r="G240" s="205">
        <f t="shared" si="12"/>
        <v>100</v>
      </c>
      <c r="H240" s="15"/>
      <c r="I240" s="206"/>
      <c r="J240" s="15"/>
      <c r="K240" s="15"/>
      <c r="L240" s="15"/>
      <c r="M240" s="15"/>
      <c r="N240" s="15"/>
      <c r="O240" s="15"/>
      <c r="P240" s="15"/>
    </row>
    <row r="241" spans="1:16" ht="11.25">
      <c r="A241" s="97" t="s">
        <v>150</v>
      </c>
      <c r="B241" s="212">
        <v>14</v>
      </c>
      <c r="C241" s="207"/>
      <c r="D241" s="207"/>
      <c r="E241" s="15">
        <v>6440</v>
      </c>
      <c r="F241" s="15">
        <v>6437</v>
      </c>
      <c r="G241" s="205">
        <f t="shared" si="12"/>
        <v>99.95341614906832</v>
      </c>
      <c r="H241" s="15"/>
      <c r="I241" s="206"/>
      <c r="J241" s="15"/>
      <c r="K241" s="15"/>
      <c r="L241" s="15"/>
      <c r="M241" s="15"/>
      <c r="N241" s="15"/>
      <c r="O241" s="15"/>
      <c r="P241" s="15"/>
    </row>
    <row r="242" spans="1:16" ht="11.25">
      <c r="A242" s="97" t="s">
        <v>117</v>
      </c>
      <c r="B242" s="212">
        <v>16</v>
      </c>
      <c r="C242" s="207"/>
      <c r="D242" s="207"/>
      <c r="E242" s="15">
        <v>3541</v>
      </c>
      <c r="F242" s="15">
        <v>3540</v>
      </c>
      <c r="G242" s="205">
        <f t="shared" si="12"/>
        <v>99.97175939000283</v>
      </c>
      <c r="H242" s="15"/>
      <c r="I242" s="206"/>
      <c r="J242" s="15"/>
      <c r="K242" s="15"/>
      <c r="L242" s="15"/>
      <c r="M242" s="15"/>
      <c r="N242" s="15"/>
      <c r="O242" s="15"/>
      <c r="P242" s="15"/>
    </row>
    <row r="243" spans="1:16" ht="11.25">
      <c r="A243" s="97" t="s">
        <v>118</v>
      </c>
      <c r="B243" s="212">
        <v>17</v>
      </c>
      <c r="C243" s="207"/>
      <c r="D243" s="207"/>
      <c r="E243" s="15">
        <v>1750</v>
      </c>
      <c r="F243" s="15">
        <v>1749</v>
      </c>
      <c r="G243" s="205">
        <f t="shared" si="12"/>
        <v>99.94285714285715</v>
      </c>
      <c r="H243" s="15"/>
      <c r="I243" s="206"/>
      <c r="J243" s="15"/>
      <c r="K243" s="15"/>
      <c r="L243" s="15"/>
      <c r="M243" s="15"/>
      <c r="N243" s="15"/>
      <c r="O243" s="15"/>
      <c r="P243" s="15"/>
    </row>
    <row r="244" spans="1:16" ht="11.25">
      <c r="A244" s="97" t="s">
        <v>119</v>
      </c>
      <c r="B244" s="212">
        <v>18</v>
      </c>
      <c r="C244" s="207"/>
      <c r="D244" s="207"/>
      <c r="E244" s="15">
        <v>4200</v>
      </c>
      <c r="F244" s="15">
        <v>4182</v>
      </c>
      <c r="G244" s="205">
        <f t="shared" si="12"/>
        <v>99.57142857142857</v>
      </c>
      <c r="H244" s="15"/>
      <c r="I244" s="206"/>
      <c r="J244" s="15"/>
      <c r="K244" s="15"/>
      <c r="L244" s="15"/>
      <c r="M244" s="15"/>
      <c r="N244" s="15"/>
      <c r="O244" s="15"/>
      <c r="P244" s="15"/>
    </row>
    <row r="245" spans="1:16" ht="11.25">
      <c r="A245" s="97" t="s">
        <v>120</v>
      </c>
      <c r="B245" s="212">
        <v>20</v>
      </c>
      <c r="C245" s="207"/>
      <c r="D245" s="207"/>
      <c r="E245" s="15">
        <v>5262</v>
      </c>
      <c r="F245" s="15">
        <v>5255</v>
      </c>
      <c r="G245" s="205">
        <f t="shared" si="12"/>
        <v>99.86697073356139</v>
      </c>
      <c r="H245" s="15"/>
      <c r="I245" s="206"/>
      <c r="J245" s="15"/>
      <c r="K245" s="15"/>
      <c r="L245" s="15"/>
      <c r="M245" s="15"/>
      <c r="N245" s="15"/>
      <c r="O245" s="15"/>
      <c r="P245" s="15"/>
    </row>
    <row r="246" spans="1:16" ht="11.25">
      <c r="A246" s="97" t="s">
        <v>121</v>
      </c>
      <c r="B246" s="212">
        <v>21</v>
      </c>
      <c r="C246" s="207"/>
      <c r="D246" s="207"/>
      <c r="E246" s="15">
        <v>7800</v>
      </c>
      <c r="F246" s="15">
        <v>7753</v>
      </c>
      <c r="G246" s="205">
        <f t="shared" si="12"/>
        <v>99.3974358974359</v>
      </c>
      <c r="H246" s="15"/>
      <c r="I246" s="206"/>
      <c r="J246" s="15"/>
      <c r="K246" s="15"/>
      <c r="L246" s="15"/>
      <c r="M246" s="15"/>
      <c r="N246" s="15"/>
      <c r="O246" s="15"/>
      <c r="P246" s="15"/>
    </row>
    <row r="247" spans="1:16" ht="11.25">
      <c r="A247" s="97" t="s">
        <v>122</v>
      </c>
      <c r="B247" s="212">
        <v>23</v>
      </c>
      <c r="C247" s="207"/>
      <c r="D247" s="207"/>
      <c r="E247" s="15">
        <v>2800</v>
      </c>
      <c r="F247" s="15">
        <v>2797</v>
      </c>
      <c r="G247" s="205">
        <f t="shared" si="12"/>
        <v>99.89285714285714</v>
      </c>
      <c r="H247" s="15"/>
      <c r="I247" s="206"/>
      <c r="J247" s="15"/>
      <c r="K247" s="15"/>
      <c r="L247" s="15"/>
      <c r="M247" s="15"/>
      <c r="N247" s="15"/>
      <c r="O247" s="15"/>
      <c r="P247" s="15"/>
    </row>
    <row r="248" spans="1:16" ht="11.25">
      <c r="A248" s="97" t="s">
        <v>123</v>
      </c>
      <c r="B248" s="212">
        <v>26</v>
      </c>
      <c r="C248" s="207"/>
      <c r="D248" s="207"/>
      <c r="E248" s="15">
        <v>2800</v>
      </c>
      <c r="F248" s="15">
        <v>2795</v>
      </c>
      <c r="G248" s="205">
        <f t="shared" si="12"/>
        <v>99.82142857142857</v>
      </c>
      <c r="H248" s="15"/>
      <c r="I248" s="206"/>
      <c r="J248" s="15"/>
      <c r="K248" s="15"/>
      <c r="L248" s="15"/>
      <c r="M248" s="15"/>
      <c r="N248" s="15"/>
      <c r="O248" s="15"/>
      <c r="P248" s="15"/>
    </row>
    <row r="249" spans="1:16" ht="11.25">
      <c r="A249" s="97" t="s">
        <v>154</v>
      </c>
      <c r="B249" s="212" t="s">
        <v>154</v>
      </c>
      <c r="C249" s="207"/>
      <c r="D249" s="207"/>
      <c r="E249" s="15">
        <v>3400</v>
      </c>
      <c r="F249" s="15">
        <v>3398</v>
      </c>
      <c r="G249" s="205">
        <f t="shared" si="12"/>
        <v>99.94117647058823</v>
      </c>
      <c r="H249" s="15"/>
      <c r="I249" s="206"/>
      <c r="J249" s="15"/>
      <c r="K249" s="15"/>
      <c r="L249" s="15"/>
      <c r="M249" s="15"/>
      <c r="N249" s="15"/>
      <c r="O249" s="15"/>
      <c r="P249" s="15"/>
    </row>
    <row r="250" spans="1:16" ht="11.25">
      <c r="A250" s="97" t="s">
        <v>124</v>
      </c>
      <c r="B250" s="212">
        <v>28</v>
      </c>
      <c r="C250" s="207"/>
      <c r="D250" s="207"/>
      <c r="E250" s="15">
        <v>4200</v>
      </c>
      <c r="F250" s="15">
        <v>4196</v>
      </c>
      <c r="G250" s="205">
        <f t="shared" si="12"/>
        <v>99.90476190476191</v>
      </c>
      <c r="H250" s="15"/>
      <c r="I250" s="206"/>
      <c r="J250" s="15"/>
      <c r="K250" s="15"/>
      <c r="L250" s="15"/>
      <c r="M250" s="15"/>
      <c r="N250" s="15"/>
      <c r="O250" s="15"/>
      <c r="P250" s="15"/>
    </row>
    <row r="251" spans="1:16" ht="11.25">
      <c r="A251" s="97" t="s">
        <v>125</v>
      </c>
      <c r="B251" s="212">
        <v>29</v>
      </c>
      <c r="C251" s="207"/>
      <c r="D251" s="207"/>
      <c r="E251" s="15">
        <v>5600</v>
      </c>
      <c r="F251" s="15">
        <v>5596</v>
      </c>
      <c r="G251" s="205">
        <f t="shared" si="12"/>
        <v>99.92857142857143</v>
      </c>
      <c r="H251" s="15"/>
      <c r="I251" s="206"/>
      <c r="J251" s="15"/>
      <c r="K251" s="15"/>
      <c r="L251" s="15"/>
      <c r="M251" s="15"/>
      <c r="N251" s="15"/>
      <c r="O251" s="15"/>
      <c r="P251" s="15"/>
    </row>
    <row r="252" spans="1:16" ht="11.25">
      <c r="A252" s="97" t="s">
        <v>126</v>
      </c>
      <c r="B252" s="212">
        <v>31</v>
      </c>
      <c r="C252" s="207"/>
      <c r="D252" s="207"/>
      <c r="E252" s="15">
        <v>11200</v>
      </c>
      <c r="F252" s="15">
        <v>11169</v>
      </c>
      <c r="G252" s="205">
        <f t="shared" si="12"/>
        <v>99.72321428571429</v>
      </c>
      <c r="H252" s="15"/>
      <c r="I252" s="206"/>
      <c r="J252" s="15"/>
      <c r="K252" s="15"/>
      <c r="L252" s="15"/>
      <c r="M252" s="15"/>
      <c r="N252" s="15"/>
      <c r="O252" s="15"/>
      <c r="P252" s="15"/>
    </row>
    <row r="253" spans="1:16" ht="11.25">
      <c r="A253" s="97" t="s">
        <v>127</v>
      </c>
      <c r="B253" s="212">
        <v>33</v>
      </c>
      <c r="C253" s="207"/>
      <c r="D253" s="207"/>
      <c r="E253" s="15">
        <v>7792</v>
      </c>
      <c r="F253" s="15">
        <v>7791</v>
      </c>
      <c r="G253" s="205">
        <f t="shared" si="12"/>
        <v>99.98716632443532</v>
      </c>
      <c r="H253" s="15"/>
      <c r="I253" s="206"/>
      <c r="J253" s="15"/>
      <c r="K253" s="15"/>
      <c r="L253" s="15"/>
      <c r="M253" s="15"/>
      <c r="N253" s="15"/>
      <c r="O253" s="15"/>
      <c r="P253" s="15"/>
    </row>
    <row r="254" spans="1:16" ht="11.25">
      <c r="A254" s="97" t="s">
        <v>129</v>
      </c>
      <c r="B254" s="212">
        <v>35</v>
      </c>
      <c r="C254" s="207"/>
      <c r="D254" s="207"/>
      <c r="E254" s="15">
        <v>1645</v>
      </c>
      <c r="F254" s="15">
        <v>1642</v>
      </c>
      <c r="G254" s="205">
        <f t="shared" si="12"/>
        <v>99.8176291793313</v>
      </c>
      <c r="H254" s="15"/>
      <c r="I254" s="206"/>
      <c r="J254" s="15"/>
      <c r="K254" s="15"/>
      <c r="L254" s="15"/>
      <c r="M254" s="15"/>
      <c r="N254" s="15"/>
      <c r="O254" s="15"/>
      <c r="P254" s="15"/>
    </row>
    <row r="255" spans="1:16" ht="11.25">
      <c r="A255" s="97" t="s">
        <v>156</v>
      </c>
      <c r="B255" s="212" t="s">
        <v>157</v>
      </c>
      <c r="C255" s="207"/>
      <c r="D255" s="207"/>
      <c r="E255" s="15">
        <v>1400</v>
      </c>
      <c r="F255" s="15">
        <v>1398</v>
      </c>
      <c r="G255" s="205">
        <f t="shared" si="12"/>
        <v>99.85714285714286</v>
      </c>
      <c r="H255" s="15"/>
      <c r="I255" s="206"/>
      <c r="J255" s="15"/>
      <c r="K255" s="15"/>
      <c r="L255" s="15"/>
      <c r="M255" s="15"/>
      <c r="N255" s="15"/>
      <c r="O255" s="15"/>
      <c r="P255" s="15"/>
    </row>
    <row r="256" spans="1:16" ht="11.25">
      <c r="A256" s="97" t="s">
        <v>130</v>
      </c>
      <c r="B256" s="212">
        <v>37</v>
      </c>
      <c r="C256" s="207"/>
      <c r="D256" s="207"/>
      <c r="E256" s="15">
        <v>2800</v>
      </c>
      <c r="F256" s="15">
        <v>2760</v>
      </c>
      <c r="G256" s="205">
        <f t="shared" si="12"/>
        <v>98.57142857142858</v>
      </c>
      <c r="H256" s="15"/>
      <c r="I256" s="206"/>
      <c r="J256" s="15"/>
      <c r="K256" s="15"/>
      <c r="L256" s="15"/>
      <c r="M256" s="15"/>
      <c r="N256" s="15"/>
      <c r="O256" s="15"/>
      <c r="P256" s="15"/>
    </row>
    <row r="257" spans="1:16" ht="11.25">
      <c r="A257" s="97" t="s">
        <v>131</v>
      </c>
      <c r="B257" s="212">
        <v>39</v>
      </c>
      <c r="C257" s="207"/>
      <c r="D257" s="207"/>
      <c r="E257" s="15">
        <v>5951</v>
      </c>
      <c r="F257" s="15">
        <v>5950</v>
      </c>
      <c r="G257" s="205">
        <f t="shared" si="12"/>
        <v>99.98319610149554</v>
      </c>
      <c r="H257" s="15"/>
      <c r="I257" s="206"/>
      <c r="J257" s="15"/>
      <c r="K257" s="15"/>
      <c r="L257" s="15"/>
      <c r="M257" s="15"/>
      <c r="N257" s="15"/>
      <c r="O257" s="15"/>
      <c r="P257" s="15"/>
    </row>
    <row r="258" spans="1:16" ht="11.25">
      <c r="A258" s="97" t="s">
        <v>132</v>
      </c>
      <c r="B258" s="212">
        <v>40</v>
      </c>
      <c r="C258" s="207"/>
      <c r="D258" s="207"/>
      <c r="E258" s="15">
        <v>10637</v>
      </c>
      <c r="F258" s="15">
        <v>10636</v>
      </c>
      <c r="G258" s="205">
        <f t="shared" si="12"/>
        <v>99.99059885306008</v>
      </c>
      <c r="H258" s="15"/>
      <c r="I258" s="206"/>
      <c r="J258" s="15"/>
      <c r="K258" s="15"/>
      <c r="L258" s="15"/>
      <c r="M258" s="15"/>
      <c r="N258" s="15"/>
      <c r="O258" s="15"/>
      <c r="P258" s="15"/>
    </row>
    <row r="259" spans="1:16" ht="11.25">
      <c r="A259" s="97" t="s">
        <v>158</v>
      </c>
      <c r="B259" s="212" t="s">
        <v>159</v>
      </c>
      <c r="C259" s="207"/>
      <c r="D259" s="207"/>
      <c r="E259" s="15">
        <v>700</v>
      </c>
      <c r="F259" s="15">
        <v>697</v>
      </c>
      <c r="G259" s="205">
        <f t="shared" si="12"/>
        <v>99.57142857142857</v>
      </c>
      <c r="H259" s="15"/>
      <c r="I259" s="206"/>
      <c r="J259" s="15"/>
      <c r="K259" s="15"/>
      <c r="L259" s="15"/>
      <c r="M259" s="15"/>
      <c r="N259" s="15"/>
      <c r="O259" s="15"/>
      <c r="P259" s="15"/>
    </row>
    <row r="260" spans="1:16" ht="11.25">
      <c r="A260" s="97" t="s">
        <v>133</v>
      </c>
      <c r="B260" s="212">
        <v>42</v>
      </c>
      <c r="C260" s="207"/>
      <c r="D260" s="207"/>
      <c r="E260" s="15">
        <v>10213</v>
      </c>
      <c r="F260" s="15">
        <f>1980+8232</f>
        <v>10212</v>
      </c>
      <c r="G260" s="205">
        <f t="shared" si="12"/>
        <v>99.99020855772055</v>
      </c>
      <c r="H260" s="15"/>
      <c r="I260" s="206"/>
      <c r="J260" s="15"/>
      <c r="K260" s="15"/>
      <c r="L260" s="15"/>
      <c r="M260" s="15"/>
      <c r="N260" s="15"/>
      <c r="O260" s="15"/>
      <c r="P260" s="15"/>
    </row>
    <row r="261" spans="1:16" ht="11.25">
      <c r="A261" s="97" t="s">
        <v>134</v>
      </c>
      <c r="B261" s="212">
        <v>43</v>
      </c>
      <c r="C261" s="207"/>
      <c r="D261" s="207"/>
      <c r="E261" s="15">
        <v>16909</v>
      </c>
      <c r="F261" s="15">
        <v>16891</v>
      </c>
      <c r="G261" s="205">
        <f aca="true" t="shared" si="15" ref="G261:G304">F261/E261*100</f>
        <v>99.8935478147732</v>
      </c>
      <c r="H261" s="15"/>
      <c r="I261" s="206"/>
      <c r="J261" s="15"/>
      <c r="K261" s="15"/>
      <c r="L261" s="15"/>
      <c r="M261" s="15"/>
      <c r="N261" s="15"/>
      <c r="O261" s="15"/>
      <c r="P261" s="15"/>
    </row>
    <row r="262" spans="1:16" ht="11.25">
      <c r="A262" s="97" t="s">
        <v>135</v>
      </c>
      <c r="B262" s="212">
        <v>44</v>
      </c>
      <c r="C262" s="207"/>
      <c r="D262" s="207"/>
      <c r="E262" s="15">
        <v>4385</v>
      </c>
      <c r="F262" s="15">
        <v>4384</v>
      </c>
      <c r="G262" s="205">
        <f t="shared" si="15"/>
        <v>99.97719498289624</v>
      </c>
      <c r="H262" s="15"/>
      <c r="I262" s="206"/>
      <c r="J262" s="15"/>
      <c r="K262" s="15"/>
      <c r="L262" s="15"/>
      <c r="M262" s="15"/>
      <c r="N262" s="15"/>
      <c r="O262" s="15"/>
      <c r="P262" s="15"/>
    </row>
    <row r="263" spans="1:16" ht="11.25">
      <c r="A263" s="97" t="s">
        <v>137</v>
      </c>
      <c r="B263" s="212">
        <v>46</v>
      </c>
      <c r="C263" s="207"/>
      <c r="D263" s="207"/>
      <c r="E263" s="15">
        <v>10171</v>
      </c>
      <c r="F263" s="15">
        <f>1980+8190</f>
        <v>10170</v>
      </c>
      <c r="G263" s="205">
        <f t="shared" si="15"/>
        <v>99.99016812506144</v>
      </c>
      <c r="H263" s="15"/>
      <c r="I263" s="206"/>
      <c r="J263" s="15"/>
      <c r="K263" s="15"/>
      <c r="L263" s="15"/>
      <c r="M263" s="15"/>
      <c r="N263" s="15"/>
      <c r="O263" s="15"/>
      <c r="P263" s="15"/>
    </row>
    <row r="264" spans="1:16" ht="11.25">
      <c r="A264" s="97" t="s">
        <v>138</v>
      </c>
      <c r="B264" s="212">
        <v>47</v>
      </c>
      <c r="C264" s="207"/>
      <c r="D264" s="207"/>
      <c r="E264" s="15">
        <v>32185</v>
      </c>
      <c r="F264" s="15">
        <f>6811+25183</f>
        <v>31994</v>
      </c>
      <c r="G264" s="205">
        <f t="shared" si="15"/>
        <v>99.40655584899798</v>
      </c>
      <c r="H264" s="15"/>
      <c r="I264" s="206"/>
      <c r="J264" s="15"/>
      <c r="K264" s="15"/>
      <c r="L264" s="15"/>
      <c r="M264" s="15"/>
      <c r="N264" s="15"/>
      <c r="O264" s="15"/>
      <c r="P264" s="15"/>
    </row>
    <row r="265" spans="1:16" ht="11.25">
      <c r="A265" s="97" t="s">
        <v>139</v>
      </c>
      <c r="B265" s="212">
        <v>48</v>
      </c>
      <c r="C265" s="207"/>
      <c r="D265" s="207"/>
      <c r="E265" s="15">
        <v>6090</v>
      </c>
      <c r="F265" s="15">
        <v>6071</v>
      </c>
      <c r="G265" s="205">
        <f t="shared" si="15"/>
        <v>99.688013136289</v>
      </c>
      <c r="H265" s="15"/>
      <c r="I265" s="206"/>
      <c r="J265" s="15"/>
      <c r="K265" s="15"/>
      <c r="L265" s="15"/>
      <c r="M265" s="15"/>
      <c r="N265" s="15"/>
      <c r="O265" s="15"/>
      <c r="P265" s="15"/>
    </row>
    <row r="266" spans="1:16" ht="11.25">
      <c r="A266" s="98" t="s">
        <v>179</v>
      </c>
      <c r="B266" s="199"/>
      <c r="C266" s="207"/>
      <c r="D266" s="207"/>
      <c r="E266" s="12">
        <f>SUM(E232:E265)</f>
        <v>214685</v>
      </c>
      <c r="F266" s="12">
        <f>SUM(F232:F265)</f>
        <v>214184</v>
      </c>
      <c r="G266" s="126">
        <f t="shared" si="15"/>
        <v>99.7666348370869</v>
      </c>
      <c r="H266" s="12">
        <f aca="true" t="shared" si="16" ref="H266:P266">SUM(H232:H265)</f>
        <v>0</v>
      </c>
      <c r="I266" s="127">
        <f t="shared" si="16"/>
        <v>0</v>
      </c>
      <c r="J266" s="12">
        <f t="shared" si="16"/>
        <v>0</v>
      </c>
      <c r="K266" s="12">
        <f t="shared" si="16"/>
        <v>0</v>
      </c>
      <c r="L266" s="12">
        <f t="shared" si="16"/>
        <v>0</v>
      </c>
      <c r="M266" s="12">
        <f t="shared" si="16"/>
        <v>0</v>
      </c>
      <c r="N266" s="12">
        <f t="shared" si="16"/>
        <v>0</v>
      </c>
      <c r="O266" s="12">
        <f t="shared" si="16"/>
        <v>0</v>
      </c>
      <c r="P266" s="12">
        <f t="shared" si="16"/>
        <v>0</v>
      </c>
    </row>
    <row r="267" spans="1:16" ht="11.25">
      <c r="A267" s="207" t="s">
        <v>174</v>
      </c>
      <c r="B267" s="203" t="s">
        <v>174</v>
      </c>
      <c r="C267" s="207"/>
      <c r="D267" s="207"/>
      <c r="E267" s="15">
        <v>4200</v>
      </c>
      <c r="F267" s="15">
        <v>3880</v>
      </c>
      <c r="G267" s="205">
        <f t="shared" si="15"/>
        <v>92.38095238095238</v>
      </c>
      <c r="H267" s="15"/>
      <c r="I267" s="206"/>
      <c r="J267" s="15"/>
      <c r="K267" s="15"/>
      <c r="L267" s="15"/>
      <c r="M267" s="15"/>
      <c r="N267" s="15"/>
      <c r="O267" s="15"/>
      <c r="P267" s="15"/>
    </row>
    <row r="268" spans="1:16" ht="11.25">
      <c r="A268" s="97" t="s">
        <v>144</v>
      </c>
      <c r="B268" s="212" t="s">
        <v>144</v>
      </c>
      <c r="C268" s="207"/>
      <c r="D268" s="207"/>
      <c r="E268" s="15">
        <v>5880</v>
      </c>
      <c r="F268" s="15">
        <v>5880</v>
      </c>
      <c r="G268" s="205">
        <f t="shared" si="15"/>
        <v>100</v>
      </c>
      <c r="H268" s="15"/>
      <c r="I268" s="206"/>
      <c r="J268" s="15"/>
      <c r="K268" s="15"/>
      <c r="L268" s="15"/>
      <c r="M268" s="15"/>
      <c r="N268" s="15"/>
      <c r="O268" s="15"/>
      <c r="P268" s="15"/>
    </row>
    <row r="269" spans="1:16" ht="11.25">
      <c r="A269" s="97" t="s">
        <v>145</v>
      </c>
      <c r="B269" s="212" t="s">
        <v>145</v>
      </c>
      <c r="C269" s="207"/>
      <c r="D269" s="207"/>
      <c r="E269" s="15">
        <v>22585</v>
      </c>
      <c r="F269" s="15">
        <v>22493</v>
      </c>
      <c r="G269" s="205">
        <f t="shared" si="15"/>
        <v>99.5926499889307</v>
      </c>
      <c r="H269" s="15"/>
      <c r="I269" s="206"/>
      <c r="J269" s="15"/>
      <c r="K269" s="15"/>
      <c r="L269" s="15"/>
      <c r="M269" s="15"/>
      <c r="N269" s="15"/>
      <c r="O269" s="15"/>
      <c r="P269" s="15"/>
    </row>
    <row r="270" spans="1:16" ht="11.25">
      <c r="A270" s="97" t="s">
        <v>110</v>
      </c>
      <c r="B270" s="212">
        <v>6</v>
      </c>
      <c r="C270" s="207"/>
      <c r="D270" s="207"/>
      <c r="E270" s="15">
        <v>21690</v>
      </c>
      <c r="F270" s="15">
        <v>21690</v>
      </c>
      <c r="G270" s="205">
        <f t="shared" si="15"/>
        <v>100</v>
      </c>
      <c r="H270" s="15"/>
      <c r="I270" s="206"/>
      <c r="J270" s="15"/>
      <c r="K270" s="15"/>
      <c r="L270" s="15"/>
      <c r="M270" s="15"/>
      <c r="N270" s="15"/>
      <c r="O270" s="15"/>
      <c r="P270" s="15"/>
    </row>
    <row r="271" spans="1:16" ht="11.25">
      <c r="A271" s="97" t="s">
        <v>146</v>
      </c>
      <c r="B271" s="212" t="s">
        <v>146</v>
      </c>
      <c r="C271" s="207"/>
      <c r="D271" s="207"/>
      <c r="E271" s="15">
        <v>41200</v>
      </c>
      <c r="F271" s="15">
        <v>40503</v>
      </c>
      <c r="G271" s="205">
        <f t="shared" si="15"/>
        <v>98.30825242718446</v>
      </c>
      <c r="H271" s="15"/>
      <c r="I271" s="206"/>
      <c r="J271" s="15"/>
      <c r="K271" s="15"/>
      <c r="L271" s="15"/>
      <c r="M271" s="15"/>
      <c r="N271" s="15"/>
      <c r="O271" s="15"/>
      <c r="P271" s="15"/>
    </row>
    <row r="272" spans="1:16" ht="11.25">
      <c r="A272" s="97" t="s">
        <v>111</v>
      </c>
      <c r="B272" s="212">
        <v>8</v>
      </c>
      <c r="C272" s="207"/>
      <c r="D272" s="207"/>
      <c r="E272" s="15">
        <v>10330</v>
      </c>
      <c r="F272" s="15">
        <v>10171</v>
      </c>
      <c r="G272" s="205">
        <f t="shared" si="15"/>
        <v>98.46079380445305</v>
      </c>
      <c r="H272" s="15"/>
      <c r="I272" s="206"/>
      <c r="J272" s="15"/>
      <c r="K272" s="15"/>
      <c r="L272" s="15"/>
      <c r="M272" s="15"/>
      <c r="N272" s="15"/>
      <c r="O272" s="15"/>
      <c r="P272" s="15"/>
    </row>
    <row r="273" spans="1:16" ht="11.25">
      <c r="A273" s="97" t="s">
        <v>112</v>
      </c>
      <c r="B273" s="212">
        <v>10</v>
      </c>
      <c r="C273" s="207"/>
      <c r="D273" s="207"/>
      <c r="E273" s="15">
        <v>52930</v>
      </c>
      <c r="F273" s="15">
        <v>52494</v>
      </c>
      <c r="G273" s="205">
        <f t="shared" si="15"/>
        <v>99.17627054600415</v>
      </c>
      <c r="H273" s="15"/>
      <c r="I273" s="206"/>
      <c r="J273" s="15"/>
      <c r="K273" s="15"/>
      <c r="L273" s="15"/>
      <c r="M273" s="15"/>
      <c r="N273" s="15"/>
      <c r="O273" s="15"/>
      <c r="P273" s="15"/>
    </row>
    <row r="274" spans="1:16" ht="11.25">
      <c r="A274" s="97" t="s">
        <v>113</v>
      </c>
      <c r="B274" s="212">
        <v>11</v>
      </c>
      <c r="C274" s="207"/>
      <c r="D274" s="207"/>
      <c r="E274" s="15">
        <v>25730</v>
      </c>
      <c r="F274" s="15">
        <v>24915</v>
      </c>
      <c r="G274" s="205">
        <f t="shared" si="15"/>
        <v>96.83249125534395</v>
      </c>
      <c r="H274" s="15"/>
      <c r="I274" s="206"/>
      <c r="J274" s="15"/>
      <c r="K274" s="15"/>
      <c r="L274" s="15"/>
      <c r="M274" s="15"/>
      <c r="N274" s="15"/>
      <c r="O274" s="15"/>
      <c r="P274" s="15"/>
    </row>
    <row r="275" spans="1:16" ht="11.25">
      <c r="A275" s="97" t="s">
        <v>114</v>
      </c>
      <c r="B275" s="212">
        <v>12</v>
      </c>
      <c r="C275" s="207"/>
      <c r="D275" s="207"/>
      <c r="E275" s="15">
        <v>19430</v>
      </c>
      <c r="F275" s="15">
        <v>19430</v>
      </c>
      <c r="G275" s="205">
        <f t="shared" si="15"/>
        <v>100</v>
      </c>
      <c r="H275" s="15"/>
      <c r="I275" s="206"/>
      <c r="J275" s="15"/>
      <c r="K275" s="15"/>
      <c r="L275" s="15"/>
      <c r="M275" s="15"/>
      <c r="N275" s="15"/>
      <c r="O275" s="15"/>
      <c r="P275" s="15"/>
    </row>
    <row r="276" spans="1:16" ht="11.25">
      <c r="A276" s="97" t="s">
        <v>115</v>
      </c>
      <c r="B276" s="212">
        <v>13</v>
      </c>
      <c r="C276" s="207"/>
      <c r="D276" s="207"/>
      <c r="E276" s="15">
        <v>27500</v>
      </c>
      <c r="F276" s="15">
        <v>25828</v>
      </c>
      <c r="G276" s="205">
        <f t="shared" si="15"/>
        <v>93.92</v>
      </c>
      <c r="H276" s="15"/>
      <c r="I276" s="206"/>
      <c r="J276" s="15"/>
      <c r="K276" s="15"/>
      <c r="L276" s="15"/>
      <c r="M276" s="15"/>
      <c r="N276" s="15"/>
      <c r="O276" s="15"/>
      <c r="P276" s="15"/>
    </row>
    <row r="277" spans="1:16" ht="11.25">
      <c r="A277" s="97" t="s">
        <v>150</v>
      </c>
      <c r="B277" s="212">
        <v>14</v>
      </c>
      <c r="C277" s="207"/>
      <c r="D277" s="207"/>
      <c r="E277" s="15">
        <v>7450</v>
      </c>
      <c r="F277" s="15">
        <v>5140</v>
      </c>
      <c r="G277" s="205">
        <f t="shared" si="15"/>
        <v>68.99328859060402</v>
      </c>
      <c r="H277" s="15"/>
      <c r="I277" s="206"/>
      <c r="J277" s="15"/>
      <c r="K277" s="15"/>
      <c r="L277" s="15"/>
      <c r="M277" s="15"/>
      <c r="N277" s="15"/>
      <c r="O277" s="15"/>
      <c r="P277" s="15"/>
    </row>
    <row r="278" spans="1:16" ht="11.25">
      <c r="A278" s="97" t="s">
        <v>117</v>
      </c>
      <c r="B278" s="212">
        <v>16</v>
      </c>
      <c r="C278" s="207"/>
      <c r="D278" s="207"/>
      <c r="E278" s="15">
        <v>28690</v>
      </c>
      <c r="F278" s="15">
        <v>28165</v>
      </c>
      <c r="G278" s="205">
        <f t="shared" si="15"/>
        <v>98.1700941094458</v>
      </c>
      <c r="H278" s="15"/>
      <c r="I278" s="206"/>
      <c r="J278" s="15"/>
      <c r="K278" s="15"/>
      <c r="L278" s="15"/>
      <c r="M278" s="15"/>
      <c r="N278" s="15"/>
      <c r="O278" s="15"/>
      <c r="P278" s="15"/>
    </row>
    <row r="279" spans="1:16" ht="11.25">
      <c r="A279" s="97" t="s">
        <v>118</v>
      </c>
      <c r="B279" s="212">
        <v>17</v>
      </c>
      <c r="C279" s="207"/>
      <c r="D279" s="207"/>
      <c r="E279" s="15">
        <v>30035</v>
      </c>
      <c r="F279" s="15">
        <v>30015</v>
      </c>
      <c r="G279" s="205">
        <f t="shared" si="15"/>
        <v>99.93341102047611</v>
      </c>
      <c r="H279" s="15"/>
      <c r="I279" s="206"/>
      <c r="J279" s="15"/>
      <c r="K279" s="15"/>
      <c r="L279" s="15"/>
      <c r="M279" s="15"/>
      <c r="N279" s="15"/>
      <c r="O279" s="15"/>
      <c r="P279" s="15"/>
    </row>
    <row r="280" spans="1:16" ht="11.25">
      <c r="A280" s="97" t="s">
        <v>119</v>
      </c>
      <c r="B280" s="212">
        <v>18</v>
      </c>
      <c r="C280" s="207"/>
      <c r="D280" s="207"/>
      <c r="E280" s="15">
        <v>13520</v>
      </c>
      <c r="F280" s="15">
        <v>13520</v>
      </c>
      <c r="G280" s="205">
        <f t="shared" si="15"/>
        <v>100</v>
      </c>
      <c r="H280" s="15"/>
      <c r="I280" s="206"/>
      <c r="J280" s="15"/>
      <c r="K280" s="15"/>
      <c r="L280" s="15"/>
      <c r="M280" s="15"/>
      <c r="N280" s="15"/>
      <c r="O280" s="15"/>
      <c r="P280" s="15"/>
    </row>
    <row r="281" spans="1:16" ht="11.25">
      <c r="A281" s="97" t="s">
        <v>120</v>
      </c>
      <c r="B281" s="212">
        <v>20</v>
      </c>
      <c r="C281" s="207"/>
      <c r="D281" s="207"/>
      <c r="E281" s="15">
        <v>9380</v>
      </c>
      <c r="F281" s="15">
        <v>9380</v>
      </c>
      <c r="G281" s="205">
        <f t="shared" si="15"/>
        <v>100</v>
      </c>
      <c r="H281" s="15"/>
      <c r="I281" s="206"/>
      <c r="J281" s="15"/>
      <c r="K281" s="15"/>
      <c r="L281" s="15"/>
      <c r="M281" s="15"/>
      <c r="N281" s="15"/>
      <c r="O281" s="15"/>
      <c r="P281" s="15"/>
    </row>
    <row r="282" spans="1:16" ht="11.25">
      <c r="A282" s="97" t="s">
        <v>121</v>
      </c>
      <c r="B282" s="212">
        <v>21</v>
      </c>
      <c r="C282" s="207"/>
      <c r="D282" s="207"/>
      <c r="E282" s="15">
        <v>11520</v>
      </c>
      <c r="F282" s="15">
        <v>10650</v>
      </c>
      <c r="G282" s="205">
        <f t="shared" si="15"/>
        <v>92.44791666666666</v>
      </c>
      <c r="H282" s="15"/>
      <c r="I282" s="206"/>
      <c r="J282" s="15"/>
      <c r="K282" s="15"/>
      <c r="L282" s="15"/>
      <c r="M282" s="15"/>
      <c r="N282" s="15"/>
      <c r="O282" s="15"/>
      <c r="P282" s="15"/>
    </row>
    <row r="283" spans="1:16" ht="11.25">
      <c r="A283" s="97" t="s">
        <v>122</v>
      </c>
      <c r="B283" s="212">
        <v>23</v>
      </c>
      <c r="C283" s="207"/>
      <c r="D283" s="207"/>
      <c r="E283" s="15">
        <v>17690</v>
      </c>
      <c r="F283" s="15">
        <v>17677</v>
      </c>
      <c r="G283" s="205">
        <f t="shared" si="15"/>
        <v>99.92651215375918</v>
      </c>
      <c r="H283" s="15"/>
      <c r="I283" s="206"/>
      <c r="J283" s="15"/>
      <c r="K283" s="15"/>
      <c r="L283" s="15"/>
      <c r="M283" s="15"/>
      <c r="N283" s="15"/>
      <c r="O283" s="15"/>
      <c r="P283" s="15"/>
    </row>
    <row r="284" spans="1:16" ht="11.25">
      <c r="A284" s="97" t="s">
        <v>123</v>
      </c>
      <c r="B284" s="212">
        <v>26</v>
      </c>
      <c r="C284" s="207"/>
      <c r="D284" s="207"/>
      <c r="E284" s="15">
        <v>9050</v>
      </c>
      <c r="F284" s="15">
        <v>8979</v>
      </c>
      <c r="G284" s="205">
        <f t="shared" si="15"/>
        <v>99.21546961325967</v>
      </c>
      <c r="H284" s="15"/>
      <c r="I284" s="206"/>
      <c r="J284" s="15"/>
      <c r="K284" s="15"/>
      <c r="L284" s="15"/>
      <c r="M284" s="15"/>
      <c r="N284" s="15"/>
      <c r="O284" s="15"/>
      <c r="P284" s="15"/>
    </row>
    <row r="285" spans="1:16" ht="11.25">
      <c r="A285" s="97" t="s">
        <v>154</v>
      </c>
      <c r="B285" s="212" t="s">
        <v>154</v>
      </c>
      <c r="C285" s="207"/>
      <c r="D285" s="207"/>
      <c r="E285" s="15">
        <v>7880</v>
      </c>
      <c r="F285" s="15">
        <v>7880</v>
      </c>
      <c r="G285" s="205">
        <f t="shared" si="15"/>
        <v>100</v>
      </c>
      <c r="H285" s="15"/>
      <c r="I285" s="206"/>
      <c r="J285" s="15"/>
      <c r="K285" s="15"/>
      <c r="L285" s="15"/>
      <c r="M285" s="15"/>
      <c r="N285" s="15"/>
      <c r="O285" s="15"/>
      <c r="P285" s="15"/>
    </row>
    <row r="286" spans="1:16" ht="11.25">
      <c r="A286" s="97" t="s">
        <v>124</v>
      </c>
      <c r="B286" s="212">
        <v>28</v>
      </c>
      <c r="C286" s="207"/>
      <c r="D286" s="207"/>
      <c r="E286" s="15">
        <v>5820</v>
      </c>
      <c r="F286" s="15">
        <v>5438</v>
      </c>
      <c r="G286" s="205">
        <f t="shared" si="15"/>
        <v>93.43642611683849</v>
      </c>
      <c r="H286" s="15"/>
      <c r="I286" s="206"/>
      <c r="J286" s="15"/>
      <c r="K286" s="15"/>
      <c r="L286" s="15"/>
      <c r="M286" s="15"/>
      <c r="N286" s="15"/>
      <c r="O286" s="15"/>
      <c r="P286" s="15"/>
    </row>
    <row r="287" spans="1:16" ht="11.25">
      <c r="A287" s="97" t="s">
        <v>125</v>
      </c>
      <c r="B287" s="212">
        <v>29</v>
      </c>
      <c r="C287" s="207"/>
      <c r="D287" s="207"/>
      <c r="E287" s="15">
        <v>40640</v>
      </c>
      <c r="F287" s="15">
        <v>40485</v>
      </c>
      <c r="G287" s="205">
        <f t="shared" si="15"/>
        <v>99.61860236220473</v>
      </c>
      <c r="H287" s="15"/>
      <c r="I287" s="206"/>
      <c r="J287" s="15"/>
      <c r="K287" s="15"/>
      <c r="L287" s="15"/>
      <c r="M287" s="15"/>
      <c r="N287" s="15"/>
      <c r="O287" s="15"/>
      <c r="P287" s="15"/>
    </row>
    <row r="288" spans="1:16" ht="11.25">
      <c r="A288" s="97" t="s">
        <v>126</v>
      </c>
      <c r="B288" s="212">
        <v>31</v>
      </c>
      <c r="C288" s="207"/>
      <c r="D288" s="207"/>
      <c r="E288" s="15">
        <v>63270</v>
      </c>
      <c r="F288" s="15">
        <v>61965</v>
      </c>
      <c r="G288" s="205">
        <f t="shared" si="15"/>
        <v>97.93741109530583</v>
      </c>
      <c r="H288" s="15"/>
      <c r="I288" s="206"/>
      <c r="J288" s="15"/>
      <c r="K288" s="15"/>
      <c r="L288" s="15"/>
      <c r="M288" s="15"/>
      <c r="N288" s="15"/>
      <c r="O288" s="15"/>
      <c r="P288" s="15"/>
    </row>
    <row r="289" spans="1:16" ht="11.25">
      <c r="A289" s="97" t="s">
        <v>127</v>
      </c>
      <c r="B289" s="212">
        <v>33</v>
      </c>
      <c r="C289" s="207"/>
      <c r="D289" s="207"/>
      <c r="E289" s="15">
        <v>29095</v>
      </c>
      <c r="F289" s="15">
        <v>29095</v>
      </c>
      <c r="G289" s="205">
        <f t="shared" si="15"/>
        <v>100</v>
      </c>
      <c r="H289" s="15"/>
      <c r="I289" s="206"/>
      <c r="J289" s="15"/>
      <c r="K289" s="15"/>
      <c r="L289" s="15"/>
      <c r="M289" s="15"/>
      <c r="N289" s="15"/>
      <c r="O289" s="15"/>
      <c r="P289" s="15"/>
    </row>
    <row r="290" spans="1:16" ht="11.25">
      <c r="A290" s="97" t="s">
        <v>128</v>
      </c>
      <c r="B290" s="212">
        <v>34</v>
      </c>
      <c r="C290" s="207"/>
      <c r="D290" s="207"/>
      <c r="E290" s="15">
        <v>8630</v>
      </c>
      <c r="F290" s="15">
        <v>8521</v>
      </c>
      <c r="G290" s="205">
        <f t="shared" si="15"/>
        <v>98.7369640787949</v>
      </c>
      <c r="H290" s="15"/>
      <c r="I290" s="206"/>
      <c r="J290" s="15"/>
      <c r="K290" s="15"/>
      <c r="L290" s="15"/>
      <c r="M290" s="15"/>
      <c r="N290" s="15"/>
      <c r="O290" s="15"/>
      <c r="P290" s="15"/>
    </row>
    <row r="291" spans="1:16" ht="11.25">
      <c r="A291" s="97" t="s">
        <v>129</v>
      </c>
      <c r="B291" s="212">
        <v>35</v>
      </c>
      <c r="C291" s="207"/>
      <c r="D291" s="207"/>
      <c r="E291" s="15">
        <v>21240</v>
      </c>
      <c r="F291" s="15">
        <v>21166</v>
      </c>
      <c r="G291" s="205">
        <f t="shared" si="15"/>
        <v>99.65160075329567</v>
      </c>
      <c r="H291" s="15"/>
      <c r="I291" s="206"/>
      <c r="J291" s="15"/>
      <c r="K291" s="15"/>
      <c r="L291" s="15"/>
      <c r="M291" s="15"/>
      <c r="N291" s="15"/>
      <c r="O291" s="15"/>
      <c r="P291" s="15"/>
    </row>
    <row r="292" spans="1:16" ht="11.25">
      <c r="A292" s="97" t="s">
        <v>156</v>
      </c>
      <c r="B292" s="212" t="s">
        <v>157</v>
      </c>
      <c r="C292" s="207"/>
      <c r="D292" s="207"/>
      <c r="E292" s="15">
        <v>16450</v>
      </c>
      <c r="F292" s="15">
        <v>16126</v>
      </c>
      <c r="G292" s="205">
        <f t="shared" si="15"/>
        <v>98.03039513677811</v>
      </c>
      <c r="H292" s="15"/>
      <c r="I292" s="206"/>
      <c r="J292" s="15"/>
      <c r="K292" s="15"/>
      <c r="L292" s="15"/>
      <c r="M292" s="15"/>
      <c r="N292" s="15"/>
      <c r="O292" s="15"/>
      <c r="P292" s="15"/>
    </row>
    <row r="293" spans="1:16" ht="11.25">
      <c r="A293" s="97" t="s">
        <v>130</v>
      </c>
      <c r="B293" s="212">
        <v>37</v>
      </c>
      <c r="C293" s="207"/>
      <c r="D293" s="207"/>
      <c r="E293" s="15">
        <v>5460</v>
      </c>
      <c r="F293" s="15">
        <v>5446</v>
      </c>
      <c r="G293" s="205">
        <f t="shared" si="15"/>
        <v>99.74358974358975</v>
      </c>
      <c r="H293" s="15"/>
      <c r="I293" s="206"/>
      <c r="J293" s="15"/>
      <c r="K293" s="15"/>
      <c r="L293" s="15"/>
      <c r="M293" s="15"/>
      <c r="N293" s="15"/>
      <c r="O293" s="15"/>
      <c r="P293" s="15"/>
    </row>
    <row r="294" spans="1:16" ht="11.25">
      <c r="A294" s="97" t="s">
        <v>131</v>
      </c>
      <c r="B294" s="212">
        <v>39</v>
      </c>
      <c r="C294" s="207"/>
      <c r="D294" s="207"/>
      <c r="E294" s="15">
        <v>23475</v>
      </c>
      <c r="F294" s="15">
        <v>23475</v>
      </c>
      <c r="G294" s="205">
        <f t="shared" si="15"/>
        <v>100</v>
      </c>
      <c r="H294" s="15"/>
      <c r="I294" s="206"/>
      <c r="J294" s="15"/>
      <c r="K294" s="15"/>
      <c r="L294" s="15"/>
      <c r="M294" s="15"/>
      <c r="N294" s="15"/>
      <c r="O294" s="15"/>
      <c r="P294" s="15"/>
    </row>
    <row r="295" spans="1:16" ht="11.25">
      <c r="A295" s="97" t="s">
        <v>132</v>
      </c>
      <c r="B295" s="212">
        <v>40</v>
      </c>
      <c r="C295" s="207"/>
      <c r="D295" s="207"/>
      <c r="E295" s="15">
        <v>42680</v>
      </c>
      <c r="F295" s="15">
        <v>42678</v>
      </c>
      <c r="G295" s="205">
        <f t="shared" si="15"/>
        <v>99.99531396438613</v>
      </c>
      <c r="H295" s="15"/>
      <c r="I295" s="206"/>
      <c r="J295" s="15"/>
      <c r="K295" s="15"/>
      <c r="L295" s="15"/>
      <c r="M295" s="15"/>
      <c r="N295" s="15"/>
      <c r="O295" s="15"/>
      <c r="P295" s="15"/>
    </row>
    <row r="296" spans="1:16" ht="11.25">
      <c r="A296" s="97" t="s">
        <v>158</v>
      </c>
      <c r="B296" s="212" t="s">
        <v>159</v>
      </c>
      <c r="C296" s="207"/>
      <c r="D296" s="207"/>
      <c r="E296" s="15">
        <v>24095</v>
      </c>
      <c r="F296" s="15">
        <v>23916</v>
      </c>
      <c r="G296" s="205">
        <f t="shared" si="15"/>
        <v>99.25710728366882</v>
      </c>
      <c r="H296" s="15"/>
      <c r="I296" s="206"/>
      <c r="J296" s="15"/>
      <c r="K296" s="15"/>
      <c r="L296" s="15"/>
      <c r="M296" s="15"/>
      <c r="N296" s="15"/>
      <c r="O296" s="15"/>
      <c r="P296" s="15"/>
    </row>
    <row r="297" spans="1:16" ht="11.25">
      <c r="A297" s="97" t="s">
        <v>133</v>
      </c>
      <c r="B297" s="212">
        <v>42</v>
      </c>
      <c r="C297" s="207"/>
      <c r="D297" s="207"/>
      <c r="E297" s="15">
        <v>19060</v>
      </c>
      <c r="F297" s="15">
        <v>18919</v>
      </c>
      <c r="G297" s="205">
        <f t="shared" si="15"/>
        <v>99.26023084994753</v>
      </c>
      <c r="H297" s="15"/>
      <c r="I297" s="206"/>
      <c r="J297" s="15"/>
      <c r="K297" s="15"/>
      <c r="L297" s="15"/>
      <c r="M297" s="15"/>
      <c r="N297" s="15"/>
      <c r="O297" s="15"/>
      <c r="P297" s="15"/>
    </row>
    <row r="298" spans="1:16" ht="11.25">
      <c r="A298" s="97" t="s">
        <v>134</v>
      </c>
      <c r="B298" s="212">
        <v>43</v>
      </c>
      <c r="C298" s="207"/>
      <c r="D298" s="207"/>
      <c r="E298" s="15">
        <v>35265</v>
      </c>
      <c r="F298" s="15">
        <v>35265</v>
      </c>
      <c r="G298" s="205">
        <f t="shared" si="15"/>
        <v>100</v>
      </c>
      <c r="H298" s="15"/>
      <c r="I298" s="206"/>
      <c r="J298" s="15"/>
      <c r="K298" s="15"/>
      <c r="L298" s="15"/>
      <c r="M298" s="15"/>
      <c r="N298" s="15"/>
      <c r="O298" s="15"/>
      <c r="P298" s="15"/>
    </row>
    <row r="299" spans="1:16" ht="11.25">
      <c r="A299" s="97" t="s">
        <v>135</v>
      </c>
      <c r="B299" s="212">
        <v>44</v>
      </c>
      <c r="C299" s="207"/>
      <c r="D299" s="207"/>
      <c r="E299" s="15">
        <v>15580</v>
      </c>
      <c r="F299" s="15">
        <v>15580</v>
      </c>
      <c r="G299" s="205">
        <f t="shared" si="15"/>
        <v>100</v>
      </c>
      <c r="H299" s="15"/>
      <c r="I299" s="206"/>
      <c r="J299" s="15"/>
      <c r="K299" s="15"/>
      <c r="L299" s="15"/>
      <c r="M299" s="15"/>
      <c r="N299" s="15"/>
      <c r="O299" s="15"/>
      <c r="P299" s="15"/>
    </row>
    <row r="300" spans="1:16" ht="11.25">
      <c r="A300" s="97" t="s">
        <v>136</v>
      </c>
      <c r="B300" s="212">
        <v>45</v>
      </c>
      <c r="C300" s="207"/>
      <c r="D300" s="207"/>
      <c r="E300" s="15">
        <v>2220</v>
      </c>
      <c r="F300" s="15">
        <v>1920</v>
      </c>
      <c r="G300" s="205">
        <f t="shared" si="15"/>
        <v>86.48648648648648</v>
      </c>
      <c r="H300" s="15"/>
      <c r="I300" s="206"/>
      <c r="J300" s="15"/>
      <c r="K300" s="15"/>
      <c r="L300" s="15"/>
      <c r="M300" s="15"/>
      <c r="N300" s="15"/>
      <c r="O300" s="15"/>
      <c r="P300" s="15"/>
    </row>
    <row r="301" spans="1:16" ht="11.25">
      <c r="A301" s="97" t="s">
        <v>137</v>
      </c>
      <c r="B301" s="212">
        <v>46</v>
      </c>
      <c r="C301" s="207"/>
      <c r="D301" s="207"/>
      <c r="E301" s="15">
        <v>6240</v>
      </c>
      <c r="F301" s="15">
        <v>6240</v>
      </c>
      <c r="G301" s="205">
        <f t="shared" si="15"/>
        <v>100</v>
      </c>
      <c r="H301" s="15"/>
      <c r="I301" s="206"/>
      <c r="J301" s="15"/>
      <c r="K301" s="15"/>
      <c r="L301" s="15"/>
      <c r="M301" s="15"/>
      <c r="N301" s="15"/>
      <c r="O301" s="15"/>
      <c r="P301" s="15"/>
    </row>
    <row r="302" spans="1:16" ht="11.25">
      <c r="A302" s="97" t="s">
        <v>138</v>
      </c>
      <c r="B302" s="212">
        <v>47</v>
      </c>
      <c r="C302" s="207"/>
      <c r="D302" s="207"/>
      <c r="E302" s="15">
        <v>20090</v>
      </c>
      <c r="F302" s="15">
        <v>20025</v>
      </c>
      <c r="G302" s="205">
        <f t="shared" si="15"/>
        <v>99.67645594823296</v>
      </c>
      <c r="H302" s="15"/>
      <c r="I302" s="206"/>
      <c r="J302" s="15"/>
      <c r="K302" s="15"/>
      <c r="L302" s="15"/>
      <c r="M302" s="15"/>
      <c r="N302" s="15"/>
      <c r="O302" s="15"/>
      <c r="P302" s="15"/>
    </row>
    <row r="303" spans="1:16" ht="11.25">
      <c r="A303" s="97" t="s">
        <v>139</v>
      </c>
      <c r="B303" s="212">
        <v>48</v>
      </c>
      <c r="C303" s="207"/>
      <c r="D303" s="207"/>
      <c r="E303" s="15">
        <v>6940</v>
      </c>
      <c r="F303" s="15">
        <v>6933</v>
      </c>
      <c r="G303" s="205">
        <f t="shared" si="15"/>
        <v>99.89913544668589</v>
      </c>
      <c r="H303" s="15"/>
      <c r="I303" s="206"/>
      <c r="J303" s="15"/>
      <c r="K303" s="15"/>
      <c r="L303" s="15"/>
      <c r="M303" s="15"/>
      <c r="N303" s="15"/>
      <c r="O303" s="15"/>
      <c r="P303" s="15"/>
    </row>
    <row r="304" spans="1:16" ht="11.25">
      <c r="A304" s="98" t="s">
        <v>180</v>
      </c>
      <c r="B304" s="199"/>
      <c r="C304" s="207"/>
      <c r="D304" s="207"/>
      <c r="E304" s="12">
        <f>SUM(E267:E303)</f>
        <v>752940</v>
      </c>
      <c r="F304" s="12">
        <f>SUM(F267:F303)</f>
        <v>741883</v>
      </c>
      <c r="G304" s="126">
        <f t="shared" si="15"/>
        <v>98.53148989295296</v>
      </c>
      <c r="H304" s="98">
        <f aca="true" t="shared" si="17" ref="H304:P304">SUM(H267:H303)</f>
        <v>0</v>
      </c>
      <c r="I304" s="128">
        <f t="shared" si="17"/>
        <v>0</v>
      </c>
      <c r="J304" s="98">
        <f t="shared" si="17"/>
        <v>0</v>
      </c>
      <c r="K304" s="98">
        <f t="shared" si="17"/>
        <v>0</v>
      </c>
      <c r="L304" s="98">
        <f t="shared" si="17"/>
        <v>0</v>
      </c>
      <c r="M304" s="98">
        <f t="shared" si="17"/>
        <v>0</v>
      </c>
      <c r="N304" s="98">
        <f t="shared" si="17"/>
        <v>0</v>
      </c>
      <c r="O304" s="98">
        <f t="shared" si="17"/>
        <v>0</v>
      </c>
      <c r="P304" s="98">
        <f t="shared" si="17"/>
        <v>0</v>
      </c>
    </row>
    <row r="305" ht="11.25">
      <c r="G305" s="220"/>
    </row>
    <row r="306" spans="1:16" ht="11.25">
      <c r="A306" s="99" t="s">
        <v>181</v>
      </c>
      <c r="B306" s="207"/>
      <c r="C306" s="12">
        <f>C35+C59+C82</f>
        <v>19228</v>
      </c>
      <c r="D306" s="98"/>
      <c r="E306" s="12">
        <f>E35+E59+E82+E92+E130+E166+E201</f>
        <v>140131736</v>
      </c>
      <c r="F306" s="12">
        <f>F35+F59+F82+F92+F130+F166+F201</f>
        <v>139166611</v>
      </c>
      <c r="G306" s="126">
        <f>F306/E306*100</f>
        <v>99.31127307236099</v>
      </c>
      <c r="H306" s="12">
        <f aca="true" t="shared" si="18" ref="H306:P306">H35+H59+H82+H92+H130+H166+H201</f>
        <v>92791023</v>
      </c>
      <c r="I306" s="127">
        <f t="shared" si="18"/>
        <v>6693201</v>
      </c>
      <c r="J306" s="12">
        <f t="shared" si="18"/>
        <v>14544020</v>
      </c>
      <c r="K306" s="12">
        <f t="shared" si="18"/>
        <v>2035638.13</v>
      </c>
      <c r="L306" s="12">
        <f t="shared" si="18"/>
        <v>7784866</v>
      </c>
      <c r="M306" s="12">
        <f t="shared" si="18"/>
        <v>3535472</v>
      </c>
      <c r="N306" s="12">
        <f t="shared" si="18"/>
        <v>5122447</v>
      </c>
      <c r="O306" s="12">
        <f t="shared" si="18"/>
        <v>1060666</v>
      </c>
      <c r="P306" s="12">
        <f t="shared" si="18"/>
        <v>75958</v>
      </c>
    </row>
    <row r="307" spans="1:16" ht="11.25">
      <c r="A307" s="98" t="s">
        <v>182</v>
      </c>
      <c r="B307" s="207"/>
      <c r="C307" s="98"/>
      <c r="D307" s="98"/>
      <c r="E307" s="12">
        <f>E231+E266+E304</f>
        <v>7128065</v>
      </c>
      <c r="F307" s="12">
        <f>F231+F266+F304</f>
        <v>7042143</v>
      </c>
      <c r="G307" s="126">
        <f>F307/E307*100</f>
        <v>98.79459572829373</v>
      </c>
      <c r="H307" s="12">
        <f aca="true" t="shared" si="19" ref="H307:P307">H231+H266+H304</f>
        <v>4513598</v>
      </c>
      <c r="I307" s="127">
        <f t="shared" si="19"/>
        <v>266027</v>
      </c>
      <c r="J307" s="12">
        <f t="shared" si="19"/>
        <v>697905</v>
      </c>
      <c r="K307" s="12">
        <f t="shared" si="19"/>
        <v>101177</v>
      </c>
      <c r="L307" s="12">
        <f t="shared" si="19"/>
        <v>133849</v>
      </c>
      <c r="M307" s="12">
        <f t="shared" si="19"/>
        <v>1056</v>
      </c>
      <c r="N307" s="12">
        <f t="shared" si="19"/>
        <v>313792</v>
      </c>
      <c r="O307" s="12">
        <f t="shared" si="19"/>
        <v>0</v>
      </c>
      <c r="P307" s="12">
        <f t="shared" si="19"/>
        <v>0</v>
      </c>
    </row>
    <row r="308" ht="11.25">
      <c r="L308" s="122"/>
    </row>
    <row r="309" ht="11.25">
      <c r="L309" s="122"/>
    </row>
    <row r="310" spans="1:16" ht="11.25">
      <c r="A310" s="207" t="s">
        <v>110</v>
      </c>
      <c r="B310" s="203">
        <v>6</v>
      </c>
      <c r="C310" s="207"/>
      <c r="D310" s="207"/>
      <c r="E310" s="15"/>
      <c r="F310" s="15">
        <v>0</v>
      </c>
      <c r="G310" s="205"/>
      <c r="H310" s="15"/>
      <c r="I310" s="206"/>
      <c r="J310" s="15"/>
      <c r="K310" s="15"/>
      <c r="L310" s="15"/>
      <c r="M310" s="15"/>
      <c r="N310" s="15"/>
      <c r="O310" s="15"/>
      <c r="P310" s="15"/>
    </row>
    <row r="311" spans="1:16" ht="11.25">
      <c r="A311" s="207" t="s">
        <v>150</v>
      </c>
      <c r="B311" s="203">
        <v>14</v>
      </c>
      <c r="C311" s="207"/>
      <c r="D311" s="207"/>
      <c r="E311" s="15"/>
      <c r="F311" s="15">
        <v>0</v>
      </c>
      <c r="G311" s="205"/>
      <c r="H311" s="15"/>
      <c r="I311" s="206"/>
      <c r="J311" s="15"/>
      <c r="K311" s="15"/>
      <c r="L311" s="15"/>
      <c r="M311" s="15"/>
      <c r="N311" s="15"/>
      <c r="O311" s="15"/>
      <c r="P311" s="15"/>
    </row>
    <row r="312" spans="1:16" ht="11.25">
      <c r="A312" s="207" t="s">
        <v>117</v>
      </c>
      <c r="B312" s="203">
        <v>16</v>
      </c>
      <c r="C312" s="207"/>
      <c r="D312" s="207"/>
      <c r="E312" s="15"/>
      <c r="F312" s="15">
        <v>0</v>
      </c>
      <c r="G312" s="205"/>
      <c r="H312" s="15"/>
      <c r="I312" s="206"/>
      <c r="J312" s="15"/>
      <c r="K312" s="15"/>
      <c r="L312" s="15"/>
      <c r="M312" s="15"/>
      <c r="N312" s="15"/>
      <c r="O312" s="15"/>
      <c r="P312" s="15"/>
    </row>
    <row r="313" spans="1:16" ht="11.25">
      <c r="A313" s="207" t="s">
        <v>154</v>
      </c>
      <c r="B313" s="203" t="s">
        <v>154</v>
      </c>
      <c r="C313" s="207"/>
      <c r="D313" s="207"/>
      <c r="E313" s="15"/>
      <c r="F313" s="15">
        <v>0</v>
      </c>
      <c r="G313" s="205"/>
      <c r="H313" s="15"/>
      <c r="I313" s="206"/>
      <c r="J313" s="15"/>
      <c r="K313" s="15"/>
      <c r="L313" s="15"/>
      <c r="M313" s="15"/>
      <c r="N313" s="15"/>
      <c r="O313" s="15"/>
      <c r="P313" s="15"/>
    </row>
    <row r="314" spans="1:16" ht="11.25">
      <c r="A314" s="207" t="s">
        <v>156</v>
      </c>
      <c r="B314" s="203" t="s">
        <v>157</v>
      </c>
      <c r="C314" s="207"/>
      <c r="D314" s="207"/>
      <c r="E314" s="15"/>
      <c r="F314" s="15">
        <v>0</v>
      </c>
      <c r="G314" s="205"/>
      <c r="H314" s="15"/>
      <c r="I314" s="206"/>
      <c r="J314" s="15"/>
      <c r="K314" s="15"/>
      <c r="L314" s="15"/>
      <c r="M314" s="15"/>
      <c r="N314" s="15"/>
      <c r="O314" s="15"/>
      <c r="P314" s="15"/>
    </row>
    <row r="315" spans="1:16" ht="11.25">
      <c r="A315" s="98" t="s">
        <v>183</v>
      </c>
      <c r="B315" s="207"/>
      <c r="C315" s="207"/>
      <c r="D315" s="207"/>
      <c r="E315" s="12">
        <f aca="true" t="shared" si="20" ref="E315:P315">SUM(E310:E314)</f>
        <v>0</v>
      </c>
      <c r="F315" s="12">
        <f t="shared" si="20"/>
        <v>0</v>
      </c>
      <c r="G315" s="126">
        <f t="shared" si="20"/>
        <v>0</v>
      </c>
      <c r="H315" s="12">
        <f t="shared" si="20"/>
        <v>0</v>
      </c>
      <c r="I315" s="127">
        <f t="shared" si="20"/>
        <v>0</v>
      </c>
      <c r="J315" s="12">
        <f t="shared" si="20"/>
        <v>0</v>
      </c>
      <c r="K315" s="12">
        <f t="shared" si="20"/>
        <v>0</v>
      </c>
      <c r="L315" s="12">
        <f t="shared" si="20"/>
        <v>0</v>
      </c>
      <c r="M315" s="12">
        <f t="shared" si="20"/>
        <v>0</v>
      </c>
      <c r="N315" s="12">
        <f t="shared" si="20"/>
        <v>0</v>
      </c>
      <c r="O315" s="12">
        <f t="shared" si="20"/>
        <v>0</v>
      </c>
      <c r="P315" s="12">
        <f t="shared" si="20"/>
        <v>0</v>
      </c>
    </row>
    <row r="316" ht="11.25">
      <c r="L316" s="122"/>
    </row>
    <row r="317" ht="11.25">
      <c r="L317" s="122"/>
    </row>
    <row r="318" spans="1:16" ht="11.25">
      <c r="A318" s="88" t="s">
        <v>75</v>
      </c>
      <c r="B318" s="88"/>
      <c r="C318" s="88"/>
      <c r="D318" s="88"/>
      <c r="E318" s="100">
        <f>E306+E307+E315</f>
        <v>147259801</v>
      </c>
      <c r="F318" s="100">
        <f>F306+F307</f>
        <v>146208754</v>
      </c>
      <c r="G318" s="100">
        <f>F318/E318*100</f>
        <v>99.28626346575058</v>
      </c>
      <c r="H318" s="129">
        <f aca="true" t="shared" si="21" ref="H318:P318">H306+H307</f>
        <v>97304621</v>
      </c>
      <c r="I318" s="100">
        <f t="shared" si="21"/>
        <v>6959228</v>
      </c>
      <c r="J318" s="100">
        <f t="shared" si="21"/>
        <v>15241925</v>
      </c>
      <c r="K318" s="100">
        <f t="shared" si="21"/>
        <v>2136815.13</v>
      </c>
      <c r="L318" s="100">
        <f t="shared" si="21"/>
        <v>7918715</v>
      </c>
      <c r="M318" s="100">
        <f t="shared" si="21"/>
        <v>3536528</v>
      </c>
      <c r="N318" s="100">
        <f t="shared" si="21"/>
        <v>5436239</v>
      </c>
      <c r="O318" s="100">
        <f t="shared" si="21"/>
        <v>1060666</v>
      </c>
      <c r="P318" s="100">
        <f t="shared" si="21"/>
        <v>75958</v>
      </c>
    </row>
  </sheetData>
  <sheetProtection/>
  <mergeCells count="1">
    <mergeCell ref="A2:P2"/>
  </mergeCells>
  <printOptions/>
  <pageMargins left="0.58" right="0" top="0.8" bottom="0.66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2"/>
  <sheetViews>
    <sheetView workbookViewId="0" topLeftCell="A1">
      <pane xSplit="2" ySplit="5" topLeftCell="E25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AM1" sqref="AM1"/>
    </sheetView>
  </sheetViews>
  <sheetFormatPr defaultColWidth="9.00390625" defaultRowHeight="12.75"/>
  <cols>
    <col min="1" max="1" width="12.625" style="1" customWidth="1"/>
    <col min="2" max="2" width="12.375" style="1" customWidth="1"/>
    <col min="3" max="4" width="7.75390625" style="32" customWidth="1"/>
    <col min="5" max="5" width="7.875" style="32" bestFit="1" customWidth="1"/>
    <col min="6" max="6" width="6.875" style="32" customWidth="1"/>
    <col min="7" max="7" width="6.25390625" style="32" bestFit="1" customWidth="1"/>
    <col min="8" max="8" width="5.00390625" style="32" customWidth="1"/>
    <col min="9" max="9" width="5.75390625" style="32" customWidth="1"/>
    <col min="10" max="10" width="6.00390625" style="32" customWidth="1"/>
    <col min="11" max="11" width="9.125" style="32" customWidth="1"/>
    <col min="12" max="12" width="10.75390625" style="32" customWidth="1"/>
    <col min="13" max="13" width="5.625" style="32" hidden="1" customWidth="1"/>
    <col min="14" max="14" width="5.75390625" style="32" hidden="1" customWidth="1"/>
    <col min="15" max="15" width="6.125" style="32" hidden="1" customWidth="1"/>
    <col min="16" max="16" width="5.875" style="32" hidden="1" customWidth="1"/>
    <col min="17" max="17" width="4.625" style="32" hidden="1" customWidth="1"/>
    <col min="18" max="18" width="6.25390625" style="32" hidden="1" customWidth="1"/>
    <col min="19" max="19" width="5.25390625" style="32" hidden="1" customWidth="1"/>
    <col min="20" max="20" width="4.625" style="32" hidden="1" customWidth="1"/>
    <col min="21" max="21" width="5.25390625" style="32" hidden="1" customWidth="1"/>
    <col min="22" max="22" width="6.625" style="32" hidden="1" customWidth="1"/>
    <col min="23" max="23" width="5.875" style="32" hidden="1" customWidth="1"/>
    <col min="24" max="24" width="6.125" style="32" hidden="1" customWidth="1"/>
    <col min="25" max="25" width="5.125" style="32" hidden="1" customWidth="1"/>
    <col min="26" max="32" width="6.00390625" style="32" hidden="1" customWidth="1"/>
    <col min="33" max="33" width="8.125" style="32" customWidth="1"/>
    <col min="34" max="34" width="7.875" style="32" customWidth="1"/>
    <col min="35" max="35" width="7.625" style="1" customWidth="1"/>
    <col min="36" max="36" width="6.125" style="1" customWidth="1"/>
    <col min="37" max="37" width="9.625" style="1" bestFit="1" customWidth="1"/>
    <col min="38" max="38" width="11.125" style="1" customWidth="1"/>
    <col min="39" max="39" width="7.25390625" style="1" customWidth="1"/>
    <col min="40" max="40" width="7.00390625" style="1" customWidth="1"/>
    <col min="41" max="42" width="6.75390625" style="1" customWidth="1"/>
    <col min="43" max="44" width="6.375" style="1" customWidth="1"/>
    <col min="45" max="45" width="6.25390625" style="1" customWidth="1"/>
    <col min="46" max="46" width="8.375" style="1" hidden="1" customWidth="1"/>
    <col min="47" max="47" width="9.875" style="1" hidden="1" customWidth="1"/>
    <col min="48" max="48" width="10.25390625" style="1" customWidth="1"/>
    <col min="49" max="49" width="7.25390625" style="1" customWidth="1"/>
    <col min="50" max="50" width="9.625" style="1" customWidth="1"/>
    <col min="51" max="16384" width="9.125" style="1" customWidth="1"/>
  </cols>
  <sheetData>
    <row r="1" spans="1:46" ht="11.25">
      <c r="A1" s="101"/>
      <c r="B1" s="101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5"/>
      <c r="AJ1" s="105"/>
      <c r="AK1" s="105"/>
      <c r="AL1" s="105"/>
      <c r="AM1" s="161" t="s">
        <v>333</v>
      </c>
      <c r="AN1" s="105"/>
      <c r="AO1" s="105"/>
      <c r="AP1" s="105"/>
      <c r="AQ1" s="105"/>
      <c r="AR1" s="105"/>
      <c r="AS1" s="105"/>
      <c r="AT1" s="105"/>
    </row>
    <row r="2" spans="2:46" ht="15.75">
      <c r="B2" s="125" t="s">
        <v>184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</row>
    <row r="3" spans="1:46" ht="15" customHeight="1">
      <c r="A3" s="106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50" s="26" customFormat="1" ht="32.25" customHeight="1">
      <c r="A4" s="107" t="s">
        <v>185</v>
      </c>
      <c r="B4" s="107" t="s">
        <v>186</v>
      </c>
      <c r="C4" s="171" t="s">
        <v>187</v>
      </c>
      <c r="D4" s="172"/>
      <c r="E4" s="172"/>
      <c r="F4" s="173"/>
      <c r="G4" s="171" t="s">
        <v>188</v>
      </c>
      <c r="H4" s="172"/>
      <c r="I4" s="172"/>
      <c r="J4" s="173"/>
      <c r="K4" s="108" t="s">
        <v>189</v>
      </c>
      <c r="L4" s="165" t="s">
        <v>190</v>
      </c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7"/>
      <c r="AI4" s="163" t="s">
        <v>191</v>
      </c>
      <c r="AJ4" s="164"/>
      <c r="AK4" s="109" t="s">
        <v>192</v>
      </c>
      <c r="AL4" s="109" t="s">
        <v>193</v>
      </c>
      <c r="AM4" s="9" t="s">
        <v>194</v>
      </c>
      <c r="AN4" s="168" t="s">
        <v>195</v>
      </c>
      <c r="AO4" s="169"/>
      <c r="AP4" s="169"/>
      <c r="AQ4" s="169"/>
      <c r="AR4" s="169"/>
      <c r="AS4" s="170"/>
      <c r="AT4" s="110" t="s">
        <v>196</v>
      </c>
      <c r="AU4" s="30" t="s">
        <v>197</v>
      </c>
      <c r="AV4" s="111"/>
      <c r="AW4" s="111"/>
      <c r="AX4" s="111"/>
    </row>
    <row r="5" spans="1:50" s="26" customFormat="1" ht="33.75">
      <c r="A5" s="107" t="s">
        <v>198</v>
      </c>
      <c r="B5" s="107" t="s">
        <v>199</v>
      </c>
      <c r="C5" s="112" t="s">
        <v>200</v>
      </c>
      <c r="D5" s="112" t="s">
        <v>201</v>
      </c>
      <c r="E5" s="112" t="s">
        <v>202</v>
      </c>
      <c r="F5" s="112" t="s">
        <v>203</v>
      </c>
      <c r="G5" s="112" t="s">
        <v>75</v>
      </c>
      <c r="H5" s="112" t="s">
        <v>201</v>
      </c>
      <c r="I5" s="112" t="s">
        <v>204</v>
      </c>
      <c r="J5" s="112" t="s">
        <v>203</v>
      </c>
      <c r="K5" s="112" t="s">
        <v>205</v>
      </c>
      <c r="L5" s="20" t="s">
        <v>206</v>
      </c>
      <c r="M5" s="13" t="s">
        <v>207</v>
      </c>
      <c r="N5" s="13" t="s">
        <v>208</v>
      </c>
      <c r="O5" s="13" t="s">
        <v>209</v>
      </c>
      <c r="P5" s="13" t="s">
        <v>210</v>
      </c>
      <c r="Q5" s="113" t="s">
        <v>211</v>
      </c>
      <c r="R5" s="113" t="s">
        <v>212</v>
      </c>
      <c r="S5" s="113" t="s">
        <v>213</v>
      </c>
      <c r="T5" s="113" t="s">
        <v>214</v>
      </c>
      <c r="U5" s="113" t="s">
        <v>215</v>
      </c>
      <c r="V5" s="113" t="s">
        <v>216</v>
      </c>
      <c r="W5" s="113" t="s">
        <v>217</v>
      </c>
      <c r="X5" s="113" t="s">
        <v>218</v>
      </c>
      <c r="Y5" s="16" t="s">
        <v>219</v>
      </c>
      <c r="Z5" s="16" t="s">
        <v>220</v>
      </c>
      <c r="AA5" s="16" t="s">
        <v>221</v>
      </c>
      <c r="AB5" s="16" t="s">
        <v>222</v>
      </c>
      <c r="AC5" s="16" t="s">
        <v>223</v>
      </c>
      <c r="AD5" s="16" t="s">
        <v>224</v>
      </c>
      <c r="AE5" s="16" t="s">
        <v>225</v>
      </c>
      <c r="AF5" s="16" t="s">
        <v>226</v>
      </c>
      <c r="AG5" s="13" t="s">
        <v>227</v>
      </c>
      <c r="AH5" s="13" t="s">
        <v>228</v>
      </c>
      <c r="AI5" s="114" t="s">
        <v>229</v>
      </c>
      <c r="AJ5" s="10" t="s">
        <v>230</v>
      </c>
      <c r="AK5" s="114" t="s">
        <v>229</v>
      </c>
      <c r="AL5" s="114" t="s">
        <v>229</v>
      </c>
      <c r="AM5" s="9" t="s">
        <v>231</v>
      </c>
      <c r="AN5" s="115" t="s">
        <v>75</v>
      </c>
      <c r="AO5" s="10" t="s">
        <v>232</v>
      </c>
      <c r="AP5" s="10" t="s">
        <v>233</v>
      </c>
      <c r="AQ5" s="10" t="s">
        <v>234</v>
      </c>
      <c r="AR5" s="10" t="s">
        <v>235</v>
      </c>
      <c r="AS5" s="10" t="s">
        <v>236</v>
      </c>
      <c r="AT5" s="116"/>
      <c r="AU5" s="7"/>
      <c r="AV5" s="111"/>
      <c r="AW5" s="111"/>
      <c r="AX5" s="111"/>
    </row>
    <row r="6" spans="1:50" ht="11.25">
      <c r="A6" s="117" t="s">
        <v>237</v>
      </c>
      <c r="B6" s="92" t="s">
        <v>143</v>
      </c>
      <c r="C6" s="13">
        <f aca="true" t="shared" si="0" ref="C6:C44">D6+E6+F6</f>
        <v>558.25</v>
      </c>
      <c r="D6" s="16"/>
      <c r="E6" s="16"/>
      <c r="F6" s="16">
        <v>558.25</v>
      </c>
      <c r="G6" s="13">
        <f aca="true" t="shared" si="1" ref="G6:G44">H6+I6+J6</f>
        <v>20.66</v>
      </c>
      <c r="H6" s="16"/>
      <c r="I6" s="16"/>
      <c r="J6" s="16">
        <v>20.66</v>
      </c>
      <c r="K6" s="13">
        <f aca="true" t="shared" si="2" ref="K6:K44">L6+AG6+AH6</f>
        <v>69.7</v>
      </c>
      <c r="L6" s="16">
        <f aca="true" t="shared" si="3" ref="L6:L44">M6+N6+O6+P6</f>
        <v>52.2</v>
      </c>
      <c r="M6" s="16">
        <f aca="true" t="shared" si="4" ref="M6:M44">U6+Y6+Q6+AC6</f>
        <v>2.35</v>
      </c>
      <c r="N6" s="16">
        <f aca="true" t="shared" si="5" ref="N6:N44">V6+Z6+R6+AD6</f>
        <v>2.68</v>
      </c>
      <c r="O6" s="16">
        <f aca="true" t="shared" si="6" ref="O6:O44">W6+AA6+S6+AE6</f>
        <v>15.41</v>
      </c>
      <c r="P6" s="16">
        <f aca="true" t="shared" si="7" ref="P6:P44">X6+AB6+T6+AF6</f>
        <v>31.76</v>
      </c>
      <c r="Q6" s="16"/>
      <c r="R6" s="16"/>
      <c r="S6" s="16"/>
      <c r="T6" s="16"/>
      <c r="U6" s="16"/>
      <c r="V6" s="16"/>
      <c r="W6" s="16"/>
      <c r="X6" s="16"/>
      <c r="Y6" s="16">
        <v>2.35</v>
      </c>
      <c r="Z6" s="16">
        <v>2.68</v>
      </c>
      <c r="AA6" s="16">
        <v>15.41</v>
      </c>
      <c r="AB6" s="16">
        <v>31.76</v>
      </c>
      <c r="AC6" s="16"/>
      <c r="AD6" s="16"/>
      <c r="AE6" s="16"/>
      <c r="AF6" s="16"/>
      <c r="AG6" s="13">
        <v>4</v>
      </c>
      <c r="AH6" s="13">
        <v>13.5</v>
      </c>
      <c r="AI6" s="10">
        <v>17</v>
      </c>
      <c r="AJ6" s="10">
        <v>1.7</v>
      </c>
      <c r="AK6" s="10">
        <v>10</v>
      </c>
      <c r="AL6" s="10">
        <v>20</v>
      </c>
      <c r="AM6" s="118"/>
      <c r="AN6" s="115">
        <f aca="true" t="shared" si="8" ref="AN6:AN43">AO6+AR6+AS6+AP6+AQ6</f>
        <v>56</v>
      </c>
      <c r="AO6" s="10">
        <v>15</v>
      </c>
      <c r="AP6" s="10">
        <v>41</v>
      </c>
      <c r="AQ6" s="10"/>
      <c r="AR6" s="10"/>
      <c r="AS6" s="10"/>
      <c r="AT6" s="119">
        <v>51.05</v>
      </c>
      <c r="AU6" s="119">
        <f aca="true" t="shared" si="9" ref="AU6:AU44">L6-AT6</f>
        <v>1.1500000000000057</v>
      </c>
      <c r="AV6" s="89"/>
      <c r="AW6" s="89"/>
      <c r="AX6" s="89"/>
    </row>
    <row r="7" spans="1:50" ht="11.25">
      <c r="A7" s="117" t="s">
        <v>238</v>
      </c>
      <c r="B7" s="92" t="s">
        <v>144</v>
      </c>
      <c r="C7" s="13">
        <f t="shared" si="0"/>
        <v>321.33</v>
      </c>
      <c r="D7" s="16"/>
      <c r="E7" s="16"/>
      <c r="F7" s="16">
        <v>321.33</v>
      </c>
      <c r="G7" s="13">
        <f t="shared" si="1"/>
        <v>12</v>
      </c>
      <c r="H7" s="16"/>
      <c r="I7" s="16"/>
      <c r="J7" s="16">
        <v>12</v>
      </c>
      <c r="K7" s="13">
        <f t="shared" si="2"/>
        <v>47.87</v>
      </c>
      <c r="L7" s="16">
        <f t="shared" si="3"/>
        <v>33.62</v>
      </c>
      <c r="M7" s="16">
        <f t="shared" si="4"/>
        <v>0.11</v>
      </c>
      <c r="N7" s="16">
        <f t="shared" si="5"/>
        <v>7.2</v>
      </c>
      <c r="O7" s="16">
        <f t="shared" si="6"/>
        <v>8.29</v>
      </c>
      <c r="P7" s="16">
        <f t="shared" si="7"/>
        <v>18.02</v>
      </c>
      <c r="Q7" s="16"/>
      <c r="R7" s="16"/>
      <c r="S7" s="16"/>
      <c r="T7" s="16"/>
      <c r="U7" s="16"/>
      <c r="V7" s="16"/>
      <c r="W7" s="16"/>
      <c r="X7" s="16"/>
      <c r="Y7" s="16">
        <v>0.11</v>
      </c>
      <c r="Z7" s="16">
        <v>7.2</v>
      </c>
      <c r="AA7" s="16">
        <v>8.29</v>
      </c>
      <c r="AB7" s="16">
        <v>18.02</v>
      </c>
      <c r="AC7" s="16"/>
      <c r="AD7" s="16"/>
      <c r="AE7" s="16"/>
      <c r="AF7" s="16"/>
      <c r="AG7" s="13">
        <v>5</v>
      </c>
      <c r="AH7" s="13">
        <v>9.25</v>
      </c>
      <c r="AI7" s="10">
        <v>37.33</v>
      </c>
      <c r="AJ7" s="10">
        <v>4.08</v>
      </c>
      <c r="AK7" s="10">
        <v>26.67</v>
      </c>
      <c r="AL7" s="10">
        <v>10</v>
      </c>
      <c r="AM7" s="115"/>
      <c r="AN7" s="115">
        <f t="shared" si="8"/>
        <v>130.32</v>
      </c>
      <c r="AO7" s="10">
        <v>12</v>
      </c>
      <c r="AP7" s="10">
        <v>95.33</v>
      </c>
      <c r="AQ7" s="10">
        <v>4.33</v>
      </c>
      <c r="AR7" s="10">
        <v>13.33</v>
      </c>
      <c r="AS7" s="10">
        <v>5.33</v>
      </c>
      <c r="AT7" s="119">
        <v>31.22</v>
      </c>
      <c r="AU7" s="119">
        <f t="shared" si="9"/>
        <v>2.3999999999999986</v>
      </c>
      <c r="AV7" s="89"/>
      <c r="AW7" s="89"/>
      <c r="AX7" s="89"/>
    </row>
    <row r="8" spans="1:50" ht="11.25">
      <c r="A8" s="117" t="s">
        <v>239</v>
      </c>
      <c r="B8" s="92" t="s">
        <v>145</v>
      </c>
      <c r="C8" s="13">
        <f t="shared" si="0"/>
        <v>208.42</v>
      </c>
      <c r="D8" s="16"/>
      <c r="E8" s="16"/>
      <c r="F8" s="16">
        <v>208.42</v>
      </c>
      <c r="G8" s="13">
        <f t="shared" si="1"/>
        <v>10.67</v>
      </c>
      <c r="H8" s="16"/>
      <c r="I8" s="16"/>
      <c r="J8" s="16">
        <v>10.67</v>
      </c>
      <c r="K8" s="13">
        <f t="shared" si="2"/>
        <v>56.59</v>
      </c>
      <c r="L8" s="16">
        <f t="shared" si="3"/>
        <v>39.7</v>
      </c>
      <c r="M8" s="16">
        <f t="shared" si="4"/>
        <v>0.89</v>
      </c>
      <c r="N8" s="16">
        <f t="shared" si="5"/>
        <v>13.3</v>
      </c>
      <c r="O8" s="16">
        <f t="shared" si="6"/>
        <v>14.37</v>
      </c>
      <c r="P8" s="16">
        <f t="shared" si="7"/>
        <v>11.14</v>
      </c>
      <c r="Q8" s="16"/>
      <c r="R8" s="16"/>
      <c r="S8" s="16"/>
      <c r="T8" s="16"/>
      <c r="U8" s="16"/>
      <c r="V8" s="16"/>
      <c r="W8" s="16"/>
      <c r="X8" s="16"/>
      <c r="Y8" s="16">
        <v>0.89</v>
      </c>
      <c r="Z8" s="16">
        <v>13.3</v>
      </c>
      <c r="AA8" s="16">
        <v>14.37</v>
      </c>
      <c r="AB8" s="16">
        <v>11.14</v>
      </c>
      <c r="AC8" s="16"/>
      <c r="AD8" s="16"/>
      <c r="AE8" s="16"/>
      <c r="AF8" s="16"/>
      <c r="AG8" s="13">
        <v>4.5</v>
      </c>
      <c r="AH8" s="13">
        <v>12.39</v>
      </c>
      <c r="AI8" s="10">
        <v>75</v>
      </c>
      <c r="AJ8" s="10">
        <v>7.5</v>
      </c>
      <c r="AK8" s="10">
        <v>20</v>
      </c>
      <c r="AL8" s="10">
        <v>20</v>
      </c>
      <c r="AM8" s="115"/>
      <c r="AN8" s="115">
        <f t="shared" si="8"/>
        <v>56.3</v>
      </c>
      <c r="AO8" s="10">
        <v>10.6</v>
      </c>
      <c r="AP8" s="10">
        <v>28.3</v>
      </c>
      <c r="AQ8" s="10">
        <v>11.2</v>
      </c>
      <c r="AR8" s="10">
        <v>6.2</v>
      </c>
      <c r="AS8" s="10"/>
      <c r="AT8" s="119">
        <v>39.83</v>
      </c>
      <c r="AU8" s="119">
        <f t="shared" si="9"/>
        <v>-0.12999999999999545</v>
      </c>
      <c r="AV8" s="89"/>
      <c r="AW8" s="89"/>
      <c r="AX8" s="89"/>
    </row>
    <row r="9" spans="1:50" ht="11.25">
      <c r="A9" s="117" t="s">
        <v>240</v>
      </c>
      <c r="B9" s="92">
        <v>6</v>
      </c>
      <c r="C9" s="13">
        <f t="shared" si="0"/>
        <v>701.5</v>
      </c>
      <c r="D9" s="16">
        <v>25.5</v>
      </c>
      <c r="E9" s="16">
        <v>676</v>
      </c>
      <c r="F9" s="16"/>
      <c r="G9" s="13">
        <f t="shared" si="1"/>
        <v>30.33</v>
      </c>
      <c r="H9" s="16">
        <v>1</v>
      </c>
      <c r="I9" s="16">
        <v>29.33</v>
      </c>
      <c r="J9" s="16"/>
      <c r="K9" s="13">
        <f t="shared" si="2"/>
        <v>81.64</v>
      </c>
      <c r="L9" s="16">
        <f t="shared" si="3"/>
        <v>61.64</v>
      </c>
      <c r="M9" s="16">
        <f t="shared" si="4"/>
        <v>2.59</v>
      </c>
      <c r="N9" s="16">
        <f t="shared" si="5"/>
        <v>14.43</v>
      </c>
      <c r="O9" s="16">
        <f t="shared" si="6"/>
        <v>13.07</v>
      </c>
      <c r="P9" s="16">
        <f t="shared" si="7"/>
        <v>31.55</v>
      </c>
      <c r="Q9" s="16"/>
      <c r="R9" s="16"/>
      <c r="S9" s="16"/>
      <c r="T9" s="16">
        <v>1.14</v>
      </c>
      <c r="U9" s="16">
        <v>2.59</v>
      </c>
      <c r="V9" s="16">
        <v>14.43</v>
      </c>
      <c r="W9" s="16">
        <v>13.07</v>
      </c>
      <c r="X9" s="16">
        <v>30.41</v>
      </c>
      <c r="Y9" s="16"/>
      <c r="Z9" s="16"/>
      <c r="AA9" s="16"/>
      <c r="AB9" s="16"/>
      <c r="AC9" s="16"/>
      <c r="AD9" s="16"/>
      <c r="AE9" s="16"/>
      <c r="AF9" s="16"/>
      <c r="AG9" s="13">
        <v>4.5</v>
      </c>
      <c r="AH9" s="13">
        <v>15.5</v>
      </c>
      <c r="AI9" s="10">
        <v>18.83</v>
      </c>
      <c r="AJ9" s="10">
        <v>3</v>
      </c>
      <c r="AK9" s="10">
        <v>26.67</v>
      </c>
      <c r="AL9" s="10">
        <v>5</v>
      </c>
      <c r="AM9" s="115">
        <v>189</v>
      </c>
      <c r="AN9" s="115">
        <f t="shared" si="8"/>
        <v>371</v>
      </c>
      <c r="AO9" s="10">
        <v>30</v>
      </c>
      <c r="AP9" s="10">
        <v>306</v>
      </c>
      <c r="AQ9" s="10">
        <v>25</v>
      </c>
      <c r="AR9" s="10">
        <v>10</v>
      </c>
      <c r="AS9" s="10"/>
      <c r="AT9" s="119">
        <v>59.55</v>
      </c>
      <c r="AU9" s="119">
        <f t="shared" si="9"/>
        <v>2.0900000000000034</v>
      </c>
      <c r="AV9" s="89"/>
      <c r="AW9" s="89"/>
      <c r="AX9" s="89"/>
    </row>
    <row r="10" spans="1:50" ht="11.25">
      <c r="A10" s="117" t="s">
        <v>241</v>
      </c>
      <c r="B10" s="92" t="s">
        <v>146</v>
      </c>
      <c r="C10" s="13">
        <f t="shared" si="0"/>
        <v>424</v>
      </c>
      <c r="D10" s="16"/>
      <c r="E10" s="16"/>
      <c r="F10" s="16">
        <v>424</v>
      </c>
      <c r="G10" s="13">
        <f t="shared" si="1"/>
        <v>17.2</v>
      </c>
      <c r="H10" s="16"/>
      <c r="I10" s="16"/>
      <c r="J10" s="16">
        <v>17.2</v>
      </c>
      <c r="K10" s="13">
        <f t="shared" si="2"/>
        <v>72.44</v>
      </c>
      <c r="L10" s="16">
        <f t="shared" si="3"/>
        <v>55.89</v>
      </c>
      <c r="M10" s="16">
        <f t="shared" si="4"/>
        <v>2.47</v>
      </c>
      <c r="N10" s="16">
        <f t="shared" si="5"/>
        <v>11.64</v>
      </c>
      <c r="O10" s="16">
        <f t="shared" si="6"/>
        <v>10.2</v>
      </c>
      <c r="P10" s="16">
        <f t="shared" si="7"/>
        <v>31.58</v>
      </c>
      <c r="Q10" s="16"/>
      <c r="R10" s="16"/>
      <c r="S10" s="16"/>
      <c r="T10" s="16"/>
      <c r="U10" s="16"/>
      <c r="V10" s="16"/>
      <c r="W10" s="16"/>
      <c r="X10" s="16"/>
      <c r="Y10" s="16">
        <v>2.47</v>
      </c>
      <c r="Z10" s="16">
        <v>11.64</v>
      </c>
      <c r="AA10" s="16">
        <v>10.2</v>
      </c>
      <c r="AB10" s="16">
        <v>31.58</v>
      </c>
      <c r="AC10" s="16"/>
      <c r="AD10" s="16"/>
      <c r="AE10" s="16"/>
      <c r="AF10" s="16"/>
      <c r="AG10" s="13">
        <v>4.55</v>
      </c>
      <c r="AH10" s="13">
        <v>12</v>
      </c>
      <c r="AI10" s="10">
        <v>156.2</v>
      </c>
      <c r="AJ10" s="10">
        <v>15.8</v>
      </c>
      <c r="AK10" s="10">
        <v>43.7</v>
      </c>
      <c r="AL10" s="10">
        <v>20</v>
      </c>
      <c r="AM10" s="115"/>
      <c r="AN10" s="115">
        <f t="shared" si="8"/>
        <v>68.97</v>
      </c>
      <c r="AO10" s="10">
        <v>17</v>
      </c>
      <c r="AP10" s="10">
        <v>15.14</v>
      </c>
      <c r="AQ10" s="10">
        <v>15.28</v>
      </c>
      <c r="AR10" s="10">
        <v>19.94</v>
      </c>
      <c r="AS10" s="10">
        <v>1.61</v>
      </c>
      <c r="AT10" s="119">
        <v>48.17</v>
      </c>
      <c r="AU10" s="119">
        <f t="shared" si="9"/>
        <v>7.719999999999999</v>
      </c>
      <c r="AV10" s="89"/>
      <c r="AW10" s="89"/>
      <c r="AX10" s="89"/>
    </row>
    <row r="11" spans="1:50" ht="11.25">
      <c r="A11" s="117" t="s">
        <v>242</v>
      </c>
      <c r="B11" s="92">
        <v>8</v>
      </c>
      <c r="C11" s="13">
        <f t="shared" si="0"/>
        <v>442</v>
      </c>
      <c r="D11" s="16">
        <v>15</v>
      </c>
      <c r="E11" s="16">
        <v>250</v>
      </c>
      <c r="F11" s="16">
        <v>177</v>
      </c>
      <c r="G11" s="13">
        <f t="shared" si="1"/>
        <v>22</v>
      </c>
      <c r="H11" s="16">
        <v>1</v>
      </c>
      <c r="I11" s="16">
        <v>12</v>
      </c>
      <c r="J11" s="16">
        <v>9</v>
      </c>
      <c r="K11" s="13">
        <f t="shared" si="2"/>
        <v>80.52</v>
      </c>
      <c r="L11" s="16">
        <f t="shared" si="3"/>
        <v>64.35</v>
      </c>
      <c r="M11" s="16">
        <f t="shared" si="4"/>
        <v>7.710000000000001</v>
      </c>
      <c r="N11" s="16">
        <f t="shared" si="5"/>
        <v>11.49</v>
      </c>
      <c r="O11" s="16">
        <f t="shared" si="6"/>
        <v>27.15</v>
      </c>
      <c r="P11" s="16">
        <f t="shared" si="7"/>
        <v>18</v>
      </c>
      <c r="Q11" s="16"/>
      <c r="R11" s="16"/>
      <c r="S11" s="16">
        <v>1.14</v>
      </c>
      <c r="T11" s="16"/>
      <c r="U11" s="16">
        <v>4.82</v>
      </c>
      <c r="V11" s="16">
        <v>5.41</v>
      </c>
      <c r="W11" s="16">
        <v>12.5</v>
      </c>
      <c r="X11" s="16">
        <v>9.67</v>
      </c>
      <c r="Y11" s="16">
        <v>2.89</v>
      </c>
      <c r="Z11" s="16">
        <v>6.08</v>
      </c>
      <c r="AA11" s="16">
        <v>13.51</v>
      </c>
      <c r="AB11" s="16">
        <v>8.33</v>
      </c>
      <c r="AC11" s="16"/>
      <c r="AD11" s="16"/>
      <c r="AE11" s="16"/>
      <c r="AF11" s="16"/>
      <c r="AG11" s="13">
        <v>4.5</v>
      </c>
      <c r="AH11" s="13">
        <v>11.67</v>
      </c>
      <c r="AI11" s="10">
        <v>66</v>
      </c>
      <c r="AJ11" s="10">
        <v>7</v>
      </c>
      <c r="AK11" s="10">
        <v>20</v>
      </c>
      <c r="AL11" s="10">
        <v>20</v>
      </c>
      <c r="AM11" s="115">
        <v>120</v>
      </c>
      <c r="AN11" s="115">
        <f t="shared" si="8"/>
        <v>246.33</v>
      </c>
      <c r="AO11" s="10">
        <v>21</v>
      </c>
      <c r="AP11" s="10">
        <v>184</v>
      </c>
      <c r="AQ11" s="10">
        <v>5.33</v>
      </c>
      <c r="AR11" s="10">
        <v>4</v>
      </c>
      <c r="AS11" s="10">
        <v>32</v>
      </c>
      <c r="AT11" s="119">
        <f>26.11+31.67</f>
        <v>57.78</v>
      </c>
      <c r="AU11" s="119">
        <f t="shared" si="9"/>
        <v>6.569999999999993</v>
      </c>
      <c r="AV11" s="89"/>
      <c r="AW11" s="89"/>
      <c r="AX11" s="89"/>
    </row>
    <row r="12" spans="1:50" ht="11.25">
      <c r="A12" s="117" t="s">
        <v>243</v>
      </c>
      <c r="B12" s="92">
        <v>10</v>
      </c>
      <c r="C12" s="13">
        <f t="shared" si="0"/>
        <v>556.91</v>
      </c>
      <c r="D12" s="16">
        <v>55.41</v>
      </c>
      <c r="E12" s="16">
        <v>501.5</v>
      </c>
      <c r="F12" s="16"/>
      <c r="G12" s="13">
        <f t="shared" si="1"/>
        <v>27</v>
      </c>
      <c r="H12" s="16">
        <v>3</v>
      </c>
      <c r="I12" s="16">
        <v>24</v>
      </c>
      <c r="J12" s="16"/>
      <c r="K12" s="13">
        <f t="shared" si="2"/>
        <v>97.28</v>
      </c>
      <c r="L12" s="16">
        <f t="shared" si="3"/>
        <v>72.03</v>
      </c>
      <c r="M12" s="16">
        <f t="shared" si="4"/>
        <v>1.12</v>
      </c>
      <c r="N12" s="16">
        <f t="shared" si="5"/>
        <v>13.06</v>
      </c>
      <c r="O12" s="16">
        <f t="shared" si="6"/>
        <v>21.26</v>
      </c>
      <c r="P12" s="16">
        <f t="shared" si="7"/>
        <v>36.589999999999996</v>
      </c>
      <c r="Q12" s="16"/>
      <c r="R12" s="16">
        <v>0.85</v>
      </c>
      <c r="S12" s="16">
        <v>0.8</v>
      </c>
      <c r="T12" s="16">
        <v>2.97</v>
      </c>
      <c r="U12" s="16">
        <v>1.12</v>
      </c>
      <c r="V12" s="16">
        <v>12.21</v>
      </c>
      <c r="W12" s="16">
        <v>20.46</v>
      </c>
      <c r="X12" s="16">
        <v>33.62</v>
      </c>
      <c r="Y12" s="16"/>
      <c r="Z12" s="16"/>
      <c r="AA12" s="16"/>
      <c r="AB12" s="16"/>
      <c r="AC12" s="16"/>
      <c r="AD12" s="16"/>
      <c r="AE12" s="16"/>
      <c r="AF12" s="16"/>
      <c r="AG12" s="13">
        <v>6</v>
      </c>
      <c r="AH12" s="13">
        <v>19.25</v>
      </c>
      <c r="AI12" s="10">
        <v>54</v>
      </c>
      <c r="AJ12" s="10">
        <v>7.6</v>
      </c>
      <c r="AK12" s="10">
        <v>20</v>
      </c>
      <c r="AL12" s="10">
        <v>20</v>
      </c>
      <c r="AM12" s="115">
        <v>96.3</v>
      </c>
      <c r="AN12" s="115">
        <f t="shared" si="8"/>
        <v>178.89999999999998</v>
      </c>
      <c r="AO12" s="10">
        <v>18.3</v>
      </c>
      <c r="AP12" s="10">
        <v>107.3</v>
      </c>
      <c r="AQ12" s="10">
        <v>37.2</v>
      </c>
      <c r="AR12" s="10">
        <v>11.4</v>
      </c>
      <c r="AS12" s="10">
        <v>4.7</v>
      </c>
      <c r="AT12" s="119">
        <v>70.38</v>
      </c>
      <c r="AU12" s="119">
        <f t="shared" si="9"/>
        <v>1.6500000000000057</v>
      </c>
      <c r="AV12" s="89"/>
      <c r="AW12" s="89"/>
      <c r="AX12" s="89"/>
    </row>
    <row r="13" spans="1:50" ht="11.25">
      <c r="A13" s="117" t="s">
        <v>244</v>
      </c>
      <c r="B13" s="92">
        <v>11</v>
      </c>
      <c r="C13" s="13">
        <f t="shared" si="0"/>
        <v>396.67</v>
      </c>
      <c r="D13" s="16">
        <v>25.67</v>
      </c>
      <c r="E13" s="16">
        <v>185</v>
      </c>
      <c r="F13" s="16">
        <v>186</v>
      </c>
      <c r="G13" s="13">
        <f t="shared" si="1"/>
        <v>19.67</v>
      </c>
      <c r="H13" s="16">
        <v>1</v>
      </c>
      <c r="I13" s="16">
        <v>9.67</v>
      </c>
      <c r="J13" s="16">
        <v>9</v>
      </c>
      <c r="K13" s="13">
        <f t="shared" si="2"/>
        <v>65.3</v>
      </c>
      <c r="L13" s="16">
        <f t="shared" si="3"/>
        <v>49.64</v>
      </c>
      <c r="M13" s="16">
        <f t="shared" si="4"/>
        <v>1.84</v>
      </c>
      <c r="N13" s="16">
        <f t="shared" si="5"/>
        <v>10.52</v>
      </c>
      <c r="O13" s="16">
        <f t="shared" si="6"/>
        <v>15.540000000000001</v>
      </c>
      <c r="P13" s="16">
        <f t="shared" si="7"/>
        <v>21.740000000000002</v>
      </c>
      <c r="Q13" s="16"/>
      <c r="R13" s="16"/>
      <c r="S13" s="16"/>
      <c r="T13" s="16">
        <v>1.14</v>
      </c>
      <c r="U13" s="16">
        <v>0.25</v>
      </c>
      <c r="V13" s="16">
        <v>4.18</v>
      </c>
      <c r="W13" s="16">
        <v>9.47</v>
      </c>
      <c r="X13" s="16">
        <v>7.74</v>
      </c>
      <c r="Y13" s="16">
        <v>1.59</v>
      </c>
      <c r="Z13" s="16">
        <v>6.34</v>
      </c>
      <c r="AA13" s="16">
        <v>6.07</v>
      </c>
      <c r="AB13" s="16">
        <v>12.86</v>
      </c>
      <c r="AC13" s="16"/>
      <c r="AD13" s="16"/>
      <c r="AE13" s="16"/>
      <c r="AF13" s="16"/>
      <c r="AG13" s="13">
        <v>4.58</v>
      </c>
      <c r="AH13" s="13">
        <v>11.08</v>
      </c>
      <c r="AI13" s="10">
        <v>34.83</v>
      </c>
      <c r="AJ13" s="10">
        <v>21</v>
      </c>
      <c r="AK13" s="10">
        <v>20</v>
      </c>
      <c r="AL13" s="10">
        <v>30</v>
      </c>
      <c r="AM13" s="115">
        <v>56.83</v>
      </c>
      <c r="AN13" s="115">
        <f t="shared" si="8"/>
        <v>119.75</v>
      </c>
      <c r="AO13" s="10">
        <v>16.92</v>
      </c>
      <c r="AP13" s="10">
        <v>78.67</v>
      </c>
      <c r="AQ13" s="10">
        <v>18.33</v>
      </c>
      <c r="AR13" s="10"/>
      <c r="AS13" s="10">
        <v>5.83</v>
      </c>
      <c r="AT13" s="119">
        <f>22.91+25.14</f>
        <v>48.05</v>
      </c>
      <c r="AU13" s="119">
        <f t="shared" si="9"/>
        <v>1.5900000000000034</v>
      </c>
      <c r="AV13" s="89"/>
      <c r="AW13" s="89"/>
      <c r="AX13" s="89"/>
    </row>
    <row r="14" spans="1:50" ht="11.25">
      <c r="A14" s="117" t="s">
        <v>245</v>
      </c>
      <c r="B14" s="92">
        <v>12</v>
      </c>
      <c r="C14" s="13">
        <f t="shared" si="0"/>
        <v>818.6600000000001</v>
      </c>
      <c r="D14" s="16">
        <v>24.33</v>
      </c>
      <c r="E14" s="16">
        <v>516</v>
      </c>
      <c r="F14" s="16">
        <v>278.33</v>
      </c>
      <c r="G14" s="13">
        <f t="shared" si="1"/>
        <v>34.66</v>
      </c>
      <c r="H14" s="16">
        <v>1</v>
      </c>
      <c r="I14" s="16">
        <v>22.33</v>
      </c>
      <c r="J14" s="16">
        <v>11.33</v>
      </c>
      <c r="K14" s="13">
        <f t="shared" si="2"/>
        <v>104.17</v>
      </c>
      <c r="L14" s="16">
        <f t="shared" si="3"/>
        <v>78.34</v>
      </c>
      <c r="M14" s="16">
        <f t="shared" si="4"/>
        <v>1.68</v>
      </c>
      <c r="N14" s="16">
        <f t="shared" si="5"/>
        <v>13.899999999999999</v>
      </c>
      <c r="O14" s="16">
        <f t="shared" si="6"/>
        <v>31.26</v>
      </c>
      <c r="P14" s="16">
        <f t="shared" si="7"/>
        <v>31.5</v>
      </c>
      <c r="Q14" s="16"/>
      <c r="R14" s="16"/>
      <c r="S14" s="16">
        <v>1.2</v>
      </c>
      <c r="T14" s="16"/>
      <c r="U14" s="16">
        <v>1.44</v>
      </c>
      <c r="V14" s="16">
        <v>8.87</v>
      </c>
      <c r="W14" s="16">
        <v>20.07</v>
      </c>
      <c r="X14" s="16">
        <v>13.46</v>
      </c>
      <c r="Y14" s="16">
        <v>0.24</v>
      </c>
      <c r="Z14" s="16">
        <v>5.03</v>
      </c>
      <c r="AA14" s="16">
        <v>9.99</v>
      </c>
      <c r="AB14" s="16">
        <v>18.04</v>
      </c>
      <c r="AC14" s="16"/>
      <c r="AD14" s="16"/>
      <c r="AE14" s="16"/>
      <c r="AF14" s="16"/>
      <c r="AG14" s="13">
        <v>7.25</v>
      </c>
      <c r="AH14" s="13">
        <v>18.58</v>
      </c>
      <c r="AI14" s="10">
        <v>49.78</v>
      </c>
      <c r="AJ14" s="10">
        <v>8</v>
      </c>
      <c r="AK14" s="10">
        <v>20</v>
      </c>
      <c r="AL14" s="10">
        <v>20</v>
      </c>
      <c r="AM14" s="115">
        <v>162.5</v>
      </c>
      <c r="AN14" s="115">
        <f t="shared" si="8"/>
        <v>364.03</v>
      </c>
      <c r="AO14" s="10">
        <v>37</v>
      </c>
      <c r="AP14" s="10">
        <v>291.86</v>
      </c>
      <c r="AQ14" s="10">
        <v>10.39</v>
      </c>
      <c r="AR14" s="10">
        <v>4</v>
      </c>
      <c r="AS14" s="10">
        <v>20.78</v>
      </c>
      <c r="AT14" s="119">
        <f>44.42+32.79</f>
        <v>77.21000000000001</v>
      </c>
      <c r="AU14" s="119">
        <f t="shared" si="9"/>
        <v>1.1299999999999955</v>
      </c>
      <c r="AV14" s="89"/>
      <c r="AW14" s="89"/>
      <c r="AX14" s="89"/>
    </row>
    <row r="15" spans="1:50" ht="11.25">
      <c r="A15" s="117" t="s">
        <v>246</v>
      </c>
      <c r="B15" s="92">
        <v>13</v>
      </c>
      <c r="C15" s="13">
        <f t="shared" si="0"/>
        <v>289</v>
      </c>
      <c r="D15" s="16">
        <v>29.67</v>
      </c>
      <c r="E15" s="16">
        <v>259.33</v>
      </c>
      <c r="F15" s="16"/>
      <c r="G15" s="13">
        <f t="shared" si="1"/>
        <v>15</v>
      </c>
      <c r="H15" s="16">
        <v>1.67</v>
      </c>
      <c r="I15" s="16">
        <v>13.33</v>
      </c>
      <c r="J15" s="16"/>
      <c r="K15" s="13">
        <f t="shared" si="2"/>
        <v>53.69</v>
      </c>
      <c r="L15" s="16">
        <f t="shared" si="3"/>
        <v>38.19</v>
      </c>
      <c r="M15" s="16">
        <f t="shared" si="4"/>
        <v>5.95</v>
      </c>
      <c r="N15" s="16">
        <f t="shared" si="5"/>
        <v>9.69</v>
      </c>
      <c r="O15" s="16">
        <f t="shared" si="6"/>
        <v>8.5</v>
      </c>
      <c r="P15" s="16">
        <f t="shared" si="7"/>
        <v>14.05</v>
      </c>
      <c r="Q15" s="16">
        <v>0.76</v>
      </c>
      <c r="R15" s="16"/>
      <c r="S15" s="16"/>
      <c r="T15" s="16">
        <v>1.15</v>
      </c>
      <c r="U15" s="16">
        <v>5.19</v>
      </c>
      <c r="V15" s="16">
        <v>9.69</v>
      </c>
      <c r="W15" s="16">
        <v>8.5</v>
      </c>
      <c r="X15" s="16">
        <v>12.9</v>
      </c>
      <c r="Y15" s="16"/>
      <c r="Z15" s="16"/>
      <c r="AA15" s="16"/>
      <c r="AB15" s="16"/>
      <c r="AC15" s="16"/>
      <c r="AD15" s="16"/>
      <c r="AE15" s="16"/>
      <c r="AF15" s="16"/>
      <c r="AG15" s="13">
        <v>4</v>
      </c>
      <c r="AH15" s="13">
        <v>11.5</v>
      </c>
      <c r="AI15" s="10">
        <v>24.67</v>
      </c>
      <c r="AJ15" s="10">
        <v>27</v>
      </c>
      <c r="AK15" s="10">
        <v>20</v>
      </c>
      <c r="AL15" s="10"/>
      <c r="AM15" s="115">
        <v>109.4</v>
      </c>
      <c r="AN15" s="115">
        <f t="shared" si="8"/>
        <v>170.4</v>
      </c>
      <c r="AO15" s="10">
        <v>12.8</v>
      </c>
      <c r="AP15" s="10">
        <v>96.6</v>
      </c>
      <c r="AQ15" s="10">
        <v>17.8</v>
      </c>
      <c r="AR15" s="10">
        <v>28</v>
      </c>
      <c r="AS15" s="10">
        <v>15.2</v>
      </c>
      <c r="AT15" s="119">
        <v>37.19</v>
      </c>
      <c r="AU15" s="119">
        <f t="shared" si="9"/>
        <v>1</v>
      </c>
      <c r="AV15" s="89"/>
      <c r="AW15" s="89"/>
      <c r="AX15" s="89"/>
    </row>
    <row r="16" spans="1:50" ht="11.25">
      <c r="A16" s="117" t="s">
        <v>150</v>
      </c>
      <c r="B16" s="92">
        <v>14</v>
      </c>
      <c r="C16" s="13">
        <f t="shared" si="0"/>
        <v>317.66</v>
      </c>
      <c r="D16" s="16"/>
      <c r="E16" s="16">
        <v>158.33</v>
      </c>
      <c r="F16" s="16">
        <v>159.33</v>
      </c>
      <c r="G16" s="13">
        <f t="shared" si="1"/>
        <v>12</v>
      </c>
      <c r="H16" s="16"/>
      <c r="I16" s="16">
        <v>6</v>
      </c>
      <c r="J16" s="16">
        <v>6</v>
      </c>
      <c r="K16" s="13">
        <f t="shared" si="2"/>
        <v>56.915</v>
      </c>
      <c r="L16" s="16">
        <f t="shared" si="3"/>
        <v>40.04</v>
      </c>
      <c r="M16" s="16">
        <f t="shared" si="4"/>
        <v>3.6900000000000004</v>
      </c>
      <c r="N16" s="16">
        <f t="shared" si="5"/>
        <v>11.41</v>
      </c>
      <c r="O16" s="16">
        <f t="shared" si="6"/>
        <v>12.52</v>
      </c>
      <c r="P16" s="16">
        <f t="shared" si="7"/>
        <v>12.42</v>
      </c>
      <c r="Q16" s="16"/>
      <c r="R16" s="16"/>
      <c r="S16" s="16"/>
      <c r="T16" s="16"/>
      <c r="U16" s="16">
        <v>2.18</v>
      </c>
      <c r="V16" s="16">
        <v>6.07</v>
      </c>
      <c r="W16" s="16">
        <v>5.7</v>
      </c>
      <c r="X16" s="16">
        <v>5.36</v>
      </c>
      <c r="Y16" s="16">
        <v>1.51</v>
      </c>
      <c r="Z16" s="16">
        <v>5.34</v>
      </c>
      <c r="AA16" s="16">
        <v>6.82</v>
      </c>
      <c r="AB16" s="16">
        <v>7.06</v>
      </c>
      <c r="AC16" s="16"/>
      <c r="AD16" s="16"/>
      <c r="AE16" s="16"/>
      <c r="AF16" s="16"/>
      <c r="AG16" s="13">
        <v>4.75</v>
      </c>
      <c r="AH16" s="13">
        <v>12.125</v>
      </c>
      <c r="AI16" s="10">
        <v>6.67</v>
      </c>
      <c r="AJ16" s="10">
        <v>0.67</v>
      </c>
      <c r="AK16" s="10">
        <v>12.67</v>
      </c>
      <c r="AL16" s="10">
        <v>15.33</v>
      </c>
      <c r="AM16" s="115"/>
      <c r="AN16" s="115">
        <f t="shared" si="8"/>
        <v>273.34000000000003</v>
      </c>
      <c r="AO16" s="10">
        <v>12</v>
      </c>
      <c r="AP16" s="10">
        <v>220.33</v>
      </c>
      <c r="AQ16" s="10">
        <v>3.67</v>
      </c>
      <c r="AR16" s="10">
        <v>2.67</v>
      </c>
      <c r="AS16" s="10">
        <v>34.67</v>
      </c>
      <c r="AT16" s="119">
        <f>19.4+20.76</f>
        <v>40.16</v>
      </c>
      <c r="AU16" s="119">
        <f t="shared" si="9"/>
        <v>-0.11999999999999744</v>
      </c>
      <c r="AV16" s="89"/>
      <c r="AW16" s="89"/>
      <c r="AX16" s="89"/>
    </row>
    <row r="17" spans="1:50" ht="11.25">
      <c r="A17" s="117" t="s">
        <v>247</v>
      </c>
      <c r="B17" s="92">
        <v>16</v>
      </c>
      <c r="C17" s="13">
        <f t="shared" si="0"/>
        <v>402.99</v>
      </c>
      <c r="D17" s="16">
        <v>44.66</v>
      </c>
      <c r="E17" s="16">
        <v>358.33</v>
      </c>
      <c r="F17" s="16"/>
      <c r="G17" s="13">
        <f t="shared" si="1"/>
        <v>20</v>
      </c>
      <c r="H17" s="16">
        <v>2</v>
      </c>
      <c r="I17" s="16">
        <v>18</v>
      </c>
      <c r="J17" s="16"/>
      <c r="K17" s="13">
        <f t="shared" si="2"/>
        <v>59.760000000000005</v>
      </c>
      <c r="L17" s="16">
        <f t="shared" si="3"/>
        <v>42.760000000000005</v>
      </c>
      <c r="M17" s="16">
        <f t="shared" si="4"/>
        <v>1.48</v>
      </c>
      <c r="N17" s="16">
        <f t="shared" si="5"/>
        <v>5.5600000000000005</v>
      </c>
      <c r="O17" s="16">
        <f t="shared" si="6"/>
        <v>13.03</v>
      </c>
      <c r="P17" s="16">
        <f t="shared" si="7"/>
        <v>22.69</v>
      </c>
      <c r="Q17" s="16"/>
      <c r="R17" s="16">
        <v>1.52</v>
      </c>
      <c r="S17" s="16">
        <v>0.76</v>
      </c>
      <c r="T17" s="16"/>
      <c r="U17" s="16">
        <v>1.48</v>
      </c>
      <c r="V17" s="16">
        <v>4.04</v>
      </c>
      <c r="W17" s="16">
        <v>12.27</v>
      </c>
      <c r="X17" s="16">
        <v>22.69</v>
      </c>
      <c r="Y17" s="16"/>
      <c r="Z17" s="16"/>
      <c r="AA17" s="16"/>
      <c r="AB17" s="16"/>
      <c r="AC17" s="16"/>
      <c r="AD17" s="16"/>
      <c r="AE17" s="16"/>
      <c r="AF17" s="16"/>
      <c r="AG17" s="13">
        <v>4.5</v>
      </c>
      <c r="AH17" s="13">
        <v>12.5</v>
      </c>
      <c r="AI17" s="10">
        <v>34.67</v>
      </c>
      <c r="AJ17" s="10">
        <v>4.67</v>
      </c>
      <c r="AK17" s="10">
        <v>20</v>
      </c>
      <c r="AL17" s="10"/>
      <c r="AM17" s="115">
        <v>136.67</v>
      </c>
      <c r="AN17" s="115">
        <f t="shared" si="8"/>
        <v>258.66</v>
      </c>
      <c r="AO17" s="10">
        <v>20</v>
      </c>
      <c r="AP17" s="10">
        <v>195.33</v>
      </c>
      <c r="AQ17" s="10">
        <v>8</v>
      </c>
      <c r="AR17" s="10"/>
      <c r="AS17" s="10">
        <v>35.33</v>
      </c>
      <c r="AT17" s="119">
        <v>41.67</v>
      </c>
      <c r="AU17" s="119">
        <f t="shared" si="9"/>
        <v>1.0900000000000034</v>
      </c>
      <c r="AV17" s="89"/>
      <c r="AW17" s="89"/>
      <c r="AX17" s="89"/>
    </row>
    <row r="18" spans="1:50" ht="11.25">
      <c r="A18" s="120" t="s">
        <v>248</v>
      </c>
      <c r="B18" s="92">
        <v>17</v>
      </c>
      <c r="C18" s="13">
        <f t="shared" si="0"/>
        <v>465</v>
      </c>
      <c r="D18" s="16">
        <v>43</v>
      </c>
      <c r="E18" s="16">
        <v>422</v>
      </c>
      <c r="F18" s="16"/>
      <c r="G18" s="13">
        <f t="shared" si="1"/>
        <v>21</v>
      </c>
      <c r="H18" s="16">
        <v>2</v>
      </c>
      <c r="I18" s="16">
        <v>19</v>
      </c>
      <c r="J18" s="16"/>
      <c r="K18" s="13">
        <f t="shared" si="2"/>
        <v>58.93000000000001</v>
      </c>
      <c r="L18" s="16">
        <f t="shared" si="3"/>
        <v>40.870000000000005</v>
      </c>
      <c r="M18" s="16">
        <f t="shared" si="4"/>
        <v>1.09</v>
      </c>
      <c r="N18" s="16">
        <f t="shared" si="5"/>
        <v>8.53</v>
      </c>
      <c r="O18" s="16">
        <f t="shared" si="6"/>
        <v>7.12</v>
      </c>
      <c r="P18" s="16">
        <f t="shared" si="7"/>
        <v>24.130000000000003</v>
      </c>
      <c r="Q18" s="16">
        <v>0.76</v>
      </c>
      <c r="R18" s="16"/>
      <c r="S18" s="16">
        <v>0.38</v>
      </c>
      <c r="T18" s="16">
        <v>1.21</v>
      </c>
      <c r="U18" s="16">
        <v>0.33</v>
      </c>
      <c r="V18" s="16">
        <v>8.53</v>
      </c>
      <c r="W18" s="16">
        <v>6.74</v>
      </c>
      <c r="X18" s="16">
        <v>22.92</v>
      </c>
      <c r="Y18" s="16"/>
      <c r="Z18" s="16"/>
      <c r="AA18" s="16"/>
      <c r="AB18" s="16"/>
      <c r="AC18" s="16"/>
      <c r="AD18" s="16"/>
      <c r="AE18" s="16"/>
      <c r="AF18" s="16"/>
      <c r="AG18" s="13">
        <v>4</v>
      </c>
      <c r="AH18" s="13">
        <v>14.06</v>
      </c>
      <c r="AI18" s="10">
        <v>19.2</v>
      </c>
      <c r="AJ18" s="10">
        <v>5.05</v>
      </c>
      <c r="AK18" s="10">
        <v>20</v>
      </c>
      <c r="AL18" s="10"/>
      <c r="AM18" s="115">
        <v>144</v>
      </c>
      <c r="AN18" s="115">
        <f t="shared" si="8"/>
        <v>211</v>
      </c>
      <c r="AO18" s="10">
        <v>21</v>
      </c>
      <c r="AP18" s="10">
        <v>151</v>
      </c>
      <c r="AQ18" s="10">
        <v>34</v>
      </c>
      <c r="AR18" s="10">
        <v>2</v>
      </c>
      <c r="AS18" s="10">
        <v>3</v>
      </c>
      <c r="AT18" s="119">
        <v>39.61</v>
      </c>
      <c r="AU18" s="119">
        <f t="shared" si="9"/>
        <v>1.2600000000000051</v>
      </c>
      <c r="AV18" s="89"/>
      <c r="AW18" s="89"/>
      <c r="AX18" s="89"/>
    </row>
    <row r="19" spans="1:50" ht="11.25">
      <c r="A19" s="120" t="s">
        <v>249</v>
      </c>
      <c r="B19" s="92">
        <v>18</v>
      </c>
      <c r="C19" s="13">
        <f t="shared" si="0"/>
        <v>804</v>
      </c>
      <c r="D19" s="16"/>
      <c r="E19" s="16">
        <v>804</v>
      </c>
      <c r="F19" s="16"/>
      <c r="G19" s="13">
        <f t="shared" si="1"/>
        <v>31</v>
      </c>
      <c r="H19" s="16"/>
      <c r="I19" s="16">
        <v>31</v>
      </c>
      <c r="J19" s="16"/>
      <c r="K19" s="13">
        <f t="shared" si="2"/>
        <v>81.02000000000001</v>
      </c>
      <c r="L19" s="16">
        <f t="shared" si="3"/>
        <v>59.92</v>
      </c>
      <c r="M19" s="16">
        <f t="shared" si="4"/>
        <v>1.4</v>
      </c>
      <c r="N19" s="16">
        <f t="shared" si="5"/>
        <v>8.16</v>
      </c>
      <c r="O19" s="16">
        <f t="shared" si="6"/>
        <v>17.65</v>
      </c>
      <c r="P19" s="16">
        <f t="shared" si="7"/>
        <v>32.71</v>
      </c>
      <c r="Q19" s="16"/>
      <c r="R19" s="16"/>
      <c r="S19" s="16"/>
      <c r="T19" s="16"/>
      <c r="U19" s="16">
        <v>1.4</v>
      </c>
      <c r="V19" s="16">
        <v>8.16</v>
      </c>
      <c r="W19" s="16">
        <v>17.65</v>
      </c>
      <c r="X19" s="16">
        <v>32.71</v>
      </c>
      <c r="Y19" s="16"/>
      <c r="Z19" s="16"/>
      <c r="AA19" s="16"/>
      <c r="AB19" s="16"/>
      <c r="AC19" s="16"/>
      <c r="AD19" s="16"/>
      <c r="AE19" s="16"/>
      <c r="AF19" s="16"/>
      <c r="AG19" s="13">
        <v>4.5</v>
      </c>
      <c r="AH19" s="13">
        <v>16.6</v>
      </c>
      <c r="AI19" s="10">
        <v>2</v>
      </c>
      <c r="AJ19" s="10">
        <v>2</v>
      </c>
      <c r="AK19" s="10">
        <v>20</v>
      </c>
      <c r="AL19" s="10"/>
      <c r="AM19" s="115">
        <v>266.67</v>
      </c>
      <c r="AN19" s="115">
        <f t="shared" si="8"/>
        <v>390</v>
      </c>
      <c r="AO19" s="10">
        <v>31</v>
      </c>
      <c r="AP19" s="10">
        <v>343</v>
      </c>
      <c r="AQ19" s="10">
        <v>6</v>
      </c>
      <c r="AR19" s="10"/>
      <c r="AS19" s="10">
        <v>10</v>
      </c>
      <c r="AT19" s="119">
        <v>65.04</v>
      </c>
      <c r="AU19" s="119">
        <f t="shared" si="9"/>
        <v>-5.1200000000000045</v>
      </c>
      <c r="AV19" s="89"/>
      <c r="AW19" s="89"/>
      <c r="AX19" s="89"/>
    </row>
    <row r="20" spans="1:50" ht="11.25">
      <c r="A20" s="117" t="s">
        <v>250</v>
      </c>
      <c r="B20" s="92" t="s">
        <v>153</v>
      </c>
      <c r="C20" s="13">
        <f t="shared" si="0"/>
        <v>309</v>
      </c>
      <c r="D20" s="16"/>
      <c r="E20" s="16"/>
      <c r="F20" s="16">
        <v>309</v>
      </c>
      <c r="G20" s="13">
        <f t="shared" si="1"/>
        <v>13.67</v>
      </c>
      <c r="H20" s="16"/>
      <c r="I20" s="16"/>
      <c r="J20" s="16">
        <v>13.67</v>
      </c>
      <c r="K20" s="13">
        <f t="shared" si="2"/>
        <v>50.17</v>
      </c>
      <c r="L20" s="16">
        <f t="shared" si="3"/>
        <v>35.76</v>
      </c>
      <c r="M20" s="16">
        <f t="shared" si="4"/>
        <v>0.71</v>
      </c>
      <c r="N20" s="16">
        <f t="shared" si="5"/>
        <v>8.42</v>
      </c>
      <c r="O20" s="16">
        <f t="shared" si="6"/>
        <v>10.25</v>
      </c>
      <c r="P20" s="16">
        <f t="shared" si="7"/>
        <v>16.38</v>
      </c>
      <c r="Q20" s="16"/>
      <c r="R20" s="16"/>
      <c r="S20" s="16"/>
      <c r="T20" s="16"/>
      <c r="U20" s="16"/>
      <c r="V20" s="16"/>
      <c r="W20" s="16"/>
      <c r="X20" s="16"/>
      <c r="Y20" s="16">
        <v>0.71</v>
      </c>
      <c r="Z20" s="16">
        <v>8.42</v>
      </c>
      <c r="AA20" s="16">
        <v>10.25</v>
      </c>
      <c r="AB20" s="16">
        <v>16.38</v>
      </c>
      <c r="AC20" s="16"/>
      <c r="AD20" s="16"/>
      <c r="AE20" s="16"/>
      <c r="AF20" s="16"/>
      <c r="AG20" s="13">
        <v>4</v>
      </c>
      <c r="AH20" s="13">
        <v>10.41</v>
      </c>
      <c r="AI20" s="10">
        <v>38</v>
      </c>
      <c r="AJ20" s="10">
        <v>4.66</v>
      </c>
      <c r="AK20" s="10">
        <v>10</v>
      </c>
      <c r="AL20" s="10">
        <v>10</v>
      </c>
      <c r="AM20" s="115"/>
      <c r="AN20" s="115">
        <f t="shared" si="8"/>
        <v>128.2</v>
      </c>
      <c r="AO20" s="10">
        <v>15.89</v>
      </c>
      <c r="AP20" s="10">
        <v>82.97</v>
      </c>
      <c r="AQ20" s="10">
        <v>20.47</v>
      </c>
      <c r="AR20" s="10">
        <v>4.25</v>
      </c>
      <c r="AS20" s="10">
        <v>4.62</v>
      </c>
      <c r="AT20" s="119">
        <v>32.69</v>
      </c>
      <c r="AU20" s="119">
        <f t="shared" si="9"/>
        <v>3.0700000000000003</v>
      </c>
      <c r="AV20" s="89"/>
      <c r="AW20" s="89"/>
      <c r="AX20" s="89"/>
    </row>
    <row r="21" spans="1:50" ht="11.25">
      <c r="A21" s="117" t="s">
        <v>251</v>
      </c>
      <c r="B21" s="92">
        <v>20</v>
      </c>
      <c r="C21" s="13">
        <f t="shared" si="0"/>
        <v>480</v>
      </c>
      <c r="D21" s="16"/>
      <c r="E21" s="16">
        <v>480</v>
      </c>
      <c r="F21" s="16"/>
      <c r="G21" s="13">
        <f t="shared" si="1"/>
        <v>21</v>
      </c>
      <c r="H21" s="16"/>
      <c r="I21" s="16">
        <v>21</v>
      </c>
      <c r="J21" s="16"/>
      <c r="K21" s="13">
        <f t="shared" si="2"/>
        <v>55.79</v>
      </c>
      <c r="L21" s="16">
        <f t="shared" si="3"/>
        <v>38.96</v>
      </c>
      <c r="M21" s="16">
        <f t="shared" si="4"/>
        <v>2.23</v>
      </c>
      <c r="N21" s="16">
        <f t="shared" si="5"/>
        <v>7.22</v>
      </c>
      <c r="O21" s="16">
        <f t="shared" si="6"/>
        <v>14.45</v>
      </c>
      <c r="P21" s="16">
        <f t="shared" si="7"/>
        <v>15.06</v>
      </c>
      <c r="Q21" s="16"/>
      <c r="R21" s="16"/>
      <c r="S21" s="16"/>
      <c r="T21" s="16"/>
      <c r="U21" s="16">
        <v>2.23</v>
      </c>
      <c r="V21" s="16">
        <v>7.22</v>
      </c>
      <c r="W21" s="16">
        <v>14.45</v>
      </c>
      <c r="X21" s="16">
        <v>15.06</v>
      </c>
      <c r="Y21" s="16"/>
      <c r="Z21" s="16"/>
      <c r="AA21" s="16"/>
      <c r="AB21" s="16"/>
      <c r="AC21" s="16"/>
      <c r="AD21" s="16"/>
      <c r="AE21" s="16"/>
      <c r="AF21" s="16"/>
      <c r="AG21" s="13">
        <v>4.5</v>
      </c>
      <c r="AH21" s="13">
        <v>12.33</v>
      </c>
      <c r="AI21" s="10"/>
      <c r="AJ21" s="10"/>
      <c r="AK21" s="10">
        <v>20</v>
      </c>
      <c r="AL21" s="10"/>
      <c r="AM21" s="115">
        <v>153</v>
      </c>
      <c r="AN21" s="115">
        <f t="shared" si="8"/>
        <v>161</v>
      </c>
      <c r="AO21" s="10">
        <v>21</v>
      </c>
      <c r="AP21" s="10">
        <v>135</v>
      </c>
      <c r="AQ21" s="10">
        <v>5</v>
      </c>
      <c r="AR21" s="10"/>
      <c r="AS21" s="10"/>
      <c r="AT21" s="119">
        <v>38.39</v>
      </c>
      <c r="AU21" s="119">
        <f t="shared" si="9"/>
        <v>0.5700000000000003</v>
      </c>
      <c r="AV21" s="89"/>
      <c r="AW21" s="89"/>
      <c r="AX21" s="89"/>
    </row>
    <row r="22" spans="1:50" ht="11.25">
      <c r="A22" s="117" t="s">
        <v>252</v>
      </c>
      <c r="B22" s="92">
        <v>21</v>
      </c>
      <c r="C22" s="13">
        <f t="shared" si="0"/>
        <v>443</v>
      </c>
      <c r="D22" s="16">
        <v>24</v>
      </c>
      <c r="E22" s="16">
        <v>419</v>
      </c>
      <c r="F22" s="16"/>
      <c r="G22" s="13">
        <f t="shared" si="1"/>
        <v>20</v>
      </c>
      <c r="H22" s="16">
        <v>1</v>
      </c>
      <c r="I22" s="16">
        <v>19</v>
      </c>
      <c r="J22" s="16"/>
      <c r="K22" s="13">
        <f t="shared" si="2"/>
        <v>63.43000000000001</v>
      </c>
      <c r="L22" s="16">
        <f t="shared" si="3"/>
        <v>43.43000000000001</v>
      </c>
      <c r="M22" s="16">
        <f t="shared" si="4"/>
        <v>0.6100000000000001</v>
      </c>
      <c r="N22" s="16">
        <f t="shared" si="5"/>
        <v>8.39</v>
      </c>
      <c r="O22" s="16">
        <f t="shared" si="6"/>
        <v>14.49</v>
      </c>
      <c r="P22" s="16">
        <f t="shared" si="7"/>
        <v>19.94</v>
      </c>
      <c r="Q22" s="16">
        <v>0.33</v>
      </c>
      <c r="R22" s="16"/>
      <c r="S22" s="16">
        <v>1.05</v>
      </c>
      <c r="T22" s="16"/>
      <c r="U22" s="16">
        <v>0.28</v>
      </c>
      <c r="V22" s="16">
        <v>8.39</v>
      </c>
      <c r="W22" s="16">
        <v>13.44</v>
      </c>
      <c r="X22" s="16">
        <v>19.94</v>
      </c>
      <c r="Y22" s="16"/>
      <c r="Z22" s="16"/>
      <c r="AA22" s="16"/>
      <c r="AB22" s="16"/>
      <c r="AC22" s="16"/>
      <c r="AD22" s="16"/>
      <c r="AE22" s="16"/>
      <c r="AF22" s="16"/>
      <c r="AG22" s="13">
        <v>4.5</v>
      </c>
      <c r="AH22" s="13">
        <v>15.5</v>
      </c>
      <c r="AI22" s="10">
        <v>2</v>
      </c>
      <c r="AJ22" s="10">
        <v>1</v>
      </c>
      <c r="AK22" s="10">
        <v>23</v>
      </c>
      <c r="AL22" s="10"/>
      <c r="AM22" s="115">
        <v>185.67</v>
      </c>
      <c r="AN22" s="115">
        <f t="shared" si="8"/>
        <v>239</v>
      </c>
      <c r="AO22" s="10">
        <v>17</v>
      </c>
      <c r="AP22" s="10">
        <v>194</v>
      </c>
      <c r="AQ22" s="10">
        <v>12</v>
      </c>
      <c r="AR22" s="10">
        <v>6.33</v>
      </c>
      <c r="AS22" s="10">
        <v>9.67</v>
      </c>
      <c r="AT22" s="119">
        <v>42.97</v>
      </c>
      <c r="AU22" s="119">
        <f t="shared" si="9"/>
        <v>0.46000000000000796</v>
      </c>
      <c r="AV22" s="89"/>
      <c r="AW22" s="89"/>
      <c r="AX22" s="89"/>
    </row>
    <row r="23" spans="1:50" ht="11.25">
      <c r="A23" s="117" t="s">
        <v>253</v>
      </c>
      <c r="B23" s="92">
        <v>23</v>
      </c>
      <c r="C23" s="13">
        <f t="shared" si="0"/>
        <v>362</v>
      </c>
      <c r="D23" s="16">
        <v>42.33</v>
      </c>
      <c r="E23" s="16">
        <v>319.67</v>
      </c>
      <c r="F23" s="16"/>
      <c r="G23" s="13">
        <f t="shared" si="1"/>
        <v>17</v>
      </c>
      <c r="H23" s="16">
        <v>2</v>
      </c>
      <c r="I23" s="16">
        <v>15</v>
      </c>
      <c r="J23" s="16"/>
      <c r="K23" s="13">
        <f t="shared" si="2"/>
        <v>57.5</v>
      </c>
      <c r="L23" s="16">
        <f t="shared" si="3"/>
        <v>40.5</v>
      </c>
      <c r="M23" s="16">
        <f t="shared" si="4"/>
        <v>2.71</v>
      </c>
      <c r="N23" s="16">
        <f t="shared" si="5"/>
        <v>7.62</v>
      </c>
      <c r="O23" s="16">
        <f t="shared" si="6"/>
        <v>20.83</v>
      </c>
      <c r="P23" s="16">
        <f t="shared" si="7"/>
        <v>9.34</v>
      </c>
      <c r="Q23" s="16"/>
      <c r="R23" s="16">
        <v>0.03</v>
      </c>
      <c r="S23" s="16">
        <v>2.33</v>
      </c>
      <c r="T23" s="16"/>
      <c r="U23" s="16">
        <v>2.71</v>
      </c>
      <c r="V23" s="16">
        <v>7.59</v>
      </c>
      <c r="W23" s="16">
        <v>18.5</v>
      </c>
      <c r="X23" s="16">
        <v>9.34</v>
      </c>
      <c r="Y23" s="16"/>
      <c r="Z23" s="16"/>
      <c r="AA23" s="16"/>
      <c r="AB23" s="16"/>
      <c r="AC23" s="16"/>
      <c r="AD23" s="16"/>
      <c r="AE23" s="16"/>
      <c r="AF23" s="16"/>
      <c r="AG23" s="13">
        <v>4</v>
      </c>
      <c r="AH23" s="13">
        <v>13</v>
      </c>
      <c r="AI23" s="10">
        <v>38.98</v>
      </c>
      <c r="AJ23" s="10">
        <v>7.44</v>
      </c>
      <c r="AK23" s="10">
        <v>20</v>
      </c>
      <c r="AL23" s="10"/>
      <c r="AM23" s="115">
        <v>121</v>
      </c>
      <c r="AN23" s="115">
        <f t="shared" si="8"/>
        <v>159</v>
      </c>
      <c r="AO23" s="10">
        <v>17</v>
      </c>
      <c r="AP23" s="10">
        <v>102</v>
      </c>
      <c r="AQ23" s="10">
        <v>34</v>
      </c>
      <c r="AR23" s="10">
        <v>1</v>
      </c>
      <c r="AS23" s="10">
        <v>5</v>
      </c>
      <c r="AT23" s="119">
        <v>28.07</v>
      </c>
      <c r="AU23" s="119">
        <f t="shared" si="9"/>
        <v>12.43</v>
      </c>
      <c r="AV23" s="89"/>
      <c r="AW23" s="89"/>
      <c r="AX23" s="89"/>
    </row>
    <row r="24" spans="1:50" ht="11.25">
      <c r="A24" s="117" t="s">
        <v>254</v>
      </c>
      <c r="B24" s="92">
        <v>26</v>
      </c>
      <c r="C24" s="13">
        <f t="shared" si="0"/>
        <v>296.33</v>
      </c>
      <c r="D24" s="16">
        <v>17.33</v>
      </c>
      <c r="E24" s="16">
        <v>279</v>
      </c>
      <c r="F24" s="16"/>
      <c r="G24" s="13">
        <f t="shared" si="1"/>
        <v>14</v>
      </c>
      <c r="H24" s="16">
        <v>1</v>
      </c>
      <c r="I24" s="16">
        <v>13</v>
      </c>
      <c r="J24" s="16"/>
      <c r="K24" s="13">
        <f t="shared" si="2"/>
        <v>48.849999999999994</v>
      </c>
      <c r="L24" s="16">
        <f t="shared" si="3"/>
        <v>30.77</v>
      </c>
      <c r="M24" s="16">
        <f t="shared" si="4"/>
        <v>1.74</v>
      </c>
      <c r="N24" s="16">
        <f t="shared" si="5"/>
        <v>5.3</v>
      </c>
      <c r="O24" s="16">
        <f t="shared" si="6"/>
        <v>5.46</v>
      </c>
      <c r="P24" s="16">
        <f t="shared" si="7"/>
        <v>18.27</v>
      </c>
      <c r="Q24" s="16"/>
      <c r="R24" s="16"/>
      <c r="S24" s="16"/>
      <c r="T24" s="16">
        <v>1.18</v>
      </c>
      <c r="U24" s="16">
        <v>1.74</v>
      </c>
      <c r="V24" s="16">
        <v>5.3</v>
      </c>
      <c r="W24" s="16">
        <v>5.46</v>
      </c>
      <c r="X24" s="16">
        <v>17.09</v>
      </c>
      <c r="Y24" s="16"/>
      <c r="Z24" s="16"/>
      <c r="AA24" s="16"/>
      <c r="AB24" s="16"/>
      <c r="AC24" s="16"/>
      <c r="AD24" s="16"/>
      <c r="AE24" s="16"/>
      <c r="AF24" s="16"/>
      <c r="AG24" s="13">
        <v>4</v>
      </c>
      <c r="AH24" s="13">
        <v>14.08</v>
      </c>
      <c r="AI24" s="10">
        <v>25</v>
      </c>
      <c r="AJ24" s="10">
        <v>5</v>
      </c>
      <c r="AK24" s="10">
        <v>20</v>
      </c>
      <c r="AL24" s="10"/>
      <c r="AM24" s="115">
        <v>94</v>
      </c>
      <c r="AN24" s="115">
        <f t="shared" si="8"/>
        <v>169.4</v>
      </c>
      <c r="AO24" s="10">
        <v>13</v>
      </c>
      <c r="AP24" s="10">
        <v>126.2</v>
      </c>
      <c r="AQ24" s="10">
        <v>19.8</v>
      </c>
      <c r="AR24" s="10">
        <v>6.6</v>
      </c>
      <c r="AS24" s="10">
        <v>3.8</v>
      </c>
      <c r="AT24" s="119">
        <v>29.98</v>
      </c>
      <c r="AU24" s="119">
        <f t="shared" si="9"/>
        <v>0.7899999999999991</v>
      </c>
      <c r="AV24" s="89"/>
      <c r="AW24" s="89"/>
      <c r="AX24" s="89"/>
    </row>
    <row r="25" spans="1:50" ht="11.25">
      <c r="A25" s="117" t="s">
        <v>255</v>
      </c>
      <c r="B25" s="92" t="s">
        <v>154</v>
      </c>
      <c r="C25" s="13">
        <f t="shared" si="0"/>
        <v>382</v>
      </c>
      <c r="D25" s="16"/>
      <c r="E25" s="16"/>
      <c r="F25" s="16">
        <v>382</v>
      </c>
      <c r="G25" s="13">
        <f t="shared" si="1"/>
        <v>15</v>
      </c>
      <c r="H25" s="16"/>
      <c r="I25" s="16"/>
      <c r="J25" s="16">
        <v>15</v>
      </c>
      <c r="K25" s="13">
        <f t="shared" si="2"/>
        <v>57.47</v>
      </c>
      <c r="L25" s="16">
        <f t="shared" si="3"/>
        <v>43.47</v>
      </c>
      <c r="M25" s="16">
        <f t="shared" si="4"/>
        <v>0.86</v>
      </c>
      <c r="N25" s="16">
        <f t="shared" si="5"/>
        <v>10.86</v>
      </c>
      <c r="O25" s="16">
        <f t="shared" si="6"/>
        <v>4.24</v>
      </c>
      <c r="P25" s="16">
        <f t="shared" si="7"/>
        <v>27.51</v>
      </c>
      <c r="Q25" s="16"/>
      <c r="R25" s="16"/>
      <c r="S25" s="16"/>
      <c r="T25" s="16"/>
      <c r="U25" s="16"/>
      <c r="V25" s="16"/>
      <c r="W25" s="16"/>
      <c r="X25" s="16"/>
      <c r="Y25" s="16">
        <v>0.86</v>
      </c>
      <c r="Z25" s="16">
        <v>10.86</v>
      </c>
      <c r="AA25" s="16">
        <v>4.24</v>
      </c>
      <c r="AB25" s="16">
        <v>27.51</v>
      </c>
      <c r="AC25" s="16"/>
      <c r="AD25" s="16"/>
      <c r="AE25" s="16"/>
      <c r="AF25" s="16"/>
      <c r="AG25" s="13">
        <v>4</v>
      </c>
      <c r="AH25" s="13">
        <v>10</v>
      </c>
      <c r="AI25" s="10">
        <v>103</v>
      </c>
      <c r="AJ25" s="10">
        <v>13</v>
      </c>
      <c r="AK25" s="10">
        <v>20</v>
      </c>
      <c r="AL25" s="10">
        <v>10</v>
      </c>
      <c r="AM25" s="115"/>
      <c r="AN25" s="115">
        <f t="shared" si="8"/>
        <v>97</v>
      </c>
      <c r="AO25" s="10">
        <v>15</v>
      </c>
      <c r="AP25" s="10">
        <v>79</v>
      </c>
      <c r="AQ25" s="10">
        <v>3</v>
      </c>
      <c r="AR25" s="10"/>
      <c r="AS25" s="10"/>
      <c r="AT25" s="119">
        <v>41.89</v>
      </c>
      <c r="AU25" s="119">
        <f t="shared" si="9"/>
        <v>1.5799999999999983</v>
      </c>
      <c r="AV25" s="89"/>
      <c r="AW25" s="89"/>
      <c r="AX25" s="89"/>
    </row>
    <row r="26" spans="1:50" ht="11.25">
      <c r="A26" s="117" t="s">
        <v>256</v>
      </c>
      <c r="B26" s="92">
        <v>28</v>
      </c>
      <c r="C26" s="13">
        <f t="shared" si="0"/>
        <v>252</v>
      </c>
      <c r="D26" s="16"/>
      <c r="E26" s="16">
        <v>252</v>
      </c>
      <c r="F26" s="16"/>
      <c r="G26" s="13">
        <f t="shared" si="1"/>
        <v>14.7</v>
      </c>
      <c r="H26" s="16"/>
      <c r="I26" s="16">
        <v>14.7</v>
      </c>
      <c r="J26" s="16"/>
      <c r="K26" s="13">
        <f t="shared" si="2"/>
        <v>66.81</v>
      </c>
      <c r="L26" s="16">
        <f t="shared" si="3"/>
        <v>47.57</v>
      </c>
      <c r="M26" s="16">
        <f t="shared" si="4"/>
        <v>1.67</v>
      </c>
      <c r="N26" s="16">
        <f t="shared" si="5"/>
        <v>11.03</v>
      </c>
      <c r="O26" s="16">
        <f t="shared" si="6"/>
        <v>8.07</v>
      </c>
      <c r="P26" s="16">
        <f t="shared" si="7"/>
        <v>26.8</v>
      </c>
      <c r="Q26" s="16"/>
      <c r="R26" s="16"/>
      <c r="S26" s="16"/>
      <c r="T26" s="16"/>
      <c r="U26" s="16">
        <v>1.67</v>
      </c>
      <c r="V26" s="16">
        <v>11.03</v>
      </c>
      <c r="W26" s="16">
        <v>8.07</v>
      </c>
      <c r="X26" s="16">
        <v>26.8</v>
      </c>
      <c r="Y26" s="16"/>
      <c r="Z26" s="16"/>
      <c r="AA26" s="16"/>
      <c r="AB26" s="16"/>
      <c r="AC26" s="16"/>
      <c r="AD26" s="16"/>
      <c r="AE26" s="16"/>
      <c r="AF26" s="16"/>
      <c r="AG26" s="13">
        <v>5.16</v>
      </c>
      <c r="AH26" s="13">
        <v>14.08</v>
      </c>
      <c r="AI26" s="10">
        <v>38.8</v>
      </c>
      <c r="AJ26" s="10">
        <v>4.6</v>
      </c>
      <c r="AK26" s="10">
        <v>20</v>
      </c>
      <c r="AL26" s="10"/>
      <c r="AM26" s="115">
        <v>98</v>
      </c>
      <c r="AN26" s="115">
        <f t="shared" si="8"/>
        <v>168</v>
      </c>
      <c r="AO26" s="10">
        <v>10</v>
      </c>
      <c r="AP26" s="10">
        <v>137</v>
      </c>
      <c r="AQ26" s="10">
        <v>12</v>
      </c>
      <c r="AR26" s="10"/>
      <c r="AS26" s="10">
        <v>9</v>
      </c>
      <c r="AT26" s="119">
        <v>46.39</v>
      </c>
      <c r="AU26" s="119">
        <f t="shared" si="9"/>
        <v>1.1799999999999997</v>
      </c>
      <c r="AV26" s="89"/>
      <c r="AW26" s="89"/>
      <c r="AX26" s="89"/>
    </row>
    <row r="27" spans="1:50" ht="11.25">
      <c r="A27" s="117" t="s">
        <v>257</v>
      </c>
      <c r="B27" s="92">
        <v>29</v>
      </c>
      <c r="C27" s="13">
        <f t="shared" si="0"/>
        <v>376</v>
      </c>
      <c r="D27" s="16">
        <v>38</v>
      </c>
      <c r="E27" s="16">
        <v>338</v>
      </c>
      <c r="F27" s="16"/>
      <c r="G27" s="13">
        <f t="shared" si="1"/>
        <v>18</v>
      </c>
      <c r="H27" s="16">
        <v>2</v>
      </c>
      <c r="I27" s="16">
        <v>16</v>
      </c>
      <c r="J27" s="16"/>
      <c r="K27" s="13">
        <f t="shared" si="2"/>
        <v>57.199999999999996</v>
      </c>
      <c r="L27" s="16">
        <f t="shared" si="3"/>
        <v>38.58</v>
      </c>
      <c r="M27" s="16">
        <f t="shared" si="4"/>
        <v>0.61</v>
      </c>
      <c r="N27" s="16">
        <f t="shared" si="5"/>
        <v>8.56</v>
      </c>
      <c r="O27" s="16">
        <f t="shared" si="6"/>
        <v>7.54</v>
      </c>
      <c r="P27" s="16">
        <f t="shared" si="7"/>
        <v>21.87</v>
      </c>
      <c r="Q27" s="16">
        <v>0.61</v>
      </c>
      <c r="R27" s="16"/>
      <c r="S27" s="16">
        <v>0.78</v>
      </c>
      <c r="T27" s="16">
        <v>1.52</v>
      </c>
      <c r="U27" s="16"/>
      <c r="V27" s="16">
        <v>8.56</v>
      </c>
      <c r="W27" s="16">
        <v>6.76</v>
      </c>
      <c r="X27" s="16">
        <v>20.35</v>
      </c>
      <c r="Y27" s="16"/>
      <c r="Z27" s="16"/>
      <c r="AA27" s="16"/>
      <c r="AB27" s="16"/>
      <c r="AC27" s="16"/>
      <c r="AD27" s="16"/>
      <c r="AE27" s="16"/>
      <c r="AF27" s="16"/>
      <c r="AG27" s="13">
        <v>4.5</v>
      </c>
      <c r="AH27" s="13">
        <v>14.12</v>
      </c>
      <c r="AI27" s="10">
        <v>28.83</v>
      </c>
      <c r="AJ27" s="10">
        <v>3.91</v>
      </c>
      <c r="AK27" s="10">
        <v>20</v>
      </c>
      <c r="AL27" s="10"/>
      <c r="AM27" s="115">
        <v>69.83</v>
      </c>
      <c r="AN27" s="115">
        <f t="shared" si="8"/>
        <v>182</v>
      </c>
      <c r="AO27" s="10">
        <v>16</v>
      </c>
      <c r="AP27" s="10">
        <v>106</v>
      </c>
      <c r="AQ27" s="10">
        <v>30</v>
      </c>
      <c r="AR27" s="10">
        <v>19</v>
      </c>
      <c r="AS27" s="10">
        <v>11</v>
      </c>
      <c r="AT27" s="119">
        <v>37.62</v>
      </c>
      <c r="AU27" s="119">
        <f t="shared" si="9"/>
        <v>0.9600000000000009</v>
      </c>
      <c r="AV27" s="89"/>
      <c r="AW27" s="89"/>
      <c r="AX27" s="89"/>
    </row>
    <row r="28" spans="1:50" ht="11.25">
      <c r="A28" s="117" t="s">
        <v>258</v>
      </c>
      <c r="B28" s="92">
        <v>31</v>
      </c>
      <c r="C28" s="13">
        <f t="shared" si="0"/>
        <v>1025.15</v>
      </c>
      <c r="D28" s="16">
        <v>60.4</v>
      </c>
      <c r="E28" s="16">
        <v>596.75</v>
      </c>
      <c r="F28" s="16">
        <v>368</v>
      </c>
      <c r="G28" s="13">
        <f t="shared" si="1"/>
        <v>44.4</v>
      </c>
      <c r="H28" s="16">
        <v>3</v>
      </c>
      <c r="I28" s="16">
        <v>25.7</v>
      </c>
      <c r="J28" s="16">
        <v>15.7</v>
      </c>
      <c r="K28" s="13">
        <f t="shared" si="2"/>
        <v>135.01</v>
      </c>
      <c r="L28" s="16">
        <f t="shared" si="3"/>
        <v>98.34</v>
      </c>
      <c r="M28" s="16">
        <f t="shared" si="4"/>
        <v>3.26</v>
      </c>
      <c r="N28" s="16">
        <f t="shared" si="5"/>
        <v>24.300000000000004</v>
      </c>
      <c r="O28" s="16">
        <f t="shared" si="6"/>
        <v>27.43</v>
      </c>
      <c r="P28" s="16">
        <f t="shared" si="7"/>
        <v>43.35</v>
      </c>
      <c r="Q28" s="16"/>
      <c r="R28" s="16">
        <v>1.67</v>
      </c>
      <c r="S28" s="16">
        <v>1.33</v>
      </c>
      <c r="T28" s="16"/>
      <c r="U28" s="16">
        <v>1.56</v>
      </c>
      <c r="V28" s="16">
        <v>11.46</v>
      </c>
      <c r="W28" s="16">
        <v>19.53</v>
      </c>
      <c r="X28" s="16">
        <v>24.23</v>
      </c>
      <c r="Y28" s="16">
        <v>1.7</v>
      </c>
      <c r="Z28" s="16">
        <v>11.17</v>
      </c>
      <c r="AA28" s="16">
        <v>6.57</v>
      </c>
      <c r="AB28" s="16">
        <v>19.12</v>
      </c>
      <c r="AC28" s="16"/>
      <c r="AD28" s="16"/>
      <c r="AE28" s="16"/>
      <c r="AF28" s="16"/>
      <c r="AG28" s="13">
        <v>7.17</v>
      </c>
      <c r="AH28" s="13">
        <v>29.5</v>
      </c>
      <c r="AI28" s="10">
        <v>39.5</v>
      </c>
      <c r="AJ28" s="10">
        <v>5.5</v>
      </c>
      <c r="AK28" s="10">
        <v>20</v>
      </c>
      <c r="AL28" s="10">
        <v>20</v>
      </c>
      <c r="AM28" s="115">
        <v>194</v>
      </c>
      <c r="AN28" s="115">
        <f t="shared" si="8"/>
        <v>443</v>
      </c>
      <c r="AO28" s="10">
        <v>57</v>
      </c>
      <c r="AP28" s="10">
        <v>270</v>
      </c>
      <c r="AQ28" s="10">
        <v>31</v>
      </c>
      <c r="AR28" s="10">
        <v>61</v>
      </c>
      <c r="AS28" s="10">
        <v>24</v>
      </c>
      <c r="AT28" s="119">
        <f>57.74+41.67</f>
        <v>99.41</v>
      </c>
      <c r="AU28" s="119">
        <f t="shared" si="9"/>
        <v>-1.0699999999999932</v>
      </c>
      <c r="AV28" s="89"/>
      <c r="AW28" s="89"/>
      <c r="AX28" s="89"/>
    </row>
    <row r="29" spans="1:50" ht="11.25">
      <c r="A29" s="117" t="s">
        <v>259</v>
      </c>
      <c r="B29" s="92">
        <v>33</v>
      </c>
      <c r="C29" s="13">
        <f t="shared" si="0"/>
        <v>646</v>
      </c>
      <c r="D29" s="16"/>
      <c r="E29" s="16">
        <v>646</v>
      </c>
      <c r="F29" s="16"/>
      <c r="G29" s="13">
        <f t="shared" si="1"/>
        <v>27</v>
      </c>
      <c r="H29" s="16"/>
      <c r="I29" s="16">
        <v>27</v>
      </c>
      <c r="J29" s="16"/>
      <c r="K29" s="13">
        <f t="shared" si="2"/>
        <v>75.38</v>
      </c>
      <c r="L29" s="16">
        <f t="shared" si="3"/>
        <v>56.129999999999995</v>
      </c>
      <c r="M29" s="16">
        <f t="shared" si="4"/>
        <v>1.02</v>
      </c>
      <c r="N29" s="16">
        <f t="shared" si="5"/>
        <v>11.26</v>
      </c>
      <c r="O29" s="16">
        <f t="shared" si="6"/>
        <v>14.17</v>
      </c>
      <c r="P29" s="16">
        <f t="shared" si="7"/>
        <v>29.68</v>
      </c>
      <c r="Q29" s="16"/>
      <c r="R29" s="16"/>
      <c r="S29" s="16"/>
      <c r="T29" s="16"/>
      <c r="U29" s="16">
        <v>1.02</v>
      </c>
      <c r="V29" s="16">
        <v>11.26</v>
      </c>
      <c r="W29" s="16">
        <v>14.17</v>
      </c>
      <c r="X29" s="16">
        <v>29.68</v>
      </c>
      <c r="Y29" s="16"/>
      <c r="Z29" s="16"/>
      <c r="AA29" s="16"/>
      <c r="AB29" s="16"/>
      <c r="AC29" s="16"/>
      <c r="AD29" s="16"/>
      <c r="AE29" s="16"/>
      <c r="AF29" s="16"/>
      <c r="AG29" s="13">
        <v>5</v>
      </c>
      <c r="AH29" s="13">
        <v>14.25</v>
      </c>
      <c r="AI29" s="10">
        <v>12</v>
      </c>
      <c r="AJ29" s="10">
        <v>1</v>
      </c>
      <c r="AK29" s="10">
        <v>20</v>
      </c>
      <c r="AL29" s="10">
        <v>0.22</v>
      </c>
      <c r="AM29" s="115">
        <v>164</v>
      </c>
      <c r="AN29" s="115">
        <f t="shared" si="8"/>
        <v>297.5</v>
      </c>
      <c r="AO29" s="10">
        <v>27</v>
      </c>
      <c r="AP29" s="10">
        <v>225.5</v>
      </c>
      <c r="AQ29" s="10">
        <v>42</v>
      </c>
      <c r="AR29" s="10"/>
      <c r="AS29" s="10">
        <v>3</v>
      </c>
      <c r="AT29" s="119">
        <v>55.37</v>
      </c>
      <c r="AU29" s="119">
        <f t="shared" si="9"/>
        <v>0.759999999999998</v>
      </c>
      <c r="AV29" s="89"/>
      <c r="AW29" s="89"/>
      <c r="AX29" s="89"/>
    </row>
    <row r="30" spans="1:50" ht="11.25">
      <c r="A30" s="117" t="s">
        <v>260</v>
      </c>
      <c r="B30" s="92">
        <v>34</v>
      </c>
      <c r="C30" s="13">
        <f t="shared" si="0"/>
        <v>260</v>
      </c>
      <c r="D30" s="16">
        <v>21</v>
      </c>
      <c r="E30" s="16">
        <v>239</v>
      </c>
      <c r="F30" s="16"/>
      <c r="G30" s="13">
        <f t="shared" si="1"/>
        <v>15</v>
      </c>
      <c r="H30" s="16">
        <v>1</v>
      </c>
      <c r="I30" s="16">
        <v>14</v>
      </c>
      <c r="J30" s="16"/>
      <c r="K30" s="13">
        <f t="shared" si="2"/>
        <v>61.18</v>
      </c>
      <c r="L30" s="16">
        <f t="shared" si="3"/>
        <v>44.93</v>
      </c>
      <c r="M30" s="16">
        <f t="shared" si="4"/>
        <v>3.09</v>
      </c>
      <c r="N30" s="16">
        <f t="shared" si="5"/>
        <v>8.99</v>
      </c>
      <c r="O30" s="16">
        <f t="shared" si="6"/>
        <v>13.3</v>
      </c>
      <c r="P30" s="16">
        <f t="shared" si="7"/>
        <v>19.549999999999997</v>
      </c>
      <c r="Q30" s="16"/>
      <c r="R30" s="16">
        <v>2.2</v>
      </c>
      <c r="S30" s="16"/>
      <c r="T30" s="16">
        <v>0.33</v>
      </c>
      <c r="U30" s="16">
        <v>3.09</v>
      </c>
      <c r="V30" s="16">
        <v>6.79</v>
      </c>
      <c r="W30" s="16">
        <v>13.3</v>
      </c>
      <c r="X30" s="16">
        <v>19.22</v>
      </c>
      <c r="Y30" s="16"/>
      <c r="Z30" s="16"/>
      <c r="AA30" s="16"/>
      <c r="AB30" s="16"/>
      <c r="AC30" s="16"/>
      <c r="AD30" s="16"/>
      <c r="AE30" s="16"/>
      <c r="AF30" s="16"/>
      <c r="AG30" s="13">
        <v>4.25</v>
      </c>
      <c r="AH30" s="13">
        <v>12</v>
      </c>
      <c r="AI30" s="10">
        <v>18</v>
      </c>
      <c r="AJ30" s="10">
        <v>3</v>
      </c>
      <c r="AK30" s="10">
        <v>20</v>
      </c>
      <c r="AL30" s="10"/>
      <c r="AM30" s="115">
        <v>115</v>
      </c>
      <c r="AN30" s="115">
        <f t="shared" si="8"/>
        <v>142.83</v>
      </c>
      <c r="AO30" s="10">
        <v>12.9</v>
      </c>
      <c r="AP30" s="10">
        <v>111.67</v>
      </c>
      <c r="AQ30" s="10">
        <v>12.22</v>
      </c>
      <c r="AR30" s="10">
        <v>1.6</v>
      </c>
      <c r="AS30" s="10">
        <v>4.44</v>
      </c>
      <c r="AT30" s="119">
        <v>44.33</v>
      </c>
      <c r="AU30" s="119">
        <f t="shared" si="9"/>
        <v>0.6000000000000014</v>
      </c>
      <c r="AV30" s="89"/>
      <c r="AW30" s="89"/>
      <c r="AX30" s="89"/>
    </row>
    <row r="31" spans="1:50" ht="11.25">
      <c r="A31" s="117" t="s">
        <v>261</v>
      </c>
      <c r="B31" s="92">
        <v>35</v>
      </c>
      <c r="C31" s="13">
        <f t="shared" si="0"/>
        <v>374</v>
      </c>
      <c r="D31" s="16">
        <v>49</v>
      </c>
      <c r="E31" s="16">
        <v>325</v>
      </c>
      <c r="F31" s="16"/>
      <c r="G31" s="13">
        <f t="shared" si="1"/>
        <v>18</v>
      </c>
      <c r="H31" s="16">
        <v>2</v>
      </c>
      <c r="I31" s="16">
        <v>16</v>
      </c>
      <c r="J31" s="16"/>
      <c r="K31" s="13">
        <f t="shared" si="2"/>
        <v>65.13</v>
      </c>
      <c r="L31" s="16">
        <f t="shared" si="3"/>
        <v>48.51</v>
      </c>
      <c r="M31" s="16">
        <f t="shared" si="4"/>
        <v>3.66</v>
      </c>
      <c r="N31" s="16">
        <f t="shared" si="5"/>
        <v>11.61</v>
      </c>
      <c r="O31" s="16">
        <f t="shared" si="6"/>
        <v>20.09</v>
      </c>
      <c r="P31" s="16">
        <f t="shared" si="7"/>
        <v>13.15</v>
      </c>
      <c r="Q31" s="16"/>
      <c r="R31" s="16"/>
      <c r="S31" s="16">
        <v>1.22</v>
      </c>
      <c r="T31" s="16">
        <v>1.14</v>
      </c>
      <c r="U31" s="16">
        <v>3.66</v>
      </c>
      <c r="V31" s="16">
        <v>11.61</v>
      </c>
      <c r="W31" s="16">
        <v>18.87</v>
      </c>
      <c r="X31" s="16">
        <v>12.01</v>
      </c>
      <c r="Y31" s="16"/>
      <c r="Z31" s="16"/>
      <c r="AA31" s="16"/>
      <c r="AB31" s="16"/>
      <c r="AC31" s="16"/>
      <c r="AD31" s="16"/>
      <c r="AE31" s="16"/>
      <c r="AF31" s="16"/>
      <c r="AG31" s="13">
        <v>4.62</v>
      </c>
      <c r="AH31" s="13">
        <v>12</v>
      </c>
      <c r="AI31" s="10">
        <v>100</v>
      </c>
      <c r="AJ31" s="10">
        <v>30</v>
      </c>
      <c r="AK31" s="10">
        <v>22</v>
      </c>
      <c r="AL31" s="10"/>
      <c r="AM31" s="115">
        <v>127</v>
      </c>
      <c r="AN31" s="115">
        <f t="shared" si="8"/>
        <v>180</v>
      </c>
      <c r="AO31" s="10">
        <v>18</v>
      </c>
      <c r="AP31" s="10">
        <v>109</v>
      </c>
      <c r="AQ31" s="10">
        <v>22</v>
      </c>
      <c r="AR31" s="10">
        <v>26</v>
      </c>
      <c r="AS31" s="10">
        <v>5</v>
      </c>
      <c r="AT31" s="119">
        <v>45.04</v>
      </c>
      <c r="AU31" s="119">
        <f t="shared" si="9"/>
        <v>3.469999999999999</v>
      </c>
      <c r="AV31" s="89"/>
      <c r="AW31" s="89"/>
      <c r="AX31" s="89"/>
    </row>
    <row r="32" spans="1:50" ht="11.25">
      <c r="A32" s="117" t="s">
        <v>262</v>
      </c>
      <c r="B32" s="92" t="s">
        <v>157</v>
      </c>
      <c r="C32" s="13">
        <f t="shared" si="0"/>
        <v>394.42</v>
      </c>
      <c r="D32" s="16"/>
      <c r="E32" s="16"/>
      <c r="F32" s="16">
        <v>394.42</v>
      </c>
      <c r="G32" s="13">
        <f t="shared" si="1"/>
        <v>15</v>
      </c>
      <c r="H32" s="16"/>
      <c r="I32" s="16"/>
      <c r="J32" s="16">
        <v>15</v>
      </c>
      <c r="K32" s="13">
        <f t="shared" si="2"/>
        <v>49.6</v>
      </c>
      <c r="L32" s="16">
        <f t="shared" si="3"/>
        <v>40.35</v>
      </c>
      <c r="M32" s="16">
        <f t="shared" si="4"/>
        <v>2.85</v>
      </c>
      <c r="N32" s="16">
        <f t="shared" si="5"/>
        <v>13.08</v>
      </c>
      <c r="O32" s="16">
        <f t="shared" si="6"/>
        <v>10.27</v>
      </c>
      <c r="P32" s="16">
        <f t="shared" si="7"/>
        <v>14.15</v>
      </c>
      <c r="Q32" s="16"/>
      <c r="R32" s="16"/>
      <c r="S32" s="16"/>
      <c r="T32" s="16"/>
      <c r="U32" s="16"/>
      <c r="V32" s="16"/>
      <c r="W32" s="16"/>
      <c r="X32" s="16"/>
      <c r="Y32" s="16">
        <v>2.85</v>
      </c>
      <c r="Z32" s="16">
        <v>13.08</v>
      </c>
      <c r="AA32" s="16">
        <v>10.27</v>
      </c>
      <c r="AB32" s="16">
        <v>14.15</v>
      </c>
      <c r="AC32" s="16"/>
      <c r="AD32" s="16"/>
      <c r="AE32" s="16"/>
      <c r="AF32" s="16"/>
      <c r="AG32" s="13">
        <v>1.5</v>
      </c>
      <c r="AH32" s="13">
        <v>7.75</v>
      </c>
      <c r="AI32" s="10">
        <v>26.67</v>
      </c>
      <c r="AJ32" s="10">
        <v>2.67</v>
      </c>
      <c r="AK32" s="10">
        <v>20</v>
      </c>
      <c r="AL32" s="10"/>
      <c r="AM32" s="115"/>
      <c r="AN32" s="115">
        <f t="shared" si="8"/>
        <v>197.2</v>
      </c>
      <c r="AO32" s="10">
        <v>14.2</v>
      </c>
      <c r="AP32" s="10">
        <v>145.6</v>
      </c>
      <c r="AQ32" s="10">
        <v>6.2</v>
      </c>
      <c r="AR32" s="10">
        <v>8.6</v>
      </c>
      <c r="AS32" s="10">
        <v>22.6</v>
      </c>
      <c r="AT32" s="119">
        <v>38.34</v>
      </c>
      <c r="AU32" s="119">
        <f t="shared" si="9"/>
        <v>2.009999999999998</v>
      </c>
      <c r="AV32" s="89"/>
      <c r="AW32" s="89"/>
      <c r="AX32" s="89"/>
    </row>
    <row r="33" spans="1:50" ht="11.25">
      <c r="A33" s="117" t="s">
        <v>263</v>
      </c>
      <c r="B33" s="92">
        <v>37</v>
      </c>
      <c r="C33" s="13">
        <f t="shared" si="0"/>
        <v>130</v>
      </c>
      <c r="D33" s="16">
        <v>23</v>
      </c>
      <c r="E33" s="16">
        <v>107</v>
      </c>
      <c r="F33" s="16"/>
      <c r="G33" s="13">
        <f t="shared" si="1"/>
        <v>8</v>
      </c>
      <c r="H33" s="16">
        <v>1.67</v>
      </c>
      <c r="I33" s="16">
        <v>6.33</v>
      </c>
      <c r="J33" s="16"/>
      <c r="K33" s="13">
        <f t="shared" si="2"/>
        <v>23.54</v>
      </c>
      <c r="L33" s="16">
        <f t="shared" si="3"/>
        <v>16.13</v>
      </c>
      <c r="M33" s="16">
        <f t="shared" si="4"/>
        <v>1.0899999999999999</v>
      </c>
      <c r="N33" s="16">
        <f t="shared" si="5"/>
        <v>2.56</v>
      </c>
      <c r="O33" s="16">
        <f t="shared" si="6"/>
        <v>6.199999999999999</v>
      </c>
      <c r="P33" s="16">
        <f t="shared" si="7"/>
        <v>6.28</v>
      </c>
      <c r="Q33" s="16">
        <v>0.38</v>
      </c>
      <c r="R33" s="16"/>
      <c r="S33" s="16">
        <v>1.52</v>
      </c>
      <c r="T33" s="16"/>
      <c r="U33" s="16">
        <v>0.71</v>
      </c>
      <c r="V33" s="16">
        <v>2.56</v>
      </c>
      <c r="W33" s="16">
        <v>4.68</v>
      </c>
      <c r="X33" s="16">
        <v>6.28</v>
      </c>
      <c r="Y33" s="16"/>
      <c r="Z33" s="16"/>
      <c r="AA33" s="16"/>
      <c r="AB33" s="16"/>
      <c r="AC33" s="16"/>
      <c r="AD33" s="16"/>
      <c r="AE33" s="16"/>
      <c r="AF33" s="16"/>
      <c r="AG33" s="13">
        <v>3.33</v>
      </c>
      <c r="AH33" s="13">
        <v>4.08</v>
      </c>
      <c r="AI33" s="10">
        <v>11.33</v>
      </c>
      <c r="AJ33" s="10">
        <v>2</v>
      </c>
      <c r="AK33" s="10">
        <v>10</v>
      </c>
      <c r="AL33" s="10"/>
      <c r="AM33" s="115">
        <v>43</v>
      </c>
      <c r="AN33" s="115">
        <f t="shared" si="8"/>
        <v>24</v>
      </c>
      <c r="AO33" s="10">
        <v>8</v>
      </c>
      <c r="AP33" s="10"/>
      <c r="AQ33" s="10">
        <v>13</v>
      </c>
      <c r="AR33" s="10">
        <v>3</v>
      </c>
      <c r="AS33" s="10"/>
      <c r="AT33" s="119">
        <v>15.89</v>
      </c>
      <c r="AU33" s="119">
        <f t="shared" si="9"/>
        <v>0.23999999999999844</v>
      </c>
      <c r="AV33" s="89"/>
      <c r="AW33" s="89"/>
      <c r="AX33" s="89"/>
    </row>
    <row r="34" spans="1:50" ht="11.25">
      <c r="A34" s="117" t="s">
        <v>264</v>
      </c>
      <c r="B34" s="92">
        <v>39</v>
      </c>
      <c r="C34" s="13">
        <f t="shared" si="0"/>
        <v>584.67</v>
      </c>
      <c r="D34" s="16"/>
      <c r="E34" s="16">
        <v>584.67</v>
      </c>
      <c r="F34" s="16"/>
      <c r="G34" s="13">
        <f t="shared" si="1"/>
        <v>27</v>
      </c>
      <c r="H34" s="16"/>
      <c r="I34" s="16">
        <v>27</v>
      </c>
      <c r="J34" s="16"/>
      <c r="K34" s="13">
        <f t="shared" si="2"/>
        <v>82.35</v>
      </c>
      <c r="L34" s="16">
        <f t="shared" si="3"/>
        <v>57.209999999999994</v>
      </c>
      <c r="M34" s="16">
        <f t="shared" si="4"/>
        <v>1.37</v>
      </c>
      <c r="N34" s="16">
        <f t="shared" si="5"/>
        <v>10.88</v>
      </c>
      <c r="O34" s="16">
        <f t="shared" si="6"/>
        <v>18.06</v>
      </c>
      <c r="P34" s="16">
        <f t="shared" si="7"/>
        <v>26.9</v>
      </c>
      <c r="Q34" s="16"/>
      <c r="R34" s="16"/>
      <c r="S34" s="16"/>
      <c r="T34" s="16"/>
      <c r="U34" s="16">
        <v>1.37</v>
      </c>
      <c r="V34" s="16">
        <v>10.88</v>
      </c>
      <c r="W34" s="16">
        <v>18.06</v>
      </c>
      <c r="X34" s="16">
        <v>26.9</v>
      </c>
      <c r="Y34" s="16"/>
      <c r="Z34" s="16"/>
      <c r="AA34" s="16"/>
      <c r="AB34" s="16"/>
      <c r="AC34" s="16"/>
      <c r="AD34" s="16"/>
      <c r="AE34" s="16"/>
      <c r="AF34" s="16"/>
      <c r="AG34" s="13">
        <v>5.64</v>
      </c>
      <c r="AH34" s="13">
        <v>19.5</v>
      </c>
      <c r="AI34" s="10">
        <v>12.33</v>
      </c>
      <c r="AJ34" s="10">
        <v>2</v>
      </c>
      <c r="AK34" s="10">
        <v>20</v>
      </c>
      <c r="AL34" s="10">
        <v>20</v>
      </c>
      <c r="AM34" s="115">
        <v>198.33</v>
      </c>
      <c r="AN34" s="115">
        <f t="shared" si="8"/>
        <v>221.35999999999999</v>
      </c>
      <c r="AO34" s="10">
        <v>22.5</v>
      </c>
      <c r="AP34" s="10">
        <v>174.68</v>
      </c>
      <c r="AQ34" s="10">
        <v>17.73</v>
      </c>
      <c r="AR34" s="10">
        <v>0.56</v>
      </c>
      <c r="AS34" s="10">
        <v>5.89</v>
      </c>
      <c r="AT34" s="119">
        <v>57.1</v>
      </c>
      <c r="AU34" s="119">
        <f t="shared" si="9"/>
        <v>0.10999999999999233</v>
      </c>
      <c r="AV34" s="89"/>
      <c r="AW34" s="89"/>
      <c r="AX34" s="89"/>
    </row>
    <row r="35" spans="1:50" ht="11.25">
      <c r="A35" s="117" t="s">
        <v>265</v>
      </c>
      <c r="B35" s="92">
        <v>40</v>
      </c>
      <c r="C35" s="13">
        <f t="shared" si="0"/>
        <v>833</v>
      </c>
      <c r="D35" s="16">
        <v>79</v>
      </c>
      <c r="E35" s="16">
        <v>754</v>
      </c>
      <c r="F35" s="16"/>
      <c r="G35" s="13">
        <f t="shared" si="1"/>
        <v>35</v>
      </c>
      <c r="H35" s="16">
        <v>3</v>
      </c>
      <c r="I35" s="16">
        <v>32</v>
      </c>
      <c r="J35" s="16"/>
      <c r="K35" s="13">
        <f t="shared" si="2"/>
        <v>101.78</v>
      </c>
      <c r="L35" s="16">
        <f t="shared" si="3"/>
        <v>76.28</v>
      </c>
      <c r="M35" s="16">
        <f t="shared" si="4"/>
        <v>3.57</v>
      </c>
      <c r="N35" s="16">
        <f t="shared" si="5"/>
        <v>13.600000000000001</v>
      </c>
      <c r="O35" s="16">
        <f t="shared" si="6"/>
        <v>20.9</v>
      </c>
      <c r="P35" s="16">
        <f t="shared" si="7"/>
        <v>38.21</v>
      </c>
      <c r="Q35" s="16"/>
      <c r="R35" s="16">
        <v>1.14</v>
      </c>
      <c r="S35" s="16">
        <v>1.47</v>
      </c>
      <c r="T35" s="16">
        <v>1.14</v>
      </c>
      <c r="U35" s="16">
        <v>3.57</v>
      </c>
      <c r="V35" s="16">
        <v>12.46</v>
      </c>
      <c r="W35" s="16">
        <v>19.43</v>
      </c>
      <c r="X35" s="16">
        <v>37.07</v>
      </c>
      <c r="Y35" s="16"/>
      <c r="Z35" s="16"/>
      <c r="AA35" s="16"/>
      <c r="AB35" s="16"/>
      <c r="AC35" s="16"/>
      <c r="AD35" s="16"/>
      <c r="AE35" s="16"/>
      <c r="AF35" s="16"/>
      <c r="AG35" s="13">
        <v>6</v>
      </c>
      <c r="AH35" s="13">
        <v>19.5</v>
      </c>
      <c r="AI35" s="10">
        <v>28</v>
      </c>
      <c r="AJ35" s="10">
        <v>5</v>
      </c>
      <c r="AK35" s="10">
        <v>10</v>
      </c>
      <c r="AL35" s="10">
        <v>10</v>
      </c>
      <c r="AM35" s="115">
        <v>187</v>
      </c>
      <c r="AN35" s="115">
        <f t="shared" si="8"/>
        <v>318</v>
      </c>
      <c r="AO35" s="10">
        <v>37</v>
      </c>
      <c r="AP35" s="10">
        <v>229</v>
      </c>
      <c r="AQ35" s="10">
        <v>22</v>
      </c>
      <c r="AR35" s="10">
        <v>7</v>
      </c>
      <c r="AS35" s="10">
        <v>23</v>
      </c>
      <c r="AT35" s="119">
        <v>71.11</v>
      </c>
      <c r="AU35" s="119">
        <f t="shared" si="9"/>
        <v>5.170000000000002</v>
      </c>
      <c r="AV35" s="89"/>
      <c r="AW35" s="89"/>
      <c r="AX35" s="89"/>
    </row>
    <row r="36" spans="1:50" ht="11.25">
      <c r="A36" s="117" t="s">
        <v>266</v>
      </c>
      <c r="B36" s="92" t="s">
        <v>159</v>
      </c>
      <c r="C36" s="13">
        <f t="shared" si="0"/>
        <v>320</v>
      </c>
      <c r="D36" s="16"/>
      <c r="E36" s="16"/>
      <c r="F36" s="16">
        <v>320</v>
      </c>
      <c r="G36" s="13">
        <f t="shared" si="1"/>
        <v>14</v>
      </c>
      <c r="H36" s="16"/>
      <c r="I36" s="16"/>
      <c r="J36" s="16">
        <v>14</v>
      </c>
      <c r="K36" s="13">
        <f t="shared" si="2"/>
        <v>50.019999999999996</v>
      </c>
      <c r="L36" s="16">
        <f t="shared" si="3"/>
        <v>36.82</v>
      </c>
      <c r="M36" s="16">
        <f t="shared" si="4"/>
        <v>0.28</v>
      </c>
      <c r="N36" s="16">
        <f t="shared" si="5"/>
        <v>17.33</v>
      </c>
      <c r="O36" s="16">
        <f t="shared" si="6"/>
        <v>11.23</v>
      </c>
      <c r="P36" s="16">
        <f t="shared" si="7"/>
        <v>7.98</v>
      </c>
      <c r="Q36" s="16"/>
      <c r="R36" s="16"/>
      <c r="S36" s="16"/>
      <c r="T36" s="16"/>
      <c r="U36" s="16"/>
      <c r="V36" s="16"/>
      <c r="W36" s="16"/>
      <c r="X36" s="16"/>
      <c r="Y36" s="16">
        <v>0.28</v>
      </c>
      <c r="Z36" s="16">
        <v>17.33</v>
      </c>
      <c r="AA36" s="16">
        <v>11.23</v>
      </c>
      <c r="AB36" s="16">
        <v>7.98</v>
      </c>
      <c r="AC36" s="16"/>
      <c r="AD36" s="16"/>
      <c r="AE36" s="16"/>
      <c r="AF36" s="16"/>
      <c r="AG36" s="13">
        <v>2.75</v>
      </c>
      <c r="AH36" s="13">
        <v>10.45</v>
      </c>
      <c r="AI36" s="10">
        <v>42</v>
      </c>
      <c r="AJ36" s="10">
        <v>8.95</v>
      </c>
      <c r="AK36" s="10"/>
      <c r="AL36" s="10">
        <v>20</v>
      </c>
      <c r="AM36" s="115"/>
      <c r="AN36" s="115">
        <f t="shared" si="8"/>
        <v>115.33</v>
      </c>
      <c r="AO36" s="10">
        <v>14</v>
      </c>
      <c r="AP36" s="10">
        <v>58</v>
      </c>
      <c r="AQ36" s="10">
        <v>22</v>
      </c>
      <c r="AR36" s="10"/>
      <c r="AS36" s="10">
        <v>21.33</v>
      </c>
      <c r="AT36" s="119">
        <v>35.32</v>
      </c>
      <c r="AU36" s="119">
        <f t="shared" si="9"/>
        <v>1.5</v>
      </c>
      <c r="AV36" s="89"/>
      <c r="AW36" s="89"/>
      <c r="AX36" s="89"/>
    </row>
    <row r="37" spans="1:50" ht="11.25">
      <c r="A37" s="117" t="s">
        <v>267</v>
      </c>
      <c r="B37" s="92">
        <v>42</v>
      </c>
      <c r="C37" s="13">
        <f t="shared" si="0"/>
        <v>703</v>
      </c>
      <c r="D37" s="16">
        <v>37</v>
      </c>
      <c r="E37" s="16">
        <v>388</v>
      </c>
      <c r="F37" s="16">
        <v>278</v>
      </c>
      <c r="G37" s="13">
        <f t="shared" si="1"/>
        <v>30.67</v>
      </c>
      <c r="H37" s="16">
        <v>2</v>
      </c>
      <c r="I37" s="16">
        <v>18</v>
      </c>
      <c r="J37" s="16">
        <v>10.67</v>
      </c>
      <c r="K37" s="13">
        <f t="shared" si="2"/>
        <v>100.75</v>
      </c>
      <c r="L37" s="16">
        <f t="shared" si="3"/>
        <v>73.5</v>
      </c>
      <c r="M37" s="16">
        <f t="shared" si="4"/>
        <v>3.33</v>
      </c>
      <c r="N37" s="16">
        <f t="shared" si="5"/>
        <v>12.520000000000001</v>
      </c>
      <c r="O37" s="16">
        <f t="shared" si="6"/>
        <v>23</v>
      </c>
      <c r="P37" s="16">
        <f t="shared" si="7"/>
        <v>34.650000000000006</v>
      </c>
      <c r="Q37" s="16"/>
      <c r="R37" s="16">
        <v>1.97</v>
      </c>
      <c r="S37" s="16">
        <v>0.39</v>
      </c>
      <c r="T37" s="16"/>
      <c r="U37" s="16">
        <v>3</v>
      </c>
      <c r="V37" s="16">
        <v>6.68</v>
      </c>
      <c r="W37" s="16">
        <v>13.88</v>
      </c>
      <c r="X37" s="16">
        <v>16.1</v>
      </c>
      <c r="Y37" s="16">
        <v>0.33</v>
      </c>
      <c r="Z37" s="16">
        <v>3.87</v>
      </c>
      <c r="AA37" s="16">
        <v>8.73</v>
      </c>
      <c r="AB37" s="16">
        <v>18.55</v>
      </c>
      <c r="AC37" s="16"/>
      <c r="AD37" s="16"/>
      <c r="AE37" s="16"/>
      <c r="AF37" s="16"/>
      <c r="AG37" s="13">
        <v>6</v>
      </c>
      <c r="AH37" s="13">
        <v>21.25</v>
      </c>
      <c r="AI37" s="10">
        <v>31.5</v>
      </c>
      <c r="AJ37" s="10">
        <v>4</v>
      </c>
      <c r="AK37" s="10">
        <v>40</v>
      </c>
      <c r="AL37" s="10">
        <v>10</v>
      </c>
      <c r="AM37" s="115">
        <v>119</v>
      </c>
      <c r="AN37" s="115">
        <f t="shared" si="8"/>
        <v>240</v>
      </c>
      <c r="AO37" s="10">
        <v>25</v>
      </c>
      <c r="AP37" s="10">
        <v>175</v>
      </c>
      <c r="AQ37" s="10">
        <v>22</v>
      </c>
      <c r="AR37" s="10">
        <v>8</v>
      </c>
      <c r="AS37" s="10">
        <v>10</v>
      </c>
      <c r="AT37" s="119">
        <f>39.58+31.5</f>
        <v>71.08</v>
      </c>
      <c r="AU37" s="119">
        <f t="shared" si="9"/>
        <v>2.4200000000000017</v>
      </c>
      <c r="AV37" s="89"/>
      <c r="AW37" s="89"/>
      <c r="AX37" s="89"/>
    </row>
    <row r="38" spans="1:50" ht="11.25">
      <c r="A38" s="117" t="s">
        <v>268</v>
      </c>
      <c r="B38" s="92">
        <v>43</v>
      </c>
      <c r="C38" s="13">
        <f t="shared" si="0"/>
        <v>663.65</v>
      </c>
      <c r="D38" s="16">
        <v>46.33</v>
      </c>
      <c r="E38" s="16">
        <v>362.66</v>
      </c>
      <c r="F38" s="16">
        <v>254.66</v>
      </c>
      <c r="G38" s="13">
        <f t="shared" si="1"/>
        <v>30.659999999999997</v>
      </c>
      <c r="H38" s="16">
        <v>2</v>
      </c>
      <c r="I38" s="16">
        <v>16.33</v>
      </c>
      <c r="J38" s="16">
        <v>12.33</v>
      </c>
      <c r="K38" s="13">
        <f t="shared" si="2"/>
        <v>112.81</v>
      </c>
      <c r="L38" s="16">
        <f t="shared" si="3"/>
        <v>78.56</v>
      </c>
      <c r="M38" s="16">
        <f t="shared" si="4"/>
        <v>2.47</v>
      </c>
      <c r="N38" s="16">
        <f t="shared" si="5"/>
        <v>7.26</v>
      </c>
      <c r="O38" s="16">
        <f t="shared" si="6"/>
        <v>21.41</v>
      </c>
      <c r="P38" s="16">
        <f t="shared" si="7"/>
        <v>47.419999999999995</v>
      </c>
      <c r="Q38" s="16"/>
      <c r="R38" s="16"/>
      <c r="S38" s="16"/>
      <c r="T38" s="16">
        <v>2.26</v>
      </c>
      <c r="U38" s="16">
        <v>2.1</v>
      </c>
      <c r="V38" s="16">
        <v>3.56</v>
      </c>
      <c r="W38" s="16">
        <v>9.74</v>
      </c>
      <c r="X38" s="16">
        <v>26.6</v>
      </c>
      <c r="Y38" s="16">
        <v>0.37</v>
      </c>
      <c r="Z38" s="16">
        <v>3.7</v>
      </c>
      <c r="AA38" s="16">
        <v>11.67</v>
      </c>
      <c r="AB38" s="16">
        <v>18.56</v>
      </c>
      <c r="AC38" s="16"/>
      <c r="AD38" s="16"/>
      <c r="AE38" s="16"/>
      <c r="AF38" s="16"/>
      <c r="AG38" s="13">
        <v>5.42</v>
      </c>
      <c r="AH38" s="13">
        <v>28.83</v>
      </c>
      <c r="AI38" s="10">
        <v>40</v>
      </c>
      <c r="AJ38" s="10">
        <v>33</v>
      </c>
      <c r="AK38" s="10">
        <v>40</v>
      </c>
      <c r="AL38" s="10">
        <v>20</v>
      </c>
      <c r="AM38" s="115">
        <v>114</v>
      </c>
      <c r="AN38" s="115">
        <f t="shared" si="8"/>
        <v>240</v>
      </c>
      <c r="AO38" s="10">
        <v>28.6</v>
      </c>
      <c r="AP38" s="10">
        <v>140</v>
      </c>
      <c r="AQ38" s="10">
        <v>50</v>
      </c>
      <c r="AR38" s="10">
        <v>16.4</v>
      </c>
      <c r="AS38" s="10">
        <v>5</v>
      </c>
      <c r="AT38" s="119">
        <f>41.04+37.23</f>
        <v>78.27</v>
      </c>
      <c r="AU38" s="119">
        <f t="shared" si="9"/>
        <v>0.29000000000000625</v>
      </c>
      <c r="AV38" s="89"/>
      <c r="AW38" s="89"/>
      <c r="AX38" s="89"/>
    </row>
    <row r="39" spans="1:50" ht="11.25">
      <c r="A39" s="117" t="s">
        <v>269</v>
      </c>
      <c r="B39" s="92">
        <v>44</v>
      </c>
      <c r="C39" s="13">
        <f t="shared" si="0"/>
        <v>622</v>
      </c>
      <c r="D39" s="16"/>
      <c r="E39" s="16">
        <v>137.33</v>
      </c>
      <c r="F39" s="16">
        <v>484.67</v>
      </c>
      <c r="G39" s="13">
        <f t="shared" si="1"/>
        <v>24.33</v>
      </c>
      <c r="H39" s="16"/>
      <c r="I39" s="16">
        <v>6.33</v>
      </c>
      <c r="J39" s="16">
        <v>18</v>
      </c>
      <c r="K39" s="13">
        <f t="shared" si="2"/>
        <v>76.78</v>
      </c>
      <c r="L39" s="16">
        <f t="shared" si="3"/>
        <v>57.03</v>
      </c>
      <c r="M39" s="16">
        <f t="shared" si="4"/>
        <v>2.56</v>
      </c>
      <c r="N39" s="16">
        <f t="shared" si="5"/>
        <v>14.370000000000001</v>
      </c>
      <c r="O39" s="16">
        <f t="shared" si="6"/>
        <v>16.380000000000003</v>
      </c>
      <c r="P39" s="16">
        <f t="shared" si="7"/>
        <v>23.72</v>
      </c>
      <c r="Q39" s="16"/>
      <c r="R39" s="16"/>
      <c r="S39" s="16"/>
      <c r="T39" s="16"/>
      <c r="U39" s="16">
        <v>0.33</v>
      </c>
      <c r="V39" s="16">
        <v>3.71</v>
      </c>
      <c r="W39" s="16">
        <v>5.83</v>
      </c>
      <c r="X39" s="16">
        <v>4.38</v>
      </c>
      <c r="Y39" s="16">
        <v>2.23</v>
      </c>
      <c r="Z39" s="16">
        <v>10.66</v>
      </c>
      <c r="AA39" s="16">
        <v>10.55</v>
      </c>
      <c r="AB39" s="16">
        <v>19.34</v>
      </c>
      <c r="AC39" s="16"/>
      <c r="AD39" s="16"/>
      <c r="AE39" s="16"/>
      <c r="AF39" s="16"/>
      <c r="AG39" s="13">
        <v>5.25</v>
      </c>
      <c r="AH39" s="13">
        <v>14.5</v>
      </c>
      <c r="AI39" s="10">
        <v>36.33</v>
      </c>
      <c r="AJ39" s="10">
        <v>6.67</v>
      </c>
      <c r="AK39" s="10">
        <v>20</v>
      </c>
      <c r="AL39" s="10">
        <v>20</v>
      </c>
      <c r="AM39" s="115">
        <v>77.67</v>
      </c>
      <c r="AN39" s="115">
        <f t="shared" si="8"/>
        <v>160.32999999999998</v>
      </c>
      <c r="AO39" s="10">
        <v>24</v>
      </c>
      <c r="AP39" s="10">
        <v>125.33</v>
      </c>
      <c r="AQ39" s="10">
        <v>7</v>
      </c>
      <c r="AR39" s="10"/>
      <c r="AS39" s="10">
        <v>4</v>
      </c>
      <c r="AT39" s="119">
        <f>14.78+44.18</f>
        <v>58.96</v>
      </c>
      <c r="AU39" s="119">
        <f t="shared" si="9"/>
        <v>-1.9299999999999997</v>
      </c>
      <c r="AV39" s="89"/>
      <c r="AW39" s="89"/>
      <c r="AX39" s="89"/>
    </row>
    <row r="40" spans="1:50" ht="11.25">
      <c r="A40" s="117" t="s">
        <v>270</v>
      </c>
      <c r="B40" s="92">
        <v>45</v>
      </c>
      <c r="C40" s="13">
        <f t="shared" si="0"/>
        <v>282.33000000000004</v>
      </c>
      <c r="D40" s="16">
        <v>49</v>
      </c>
      <c r="E40" s="16">
        <v>233.33</v>
      </c>
      <c r="F40" s="16"/>
      <c r="G40" s="13">
        <f t="shared" si="1"/>
        <v>13</v>
      </c>
      <c r="H40" s="16">
        <v>2</v>
      </c>
      <c r="I40" s="16">
        <v>11</v>
      </c>
      <c r="J40" s="16"/>
      <c r="K40" s="13">
        <f t="shared" si="2"/>
        <v>44.239999999999995</v>
      </c>
      <c r="L40" s="16">
        <f t="shared" si="3"/>
        <v>28.509999999999998</v>
      </c>
      <c r="M40" s="16">
        <f t="shared" si="4"/>
        <v>0.17</v>
      </c>
      <c r="N40" s="16">
        <f t="shared" si="5"/>
        <v>2.6399999999999997</v>
      </c>
      <c r="O40" s="16">
        <f t="shared" si="6"/>
        <v>5.2</v>
      </c>
      <c r="P40" s="16">
        <f t="shared" si="7"/>
        <v>20.5</v>
      </c>
      <c r="Q40" s="16"/>
      <c r="R40" s="16">
        <v>0.47</v>
      </c>
      <c r="S40" s="16">
        <v>0.75</v>
      </c>
      <c r="T40" s="16">
        <v>1.51</v>
      </c>
      <c r="U40" s="16">
        <v>0.17</v>
      </c>
      <c r="V40" s="16">
        <v>2.17</v>
      </c>
      <c r="W40" s="16">
        <v>4.45</v>
      </c>
      <c r="X40" s="16">
        <v>18.99</v>
      </c>
      <c r="Y40" s="16"/>
      <c r="Z40" s="16"/>
      <c r="AA40" s="16"/>
      <c r="AB40" s="16"/>
      <c r="AC40" s="16"/>
      <c r="AD40" s="16"/>
      <c r="AE40" s="16"/>
      <c r="AF40" s="16"/>
      <c r="AG40" s="13">
        <v>4.5</v>
      </c>
      <c r="AH40" s="13">
        <v>11.23</v>
      </c>
      <c r="AI40" s="10"/>
      <c r="AJ40" s="10"/>
      <c r="AK40" s="10">
        <v>15</v>
      </c>
      <c r="AL40" s="10"/>
      <c r="AM40" s="115">
        <v>210</v>
      </c>
      <c r="AN40" s="115">
        <f t="shared" si="8"/>
        <v>233.67000000000002</v>
      </c>
      <c r="AO40" s="10">
        <v>11.67</v>
      </c>
      <c r="AP40" s="10">
        <v>215.33</v>
      </c>
      <c r="AQ40" s="10">
        <v>4</v>
      </c>
      <c r="AR40" s="10">
        <v>2.67</v>
      </c>
      <c r="AS40" s="10"/>
      <c r="AT40" s="119">
        <v>27.58</v>
      </c>
      <c r="AU40" s="119">
        <f t="shared" si="9"/>
        <v>0.9299999999999997</v>
      </c>
      <c r="AV40" s="89"/>
      <c r="AW40" s="89"/>
      <c r="AX40" s="89"/>
    </row>
    <row r="41" spans="1:50" ht="11.25">
      <c r="A41" s="117" t="s">
        <v>271</v>
      </c>
      <c r="B41" s="92">
        <v>46</v>
      </c>
      <c r="C41" s="13">
        <f t="shared" si="0"/>
        <v>811</v>
      </c>
      <c r="D41" s="16">
        <v>79</v>
      </c>
      <c r="E41" s="16">
        <v>438</v>
      </c>
      <c r="F41" s="16">
        <v>294</v>
      </c>
      <c r="G41" s="13">
        <f t="shared" si="1"/>
        <v>35</v>
      </c>
      <c r="H41" s="16">
        <v>3</v>
      </c>
      <c r="I41" s="16">
        <v>20</v>
      </c>
      <c r="J41" s="16">
        <v>12</v>
      </c>
      <c r="K41" s="13">
        <f t="shared" si="2"/>
        <v>101.27999999999999</v>
      </c>
      <c r="L41" s="16">
        <f t="shared" si="3"/>
        <v>75.58</v>
      </c>
      <c r="M41" s="16">
        <f t="shared" si="4"/>
        <v>5.38</v>
      </c>
      <c r="N41" s="16">
        <f t="shared" si="5"/>
        <v>12.92</v>
      </c>
      <c r="O41" s="16">
        <f t="shared" si="6"/>
        <v>19.55</v>
      </c>
      <c r="P41" s="16">
        <f t="shared" si="7"/>
        <v>37.73</v>
      </c>
      <c r="Q41" s="16"/>
      <c r="R41" s="16">
        <v>1.61</v>
      </c>
      <c r="S41" s="16">
        <v>1.14</v>
      </c>
      <c r="T41" s="16">
        <v>0.86</v>
      </c>
      <c r="U41" s="16">
        <v>3.32</v>
      </c>
      <c r="V41" s="16">
        <v>7.59</v>
      </c>
      <c r="W41" s="16">
        <v>9.52</v>
      </c>
      <c r="X41" s="16">
        <v>22.83</v>
      </c>
      <c r="Y41" s="16">
        <v>2.06</v>
      </c>
      <c r="Z41" s="16">
        <v>3.72</v>
      </c>
      <c r="AA41" s="16">
        <v>8.89</v>
      </c>
      <c r="AB41" s="16">
        <v>14.04</v>
      </c>
      <c r="AC41" s="16"/>
      <c r="AD41" s="16"/>
      <c r="AE41" s="16"/>
      <c r="AF41" s="16"/>
      <c r="AG41" s="13">
        <v>5.96</v>
      </c>
      <c r="AH41" s="13">
        <v>19.74</v>
      </c>
      <c r="AI41" s="10">
        <v>11.75</v>
      </c>
      <c r="AJ41" s="10">
        <v>3.67</v>
      </c>
      <c r="AK41" s="10">
        <v>20</v>
      </c>
      <c r="AL41" s="10">
        <v>20</v>
      </c>
      <c r="AM41" s="115">
        <v>251</v>
      </c>
      <c r="AN41" s="115">
        <f t="shared" si="8"/>
        <v>396</v>
      </c>
      <c r="AO41" s="10">
        <v>35</v>
      </c>
      <c r="AP41" s="10">
        <v>327</v>
      </c>
      <c r="AQ41" s="10">
        <v>5</v>
      </c>
      <c r="AR41" s="10">
        <v>4</v>
      </c>
      <c r="AS41" s="10">
        <v>25</v>
      </c>
      <c r="AT41" s="119">
        <f>46.89+27.39</f>
        <v>74.28</v>
      </c>
      <c r="AU41" s="119">
        <f t="shared" si="9"/>
        <v>1.2999999999999972</v>
      </c>
      <c r="AV41" s="89"/>
      <c r="AW41" s="89"/>
      <c r="AX41" s="89"/>
    </row>
    <row r="42" spans="1:50" ht="11.25">
      <c r="A42" s="117" t="s">
        <v>272</v>
      </c>
      <c r="B42" s="92">
        <v>47</v>
      </c>
      <c r="C42" s="13">
        <f t="shared" si="0"/>
        <v>891.5</v>
      </c>
      <c r="D42" s="16">
        <v>75</v>
      </c>
      <c r="E42" s="16">
        <v>538.33</v>
      </c>
      <c r="F42" s="16">
        <v>278.17</v>
      </c>
      <c r="G42" s="13">
        <f t="shared" si="1"/>
        <v>43.5</v>
      </c>
      <c r="H42" s="16">
        <v>3.5</v>
      </c>
      <c r="I42" s="16">
        <v>25</v>
      </c>
      <c r="J42" s="16">
        <v>15</v>
      </c>
      <c r="K42" s="13">
        <f t="shared" si="2"/>
        <v>152.92000000000002</v>
      </c>
      <c r="L42" s="16">
        <f t="shared" si="3"/>
        <v>114.54</v>
      </c>
      <c r="M42" s="16">
        <f t="shared" si="4"/>
        <v>5.34</v>
      </c>
      <c r="N42" s="16">
        <f t="shared" si="5"/>
        <v>11.690000000000001</v>
      </c>
      <c r="O42" s="16">
        <f t="shared" si="6"/>
        <v>24.38</v>
      </c>
      <c r="P42" s="16">
        <f t="shared" si="7"/>
        <v>73.13000000000001</v>
      </c>
      <c r="Q42" s="16">
        <v>1.14</v>
      </c>
      <c r="R42" s="16"/>
      <c r="S42" s="16">
        <v>1.93</v>
      </c>
      <c r="T42" s="16">
        <v>2.4</v>
      </c>
      <c r="U42" s="16">
        <v>3.89</v>
      </c>
      <c r="V42" s="16">
        <v>8.24</v>
      </c>
      <c r="W42" s="16">
        <v>15.08</v>
      </c>
      <c r="X42" s="16">
        <v>38.78</v>
      </c>
      <c r="Y42" s="16">
        <v>0.31</v>
      </c>
      <c r="Z42" s="16">
        <v>3.45</v>
      </c>
      <c r="AA42" s="16">
        <v>7.37</v>
      </c>
      <c r="AB42" s="16">
        <v>31.95</v>
      </c>
      <c r="AC42" s="16"/>
      <c r="AD42" s="16"/>
      <c r="AE42" s="16"/>
      <c r="AF42" s="16"/>
      <c r="AG42" s="13">
        <v>7.5</v>
      </c>
      <c r="AH42" s="13">
        <v>30.88</v>
      </c>
      <c r="AI42" s="10">
        <v>43.82</v>
      </c>
      <c r="AJ42" s="10">
        <v>4.49</v>
      </c>
      <c r="AK42" s="10">
        <v>57</v>
      </c>
      <c r="AL42" s="10">
        <v>23</v>
      </c>
      <c r="AM42" s="115">
        <v>197</v>
      </c>
      <c r="AN42" s="115">
        <f t="shared" si="8"/>
        <v>476</v>
      </c>
      <c r="AO42" s="10">
        <v>42</v>
      </c>
      <c r="AP42" s="10">
        <v>389</v>
      </c>
      <c r="AQ42" s="10">
        <v>23</v>
      </c>
      <c r="AR42" s="10"/>
      <c r="AS42" s="10">
        <v>22</v>
      </c>
      <c r="AT42" s="119">
        <f>70.06+42.68</f>
        <v>112.74000000000001</v>
      </c>
      <c r="AU42" s="119">
        <f t="shared" si="9"/>
        <v>1.7999999999999972</v>
      </c>
      <c r="AV42" s="89"/>
      <c r="AW42" s="89"/>
      <c r="AX42" s="89"/>
    </row>
    <row r="43" spans="1:50" ht="11.25">
      <c r="A43" s="117" t="s">
        <v>273</v>
      </c>
      <c r="B43" s="92">
        <v>48</v>
      </c>
      <c r="C43" s="13">
        <f t="shared" si="0"/>
        <v>526.66</v>
      </c>
      <c r="D43" s="16">
        <v>29</v>
      </c>
      <c r="E43" s="16">
        <v>319.33</v>
      </c>
      <c r="F43" s="16">
        <v>178.33</v>
      </c>
      <c r="G43" s="13">
        <f t="shared" si="1"/>
        <v>22.67</v>
      </c>
      <c r="H43" s="16">
        <v>1.33</v>
      </c>
      <c r="I43" s="16">
        <v>13.67</v>
      </c>
      <c r="J43" s="16">
        <v>7.67</v>
      </c>
      <c r="K43" s="13">
        <f t="shared" si="2"/>
        <v>72.65</v>
      </c>
      <c r="L43" s="16">
        <f t="shared" si="3"/>
        <v>52.89</v>
      </c>
      <c r="M43" s="16">
        <f t="shared" si="4"/>
        <v>1.37</v>
      </c>
      <c r="N43" s="16">
        <f t="shared" si="5"/>
        <v>10.33</v>
      </c>
      <c r="O43" s="16">
        <f t="shared" si="6"/>
        <v>14.33</v>
      </c>
      <c r="P43" s="16">
        <f t="shared" si="7"/>
        <v>26.86</v>
      </c>
      <c r="Q43" s="16"/>
      <c r="R43" s="16">
        <v>0.33</v>
      </c>
      <c r="S43" s="16">
        <v>0.33</v>
      </c>
      <c r="T43" s="16">
        <v>0.79</v>
      </c>
      <c r="U43" s="16">
        <v>0.7</v>
      </c>
      <c r="V43" s="16">
        <v>6.02</v>
      </c>
      <c r="W43" s="16">
        <v>9.72</v>
      </c>
      <c r="X43" s="16">
        <v>12.76</v>
      </c>
      <c r="Y43" s="16">
        <v>0.67</v>
      </c>
      <c r="Z43" s="16">
        <v>3.98</v>
      </c>
      <c r="AA43" s="16">
        <v>4.28</v>
      </c>
      <c r="AB43" s="16">
        <v>13.31</v>
      </c>
      <c r="AC43" s="16"/>
      <c r="AD43" s="16"/>
      <c r="AE43" s="16"/>
      <c r="AF43" s="16"/>
      <c r="AG43" s="13">
        <v>5.57</v>
      </c>
      <c r="AH43" s="13">
        <v>14.19</v>
      </c>
      <c r="AI43" s="10">
        <v>51.75</v>
      </c>
      <c r="AJ43" s="10">
        <v>8</v>
      </c>
      <c r="AK43" s="10">
        <v>20</v>
      </c>
      <c r="AL43" s="10">
        <v>20</v>
      </c>
      <c r="AM43" s="115">
        <v>96</v>
      </c>
      <c r="AN43" s="115">
        <f t="shared" si="8"/>
        <v>295.01000000000005</v>
      </c>
      <c r="AO43" s="10">
        <v>27.67</v>
      </c>
      <c r="AP43" s="10">
        <v>220</v>
      </c>
      <c r="AQ43" s="10">
        <v>27.67</v>
      </c>
      <c r="AR43" s="10">
        <v>4</v>
      </c>
      <c r="AS43" s="10">
        <v>15.67</v>
      </c>
      <c r="AT43" s="119">
        <f>27.69+21.67</f>
        <v>49.36</v>
      </c>
      <c r="AU43" s="119">
        <f t="shared" si="9"/>
        <v>3.530000000000001</v>
      </c>
      <c r="AV43" s="89"/>
      <c r="AW43" s="89"/>
      <c r="AX43" s="89"/>
    </row>
    <row r="44" spans="1:50" ht="11.25">
      <c r="A44" s="117" t="s">
        <v>166</v>
      </c>
      <c r="B44" s="95" t="s">
        <v>167</v>
      </c>
      <c r="C44" s="13">
        <f t="shared" si="0"/>
        <v>181.5</v>
      </c>
      <c r="D44" s="16"/>
      <c r="E44" s="16"/>
      <c r="F44" s="16">
        <v>181.5</v>
      </c>
      <c r="G44" s="13">
        <f t="shared" si="1"/>
        <v>5.83</v>
      </c>
      <c r="H44" s="16"/>
      <c r="I44" s="16"/>
      <c r="J44" s="16">
        <v>5.83</v>
      </c>
      <c r="K44" s="13">
        <f t="shared" si="2"/>
        <v>9.088</v>
      </c>
      <c r="L44" s="16">
        <f t="shared" si="3"/>
        <v>7.17</v>
      </c>
      <c r="M44" s="16">
        <f t="shared" si="4"/>
        <v>0.59</v>
      </c>
      <c r="N44" s="16">
        <f t="shared" si="5"/>
        <v>5.68</v>
      </c>
      <c r="O44" s="16">
        <f t="shared" si="6"/>
        <v>0.81</v>
      </c>
      <c r="P44" s="16">
        <f t="shared" si="7"/>
        <v>0.09</v>
      </c>
      <c r="Q44" s="16"/>
      <c r="R44" s="16"/>
      <c r="S44" s="16"/>
      <c r="T44" s="16"/>
      <c r="U44" s="16"/>
      <c r="V44" s="16"/>
      <c r="W44" s="16"/>
      <c r="X44" s="16"/>
      <c r="Y44" s="16">
        <v>0.59</v>
      </c>
      <c r="Z44" s="16">
        <v>5.68</v>
      </c>
      <c r="AA44" s="16">
        <v>0.81</v>
      </c>
      <c r="AB44" s="16">
        <v>0.09</v>
      </c>
      <c r="AC44" s="16"/>
      <c r="AD44" s="16"/>
      <c r="AE44" s="16"/>
      <c r="AF44" s="16"/>
      <c r="AG44" s="13">
        <v>0.758</v>
      </c>
      <c r="AH44" s="13">
        <v>1.16</v>
      </c>
      <c r="AI44" s="10"/>
      <c r="AJ44" s="10"/>
      <c r="AK44" s="10">
        <v>20</v>
      </c>
      <c r="AL44" s="10"/>
      <c r="AM44" s="115"/>
      <c r="AN44" s="115">
        <v>0</v>
      </c>
      <c r="AO44" s="10"/>
      <c r="AP44" s="10"/>
      <c r="AQ44" s="10"/>
      <c r="AR44" s="10"/>
      <c r="AS44" s="10"/>
      <c r="AT44" s="119">
        <v>7.88</v>
      </c>
      <c r="AU44" s="119">
        <f t="shared" si="9"/>
        <v>-0.71</v>
      </c>
      <c r="AV44" s="89"/>
      <c r="AW44" s="89"/>
      <c r="AX44" s="89"/>
    </row>
    <row r="45" spans="1:50" s="17" customFormat="1" ht="11.25">
      <c r="A45" s="117" t="s">
        <v>75</v>
      </c>
      <c r="B45" s="9"/>
      <c r="C45" s="13">
        <f aca="true" t="shared" si="10" ref="C45:AU45">SUM(C6:C44)</f>
        <v>18855.6</v>
      </c>
      <c r="D45" s="13">
        <f t="shared" si="10"/>
        <v>932.63</v>
      </c>
      <c r="E45" s="13">
        <f t="shared" si="10"/>
        <v>11887.56</v>
      </c>
      <c r="F45" s="13">
        <f t="shared" si="10"/>
        <v>6035.41</v>
      </c>
      <c r="G45" s="13">
        <f t="shared" si="10"/>
        <v>835.62</v>
      </c>
      <c r="H45" s="13">
        <f t="shared" si="10"/>
        <v>43.17</v>
      </c>
      <c r="I45" s="13">
        <f t="shared" si="10"/>
        <v>541.7199999999999</v>
      </c>
      <c r="J45" s="13">
        <f t="shared" si="10"/>
        <v>250.73</v>
      </c>
      <c r="K45" s="13">
        <f t="shared" si="10"/>
        <v>2757.5530000000003</v>
      </c>
      <c r="L45" s="13">
        <f t="shared" si="10"/>
        <v>2010.7099999999998</v>
      </c>
      <c r="M45" s="13">
        <f t="shared" si="10"/>
        <v>86.91000000000001</v>
      </c>
      <c r="N45" s="13">
        <f t="shared" si="10"/>
        <v>399.98999999999995</v>
      </c>
      <c r="O45" s="13">
        <f t="shared" si="10"/>
        <v>567.41</v>
      </c>
      <c r="P45" s="13">
        <f t="shared" si="10"/>
        <v>956.3999999999999</v>
      </c>
      <c r="Q45" s="13">
        <f t="shared" si="10"/>
        <v>3.9799999999999995</v>
      </c>
      <c r="R45" s="13">
        <f t="shared" si="10"/>
        <v>11.790000000000001</v>
      </c>
      <c r="S45" s="13">
        <f t="shared" si="10"/>
        <v>18.52</v>
      </c>
      <c r="T45" s="13">
        <f t="shared" si="10"/>
        <v>20.74</v>
      </c>
      <c r="U45" s="13">
        <f t="shared" si="10"/>
        <v>57.919999999999995</v>
      </c>
      <c r="V45" s="13">
        <f t="shared" si="10"/>
        <v>234.67</v>
      </c>
      <c r="W45" s="13">
        <f t="shared" si="10"/>
        <v>369.36999999999995</v>
      </c>
      <c r="X45" s="13">
        <f t="shared" si="10"/>
        <v>595.89</v>
      </c>
      <c r="Y45" s="13">
        <f t="shared" si="10"/>
        <v>25.01</v>
      </c>
      <c r="Z45" s="13">
        <f t="shared" si="10"/>
        <v>153.53</v>
      </c>
      <c r="AA45" s="13">
        <f t="shared" si="10"/>
        <v>179.52</v>
      </c>
      <c r="AB45" s="13">
        <f t="shared" si="10"/>
        <v>339.7699999999999</v>
      </c>
      <c r="AC45" s="13">
        <f t="shared" si="10"/>
        <v>0</v>
      </c>
      <c r="AD45" s="13">
        <f t="shared" si="10"/>
        <v>0</v>
      </c>
      <c r="AE45" s="13">
        <f t="shared" si="10"/>
        <v>0</v>
      </c>
      <c r="AF45" s="13">
        <f t="shared" si="10"/>
        <v>0</v>
      </c>
      <c r="AG45" s="13">
        <f t="shared" si="10"/>
        <v>182.50799999999998</v>
      </c>
      <c r="AH45" s="13">
        <f t="shared" si="10"/>
        <v>564.335</v>
      </c>
      <c r="AI45" s="115">
        <f t="shared" si="10"/>
        <v>1375.7699999999998</v>
      </c>
      <c r="AJ45" s="115">
        <f t="shared" si="10"/>
        <v>274.63</v>
      </c>
      <c r="AK45" s="115">
        <f t="shared" si="10"/>
        <v>826.71</v>
      </c>
      <c r="AL45" s="115">
        <f t="shared" si="10"/>
        <v>383.55</v>
      </c>
      <c r="AM45" s="115">
        <f t="shared" si="10"/>
        <v>4095.87</v>
      </c>
      <c r="AN45" s="115">
        <f t="shared" si="10"/>
        <v>8178.83</v>
      </c>
      <c r="AO45" s="115">
        <f t="shared" si="10"/>
        <v>804.05</v>
      </c>
      <c r="AP45" s="115">
        <f t="shared" si="10"/>
        <v>6031.139999999999</v>
      </c>
      <c r="AQ45" s="115">
        <f t="shared" si="10"/>
        <v>659.62</v>
      </c>
      <c r="AR45" s="115">
        <f t="shared" si="10"/>
        <v>281.55</v>
      </c>
      <c r="AS45" s="115">
        <f t="shared" si="10"/>
        <v>402.46999999999997</v>
      </c>
      <c r="AT45" s="121">
        <f t="shared" si="10"/>
        <v>1946.9699999999993</v>
      </c>
      <c r="AU45" s="121">
        <f t="shared" si="10"/>
        <v>63.740000000000016</v>
      </c>
      <c r="AV45" s="91"/>
      <c r="AW45" s="91"/>
      <c r="AX45" s="91"/>
    </row>
    <row r="46" spans="1:50" ht="11.25">
      <c r="A46" s="117" t="s">
        <v>168</v>
      </c>
      <c r="B46" s="95" t="s">
        <v>169</v>
      </c>
      <c r="C46" s="13">
        <f>D46+E46+F46</f>
        <v>148</v>
      </c>
      <c r="D46" s="16"/>
      <c r="E46" s="16"/>
      <c r="F46" s="16">
        <v>148</v>
      </c>
      <c r="G46" s="13">
        <f>H46+I46+J46</f>
        <v>3</v>
      </c>
      <c r="H46" s="16"/>
      <c r="I46" s="16"/>
      <c r="J46" s="16">
        <v>3</v>
      </c>
      <c r="K46" s="13">
        <f>L46+AG46+AH46</f>
        <v>19.22</v>
      </c>
      <c r="L46" s="16">
        <f>M46+N46+O46+P46</f>
        <v>17.47</v>
      </c>
      <c r="M46" s="16">
        <f aca="true" t="shared" si="11" ref="M46:O47">U46+Y46+AC46</f>
        <v>0.46</v>
      </c>
      <c r="N46" s="16">
        <f t="shared" si="11"/>
        <v>2.46</v>
      </c>
      <c r="O46" s="16">
        <f t="shared" si="11"/>
        <v>6.68</v>
      </c>
      <c r="P46" s="16">
        <f>X46+AB46</f>
        <v>7.87</v>
      </c>
      <c r="Q46" s="16"/>
      <c r="R46" s="16"/>
      <c r="S46" s="16"/>
      <c r="T46" s="16"/>
      <c r="U46" s="16"/>
      <c r="V46" s="16"/>
      <c r="W46" s="16"/>
      <c r="X46" s="16"/>
      <c r="Y46" s="16">
        <v>0.46</v>
      </c>
      <c r="Z46" s="16">
        <v>2.46</v>
      </c>
      <c r="AA46" s="16">
        <v>6.68</v>
      </c>
      <c r="AB46" s="16">
        <v>7.87</v>
      </c>
      <c r="AC46" s="16"/>
      <c r="AD46" s="16"/>
      <c r="AE46" s="16"/>
      <c r="AF46" s="16"/>
      <c r="AG46" s="16">
        <v>0.25</v>
      </c>
      <c r="AH46" s="16">
        <v>1.5</v>
      </c>
      <c r="AI46" s="10"/>
      <c r="AJ46" s="10"/>
      <c r="AK46" s="10">
        <v>5</v>
      </c>
      <c r="AL46" s="10">
        <v>10</v>
      </c>
      <c r="AM46" s="10"/>
      <c r="AN46" s="115">
        <f>AO46+AR46+AS46</f>
        <v>0</v>
      </c>
      <c r="AO46" s="10"/>
      <c r="AP46" s="10"/>
      <c r="AQ46" s="10"/>
      <c r="AR46" s="10"/>
      <c r="AS46" s="10"/>
      <c r="AT46" s="119">
        <v>17.8</v>
      </c>
      <c r="AU46" s="119">
        <f>L46-AT46</f>
        <v>-0.33000000000000185</v>
      </c>
      <c r="AV46" s="89"/>
      <c r="AW46" s="89"/>
      <c r="AX46" s="89"/>
    </row>
    <row r="47" spans="1:50" ht="11.25">
      <c r="A47" s="117" t="s">
        <v>170</v>
      </c>
      <c r="B47" s="95" t="s">
        <v>171</v>
      </c>
      <c r="C47" s="13">
        <f>D47+E47+F47</f>
        <v>228.66</v>
      </c>
      <c r="D47" s="16"/>
      <c r="E47" s="16"/>
      <c r="F47" s="16">
        <v>228.66</v>
      </c>
      <c r="G47" s="13">
        <f>H47+I47+J47</f>
        <v>9</v>
      </c>
      <c r="H47" s="16"/>
      <c r="I47" s="16"/>
      <c r="J47" s="16">
        <v>9</v>
      </c>
      <c r="K47" s="13">
        <f>L47+AG47+AH47</f>
        <v>27.189999999999998</v>
      </c>
      <c r="L47" s="16">
        <f>M47+N47+O47+P47</f>
        <v>22.939999999999998</v>
      </c>
      <c r="M47" s="16">
        <f t="shared" si="11"/>
        <v>1</v>
      </c>
      <c r="N47" s="16">
        <f t="shared" si="11"/>
        <v>2.92</v>
      </c>
      <c r="O47" s="16">
        <f t="shared" si="11"/>
        <v>6.92</v>
      </c>
      <c r="P47" s="16">
        <f>X47+AB47</f>
        <v>12.1</v>
      </c>
      <c r="Q47" s="16"/>
      <c r="R47" s="16"/>
      <c r="S47" s="16"/>
      <c r="T47" s="16"/>
      <c r="U47" s="16"/>
      <c r="V47" s="16"/>
      <c r="W47" s="16"/>
      <c r="X47" s="16"/>
      <c r="Y47" s="16">
        <v>1</v>
      </c>
      <c r="Z47" s="16">
        <v>2.92</v>
      </c>
      <c r="AA47" s="16">
        <v>6.92</v>
      </c>
      <c r="AB47" s="16">
        <v>12.1</v>
      </c>
      <c r="AC47" s="16"/>
      <c r="AD47" s="16"/>
      <c r="AE47" s="16"/>
      <c r="AF47" s="16"/>
      <c r="AG47" s="16">
        <v>2</v>
      </c>
      <c r="AH47" s="16">
        <v>2.25</v>
      </c>
      <c r="AI47" s="10"/>
      <c r="AJ47" s="10"/>
      <c r="AK47" s="10"/>
      <c r="AL47" s="10"/>
      <c r="AM47" s="10"/>
      <c r="AN47" s="115">
        <f>AO47+AR47+AS47</f>
        <v>0</v>
      </c>
      <c r="AO47" s="10"/>
      <c r="AP47" s="10"/>
      <c r="AQ47" s="10"/>
      <c r="AR47" s="10"/>
      <c r="AS47" s="10"/>
      <c r="AT47" s="119">
        <v>25.35</v>
      </c>
      <c r="AU47" s="119">
        <f>L47-AT47</f>
        <v>-2.4100000000000037</v>
      </c>
      <c r="AV47" s="89"/>
      <c r="AW47" s="89"/>
      <c r="AX47" s="89"/>
    </row>
    <row r="48" spans="1:50" ht="11.25">
      <c r="A48" s="9" t="s">
        <v>274</v>
      </c>
      <c r="B48" s="94"/>
      <c r="C48" s="13">
        <f aca="true" t="shared" si="12" ref="C48:AU48">SUM(C45:C47)</f>
        <v>19232.26</v>
      </c>
      <c r="D48" s="13">
        <f t="shared" si="12"/>
        <v>932.63</v>
      </c>
      <c r="E48" s="13">
        <f t="shared" si="12"/>
        <v>11887.56</v>
      </c>
      <c r="F48" s="13">
        <f t="shared" si="12"/>
        <v>6412.07</v>
      </c>
      <c r="G48" s="13">
        <f t="shared" si="12"/>
        <v>847.62</v>
      </c>
      <c r="H48" s="13">
        <f t="shared" si="12"/>
        <v>43.17</v>
      </c>
      <c r="I48" s="13">
        <f t="shared" si="12"/>
        <v>541.7199999999999</v>
      </c>
      <c r="J48" s="13">
        <f t="shared" si="12"/>
        <v>262.73</v>
      </c>
      <c r="K48" s="13">
        <f t="shared" si="12"/>
        <v>2803.963</v>
      </c>
      <c r="L48" s="13">
        <f t="shared" si="12"/>
        <v>2051.12</v>
      </c>
      <c r="M48" s="13">
        <f t="shared" si="12"/>
        <v>88.37</v>
      </c>
      <c r="N48" s="13">
        <f t="shared" si="12"/>
        <v>405.36999999999995</v>
      </c>
      <c r="O48" s="13">
        <f t="shared" si="12"/>
        <v>581.0099999999999</v>
      </c>
      <c r="P48" s="13">
        <f t="shared" si="12"/>
        <v>976.3699999999999</v>
      </c>
      <c r="Q48" s="13">
        <f t="shared" si="12"/>
        <v>3.9799999999999995</v>
      </c>
      <c r="R48" s="13">
        <f t="shared" si="12"/>
        <v>11.790000000000001</v>
      </c>
      <c r="S48" s="13">
        <f t="shared" si="12"/>
        <v>18.52</v>
      </c>
      <c r="T48" s="13">
        <f t="shared" si="12"/>
        <v>20.74</v>
      </c>
      <c r="U48" s="13">
        <f t="shared" si="12"/>
        <v>57.919999999999995</v>
      </c>
      <c r="V48" s="13">
        <f t="shared" si="12"/>
        <v>234.67</v>
      </c>
      <c r="W48" s="13">
        <f t="shared" si="12"/>
        <v>369.36999999999995</v>
      </c>
      <c r="X48" s="13">
        <f t="shared" si="12"/>
        <v>595.89</v>
      </c>
      <c r="Y48" s="13">
        <f t="shared" si="12"/>
        <v>26.470000000000002</v>
      </c>
      <c r="Z48" s="13">
        <f t="shared" si="12"/>
        <v>158.91</v>
      </c>
      <c r="AA48" s="13">
        <f t="shared" si="12"/>
        <v>193.12</v>
      </c>
      <c r="AB48" s="13">
        <f t="shared" si="12"/>
        <v>359.73999999999995</v>
      </c>
      <c r="AC48" s="13">
        <f t="shared" si="12"/>
        <v>0</v>
      </c>
      <c r="AD48" s="13">
        <f t="shared" si="12"/>
        <v>0</v>
      </c>
      <c r="AE48" s="13">
        <f t="shared" si="12"/>
        <v>0</v>
      </c>
      <c r="AF48" s="13">
        <f t="shared" si="12"/>
        <v>0</v>
      </c>
      <c r="AG48" s="13">
        <f t="shared" si="12"/>
        <v>184.75799999999998</v>
      </c>
      <c r="AH48" s="13">
        <f t="shared" si="12"/>
        <v>568.085</v>
      </c>
      <c r="AI48" s="115">
        <f t="shared" si="12"/>
        <v>1375.7699999999998</v>
      </c>
      <c r="AJ48" s="115">
        <f t="shared" si="12"/>
        <v>274.63</v>
      </c>
      <c r="AK48" s="115">
        <f t="shared" si="12"/>
        <v>831.71</v>
      </c>
      <c r="AL48" s="115">
        <f t="shared" si="12"/>
        <v>393.55</v>
      </c>
      <c r="AM48" s="115">
        <f t="shared" si="12"/>
        <v>4095.87</v>
      </c>
      <c r="AN48" s="115">
        <f t="shared" si="12"/>
        <v>8178.83</v>
      </c>
      <c r="AO48" s="115">
        <f t="shared" si="12"/>
        <v>804.05</v>
      </c>
      <c r="AP48" s="115">
        <f t="shared" si="12"/>
        <v>6031.139999999999</v>
      </c>
      <c r="AQ48" s="115">
        <f t="shared" si="12"/>
        <v>659.62</v>
      </c>
      <c r="AR48" s="115">
        <f t="shared" si="12"/>
        <v>281.55</v>
      </c>
      <c r="AS48" s="115">
        <f t="shared" si="12"/>
        <v>402.46999999999997</v>
      </c>
      <c r="AT48" s="119">
        <f t="shared" si="12"/>
        <v>1990.1199999999992</v>
      </c>
      <c r="AU48" s="119">
        <f t="shared" si="12"/>
        <v>61.00000000000001</v>
      </c>
      <c r="AV48" s="89"/>
      <c r="AW48" s="89"/>
      <c r="AX48" s="89"/>
    </row>
    <row r="49" spans="1:51" ht="11.25">
      <c r="A49" s="89"/>
      <c r="B49" s="89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1" t="s">
        <v>140</v>
      </c>
    </row>
    <row r="50" spans="3:33" ht="11.2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AG50" s="123"/>
    </row>
    <row r="51" spans="3:12" ht="11.25"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3:12" ht="11.25"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3:12" ht="11.25"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3:12" ht="11.25">
      <c r="C54" s="122"/>
      <c r="D54" s="122"/>
      <c r="E54" s="122"/>
      <c r="F54" s="122"/>
      <c r="G54" s="122"/>
      <c r="H54" s="122"/>
      <c r="I54" s="122"/>
      <c r="J54" s="122"/>
      <c r="K54" s="122"/>
      <c r="L54" s="122"/>
    </row>
    <row r="55" spans="3:12" ht="11.25"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1:34" ht="11.25">
      <c r="A56" s="89"/>
      <c r="B56" s="9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</row>
    <row r="57" spans="1:34" ht="11.25">
      <c r="A57" s="124"/>
      <c r="B57" s="89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</row>
    <row r="58" spans="1:34" ht="11.25">
      <c r="A58" s="93"/>
      <c r="B58" s="9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</row>
    <row r="59" spans="1:34" ht="11.25">
      <c r="A59" s="93"/>
      <c r="B59" s="9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</row>
    <row r="60" spans="1:34" ht="11.25">
      <c r="A60" s="90"/>
      <c r="B60" s="9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</row>
    <row r="61" spans="1:34" ht="11.25">
      <c r="A61" s="90"/>
      <c r="B61" s="9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</row>
    <row r="62" spans="1:34" ht="11.25">
      <c r="A62" s="90"/>
      <c r="B62" s="9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</row>
    <row r="63" spans="1:34" ht="11.25">
      <c r="A63" s="90"/>
      <c r="B63" s="9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</row>
    <row r="64" spans="1:34" ht="11.25">
      <c r="A64" s="90"/>
      <c r="B64" s="9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</row>
    <row r="65" spans="1:34" ht="11.25">
      <c r="A65" s="90"/>
      <c r="B65" s="9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</row>
    <row r="66" spans="1:34" ht="11.25">
      <c r="A66" s="90"/>
      <c r="B66" s="9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ht="11.25">
      <c r="A67" s="90"/>
      <c r="B67" s="9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</row>
    <row r="68" spans="1:34" ht="11.25">
      <c r="A68" s="93"/>
      <c r="B68" s="9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ht="11.25">
      <c r="A69" s="93"/>
      <c r="B69" s="9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ht="11.25">
      <c r="A70" s="93"/>
      <c r="B70" s="9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</row>
    <row r="71" spans="1:34" ht="11.25">
      <c r="A71" s="93"/>
      <c r="B71" s="9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</row>
    <row r="72" spans="1:34" ht="11.25">
      <c r="A72" s="93"/>
      <c r="B72" s="9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</row>
    <row r="73" spans="1:34" ht="11.25">
      <c r="A73" s="93"/>
      <c r="B73" s="93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</row>
    <row r="74" spans="1:34" ht="11.25">
      <c r="A74" s="93"/>
      <c r="B74" s="93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</row>
    <row r="75" spans="1:34" ht="11.25">
      <c r="A75" s="93"/>
      <c r="B75" s="93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</row>
    <row r="76" spans="1:34" ht="11.25">
      <c r="A76" s="93"/>
      <c r="B76" s="93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</row>
    <row r="77" spans="1:34" ht="11.25">
      <c r="A77" s="93"/>
      <c r="B77" s="93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</row>
    <row r="78" spans="1:34" ht="11.25">
      <c r="A78" s="93"/>
      <c r="B78" s="93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</row>
    <row r="79" spans="1:34" ht="11.25">
      <c r="A79" s="93"/>
      <c r="B79" s="93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</row>
    <row r="80" spans="1:34" ht="11.25">
      <c r="A80" s="91"/>
      <c r="B80" s="89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</row>
    <row r="81" spans="1:34" ht="11.25">
      <c r="A81" s="89"/>
      <c r="B81" s="89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</row>
    <row r="82" spans="1:34" ht="11.25">
      <c r="A82" s="89"/>
      <c r="B82" s="89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</row>
  </sheetData>
  <sheetProtection/>
  <mergeCells count="5">
    <mergeCell ref="AI4:AJ4"/>
    <mergeCell ref="L4:AH4"/>
    <mergeCell ref="AN4:AS4"/>
    <mergeCell ref="C4:F4"/>
    <mergeCell ref="G4:J4"/>
  </mergeCells>
  <printOptions verticalCentered="1"/>
  <pageMargins left="0.51" right="0" top="0.61" bottom="0" header="0.58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pane xSplit="1" ySplit="3" topLeftCell="B4" activePane="bottomRight" state="frozen"/>
      <selection pane="topLeft" activeCell="U1" sqref="U1:AL16384"/>
      <selection pane="topRight" activeCell="U1" sqref="U1:AL16384"/>
      <selection pane="bottomLeft" activeCell="U1" sqref="U1:AL16384"/>
      <selection pane="bottomRight" activeCell="M1" sqref="M1"/>
    </sheetView>
  </sheetViews>
  <sheetFormatPr defaultColWidth="9.00390625" defaultRowHeight="12.75"/>
  <cols>
    <col min="1" max="1" width="27.25390625" style="1" customWidth="1"/>
    <col min="2" max="2" width="9.00390625" style="1" customWidth="1"/>
    <col min="3" max="3" width="9.25390625" style="1" customWidth="1"/>
    <col min="4" max="4" width="11.25390625" style="1" customWidth="1"/>
    <col min="5" max="5" width="11.125" style="1" customWidth="1"/>
    <col min="6" max="6" width="10.875" style="1" customWidth="1"/>
    <col min="7" max="7" width="10.125" style="1" customWidth="1"/>
    <col min="8" max="8" width="10.625" style="1" customWidth="1"/>
    <col min="9" max="9" width="10.00390625" style="1" bestFit="1" customWidth="1"/>
    <col min="10" max="10" width="9.75390625" style="1" customWidth="1"/>
    <col min="11" max="11" width="10.25390625" style="1" customWidth="1"/>
    <col min="12" max="12" width="8.875" style="1" customWidth="1"/>
    <col min="13" max="13" width="7.75390625" style="1" customWidth="1"/>
    <col min="14" max="16384" width="9.125" style="1" customWidth="1"/>
  </cols>
  <sheetData>
    <row r="1" ht="11.25">
      <c r="M1" s="161" t="s">
        <v>335</v>
      </c>
    </row>
    <row r="2" spans="1:13" ht="47.25" customHeight="1">
      <c r="A2" s="174" t="s">
        <v>334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33.75">
      <c r="A3" s="2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6" t="s">
        <v>10</v>
      </c>
      <c r="L3" s="5" t="s">
        <v>11</v>
      </c>
      <c r="M3" s="5" t="s">
        <v>12</v>
      </c>
    </row>
    <row r="4" spans="1:13" ht="11.25">
      <c r="A4" s="7" t="s">
        <v>13</v>
      </c>
      <c r="B4" s="8">
        <v>22</v>
      </c>
      <c r="C4" s="9">
        <f aca="true" t="shared" si="0" ref="C4:C47">E4/B4/12</f>
        <v>2189.4</v>
      </c>
      <c r="D4" s="8">
        <v>582032</v>
      </c>
      <c r="E4" s="10">
        <v>577994.64</v>
      </c>
      <c r="F4" s="10">
        <v>425933.73</v>
      </c>
      <c r="G4" s="10">
        <v>30086.13</v>
      </c>
      <c r="H4" s="10">
        <v>67302.08</v>
      </c>
      <c r="I4" s="10">
        <v>9833.54</v>
      </c>
      <c r="J4" s="10">
        <v>3654</v>
      </c>
      <c r="K4" s="10">
        <v>0</v>
      </c>
      <c r="L4" s="10">
        <v>0</v>
      </c>
      <c r="M4" s="10">
        <v>0</v>
      </c>
    </row>
    <row r="5" spans="1:13" ht="11.25">
      <c r="A5" s="7" t="s">
        <v>14</v>
      </c>
      <c r="B5" s="8">
        <v>127</v>
      </c>
      <c r="C5" s="9">
        <f t="shared" si="0"/>
        <v>1989.5</v>
      </c>
      <c r="D5" s="8">
        <v>3059862</v>
      </c>
      <c r="E5" s="10">
        <v>3032028.53</v>
      </c>
      <c r="F5" s="10">
        <v>2007793.46</v>
      </c>
      <c r="G5" s="10">
        <v>120020.9</v>
      </c>
      <c r="H5" s="10">
        <v>305678.16</v>
      </c>
      <c r="I5" s="10">
        <v>44375.9</v>
      </c>
      <c r="J5" s="10">
        <v>56500</v>
      </c>
      <c r="K5" s="10">
        <v>298720.09</v>
      </c>
      <c r="L5" s="10">
        <v>3000</v>
      </c>
      <c r="M5" s="10">
        <v>18860.02</v>
      </c>
    </row>
    <row r="6" spans="1:13" ht="11.25">
      <c r="A6" s="7" t="s">
        <v>15</v>
      </c>
      <c r="B6" s="8">
        <v>67</v>
      </c>
      <c r="C6" s="9">
        <f t="shared" si="0"/>
        <v>2767.7</v>
      </c>
      <c r="D6" s="8">
        <v>2239219</v>
      </c>
      <c r="E6" s="10">
        <v>2225243.14</v>
      </c>
      <c r="F6" s="10">
        <v>1647604.39</v>
      </c>
      <c r="G6" s="10">
        <v>131564.01</v>
      </c>
      <c r="H6" s="10">
        <v>268116.01</v>
      </c>
      <c r="I6" s="10">
        <v>38570.14</v>
      </c>
      <c r="J6" s="10">
        <v>28243</v>
      </c>
      <c r="K6" s="10">
        <v>0</v>
      </c>
      <c r="L6" s="10">
        <v>0</v>
      </c>
      <c r="M6" s="10">
        <v>5000</v>
      </c>
    </row>
    <row r="7" spans="1:13" ht="11.25">
      <c r="A7" s="11" t="s">
        <v>16</v>
      </c>
      <c r="B7" s="12">
        <f>SUM(B4:B6)</f>
        <v>216</v>
      </c>
      <c r="C7" s="9">
        <f t="shared" si="0"/>
        <v>2251.3</v>
      </c>
      <c r="D7" s="12">
        <f aca="true" t="shared" si="1" ref="D7:M7">SUM(D4:D6)</f>
        <v>5881113</v>
      </c>
      <c r="E7" s="13">
        <f t="shared" si="1"/>
        <v>5835266.31</v>
      </c>
      <c r="F7" s="13">
        <f t="shared" si="1"/>
        <v>4081331.58</v>
      </c>
      <c r="G7" s="13">
        <f t="shared" si="1"/>
        <v>281671.04</v>
      </c>
      <c r="H7" s="13">
        <f t="shared" si="1"/>
        <v>641096.25</v>
      </c>
      <c r="I7" s="13">
        <f t="shared" si="1"/>
        <v>92779.58</v>
      </c>
      <c r="J7" s="13">
        <f t="shared" si="1"/>
        <v>88397</v>
      </c>
      <c r="K7" s="13">
        <f t="shared" si="1"/>
        <v>298720.09</v>
      </c>
      <c r="L7" s="13">
        <f t="shared" si="1"/>
        <v>3000</v>
      </c>
      <c r="M7" s="13">
        <f t="shared" si="1"/>
        <v>23860.02</v>
      </c>
    </row>
    <row r="8" spans="1:13" ht="11.25">
      <c r="A8" s="14" t="s">
        <v>13</v>
      </c>
      <c r="B8" s="15">
        <v>16</v>
      </c>
      <c r="C8" s="9">
        <f t="shared" si="0"/>
        <v>2595.8</v>
      </c>
      <c r="D8" s="15">
        <v>502814</v>
      </c>
      <c r="E8" s="16">
        <v>498398.48</v>
      </c>
      <c r="F8" s="16">
        <v>371533.83</v>
      </c>
      <c r="G8" s="16">
        <v>26109.9</v>
      </c>
      <c r="H8" s="16">
        <v>60174.5</v>
      </c>
      <c r="I8" s="16">
        <v>8059.94</v>
      </c>
      <c r="J8" s="16">
        <v>3869.85</v>
      </c>
      <c r="K8" s="16">
        <v>0</v>
      </c>
      <c r="L8" s="16">
        <v>0</v>
      </c>
      <c r="M8" s="16">
        <v>0</v>
      </c>
    </row>
    <row r="9" spans="1:13" ht="11.25">
      <c r="A9" s="14" t="s">
        <v>14</v>
      </c>
      <c r="B9" s="15">
        <v>74</v>
      </c>
      <c r="C9" s="9">
        <f t="shared" si="0"/>
        <v>2075.9</v>
      </c>
      <c r="D9" s="15">
        <v>1845449</v>
      </c>
      <c r="E9" s="16">
        <v>1843361.75</v>
      </c>
      <c r="F9" s="16">
        <v>1368927.54</v>
      </c>
      <c r="G9" s="16">
        <v>109860.63</v>
      </c>
      <c r="H9" s="16">
        <v>218839.48</v>
      </c>
      <c r="I9" s="16">
        <v>28683.35</v>
      </c>
      <c r="J9" s="16">
        <v>35350</v>
      </c>
      <c r="K9" s="16">
        <v>3341.58</v>
      </c>
      <c r="L9" s="16">
        <v>0</v>
      </c>
      <c r="M9" s="16">
        <v>0</v>
      </c>
    </row>
    <row r="10" spans="1:13" ht="11.25">
      <c r="A10" s="14" t="s">
        <v>15</v>
      </c>
      <c r="B10" s="15">
        <v>23</v>
      </c>
      <c r="C10" s="9">
        <f t="shared" si="0"/>
        <v>2462.5</v>
      </c>
      <c r="D10" s="15">
        <v>685630</v>
      </c>
      <c r="E10" s="16">
        <v>679663.64</v>
      </c>
      <c r="F10" s="16">
        <v>513216.65</v>
      </c>
      <c r="G10" s="16">
        <v>38818.2</v>
      </c>
      <c r="H10" s="16">
        <v>82748.26</v>
      </c>
      <c r="I10" s="16">
        <v>12073.98</v>
      </c>
      <c r="J10" s="16">
        <v>577</v>
      </c>
      <c r="K10" s="16">
        <v>0</v>
      </c>
      <c r="L10" s="16">
        <v>0</v>
      </c>
      <c r="M10" s="16">
        <v>0</v>
      </c>
    </row>
    <row r="11" spans="1:13" ht="11.25">
      <c r="A11" s="11" t="s">
        <v>17</v>
      </c>
      <c r="B11" s="12">
        <f>SUM(B8:B10)</f>
        <v>113</v>
      </c>
      <c r="C11" s="9">
        <f t="shared" si="0"/>
        <v>2228.2</v>
      </c>
      <c r="D11" s="12">
        <f aca="true" t="shared" si="2" ref="D11:M11">SUM(D8:D10)</f>
        <v>3033893</v>
      </c>
      <c r="E11" s="13">
        <f t="shared" si="2"/>
        <v>3021423.87</v>
      </c>
      <c r="F11" s="13">
        <f t="shared" si="2"/>
        <v>2253678.02</v>
      </c>
      <c r="G11" s="13">
        <f t="shared" si="2"/>
        <v>174788.73</v>
      </c>
      <c r="H11" s="13">
        <f t="shared" si="2"/>
        <v>361762.24</v>
      </c>
      <c r="I11" s="13">
        <f t="shared" si="2"/>
        <v>48817.27</v>
      </c>
      <c r="J11" s="13">
        <f t="shared" si="2"/>
        <v>39796.85</v>
      </c>
      <c r="K11" s="13">
        <f t="shared" si="2"/>
        <v>3341.58</v>
      </c>
      <c r="L11" s="13">
        <f t="shared" si="2"/>
        <v>0</v>
      </c>
      <c r="M11" s="13">
        <f t="shared" si="2"/>
        <v>0</v>
      </c>
    </row>
    <row r="12" spans="1:13" ht="11.25">
      <c r="A12" s="14" t="s">
        <v>18</v>
      </c>
      <c r="B12" s="15">
        <v>350</v>
      </c>
      <c r="C12" s="9">
        <f t="shared" si="0"/>
        <v>862.7</v>
      </c>
      <c r="D12" s="15">
        <v>3635971</v>
      </c>
      <c r="E12" s="16">
        <v>3623472.63</v>
      </c>
      <c r="F12" s="16">
        <v>2254567.97</v>
      </c>
      <c r="G12" s="16">
        <v>174317.52</v>
      </c>
      <c r="H12" s="16">
        <v>352082.5</v>
      </c>
      <c r="I12" s="16">
        <v>52383.7</v>
      </c>
      <c r="J12" s="16">
        <v>133792.19</v>
      </c>
      <c r="K12" s="16">
        <v>955.6</v>
      </c>
      <c r="L12" s="16">
        <v>65381.91</v>
      </c>
      <c r="M12" s="16">
        <v>0</v>
      </c>
    </row>
    <row r="13" spans="1:13" ht="11.25">
      <c r="A13" s="14" t="s">
        <v>19</v>
      </c>
      <c r="B13" s="15">
        <v>603</v>
      </c>
      <c r="C13" s="9">
        <f t="shared" si="0"/>
        <v>484.8</v>
      </c>
      <c r="D13" s="15">
        <v>3510658</v>
      </c>
      <c r="E13" s="16">
        <v>3508114.68</v>
      </c>
      <c r="F13" s="16">
        <v>2415810.83</v>
      </c>
      <c r="G13" s="16">
        <v>173169.38</v>
      </c>
      <c r="H13" s="16">
        <v>376365.22</v>
      </c>
      <c r="I13" s="16">
        <v>41728.89</v>
      </c>
      <c r="J13" s="16">
        <v>202765.26</v>
      </c>
      <c r="K13" s="16">
        <v>59059.54</v>
      </c>
      <c r="L13" s="16">
        <v>0</v>
      </c>
      <c r="M13" s="16">
        <v>0</v>
      </c>
    </row>
    <row r="14" spans="1:13" s="17" customFormat="1" ht="11.25">
      <c r="A14" s="14" t="s">
        <v>20</v>
      </c>
      <c r="B14" s="15">
        <v>564</v>
      </c>
      <c r="C14" s="9">
        <f t="shared" si="0"/>
        <v>705.4</v>
      </c>
      <c r="D14" s="15">
        <v>4820597</v>
      </c>
      <c r="E14" s="16">
        <v>4774252.13</v>
      </c>
      <c r="F14" s="16">
        <v>3314647.92</v>
      </c>
      <c r="G14" s="16">
        <v>253027.53</v>
      </c>
      <c r="H14" s="16">
        <v>524103.49</v>
      </c>
      <c r="I14" s="16">
        <v>69150.96</v>
      </c>
      <c r="J14" s="16">
        <v>232035</v>
      </c>
      <c r="K14" s="16">
        <v>70550.05</v>
      </c>
      <c r="L14" s="16">
        <v>0</v>
      </c>
      <c r="M14" s="16">
        <v>0</v>
      </c>
    </row>
    <row r="15" spans="1:13" s="17" customFormat="1" ht="11.25">
      <c r="A15" s="14" t="s">
        <v>21</v>
      </c>
      <c r="B15" s="15">
        <v>458</v>
      </c>
      <c r="C15" s="9">
        <f t="shared" si="0"/>
        <v>585.9</v>
      </c>
      <c r="D15" s="15">
        <v>3262800</v>
      </c>
      <c r="E15" s="16">
        <v>3220045.35</v>
      </c>
      <c r="F15" s="16">
        <v>2114350.81</v>
      </c>
      <c r="G15" s="16">
        <v>162587.96</v>
      </c>
      <c r="H15" s="16">
        <v>330410.22</v>
      </c>
      <c r="I15" s="16">
        <v>39324.12</v>
      </c>
      <c r="J15" s="16">
        <v>143822.41</v>
      </c>
      <c r="K15" s="16">
        <v>210627.94</v>
      </c>
      <c r="L15" s="16">
        <v>0</v>
      </c>
      <c r="M15" s="16">
        <v>0</v>
      </c>
    </row>
    <row r="16" spans="1:13" ht="11.25">
      <c r="A16" s="14" t="s">
        <v>22</v>
      </c>
      <c r="B16" s="15">
        <v>319</v>
      </c>
      <c r="C16" s="9">
        <f t="shared" si="0"/>
        <v>713.8</v>
      </c>
      <c r="D16" s="15">
        <v>2750781</v>
      </c>
      <c r="E16" s="16">
        <v>2732287.54</v>
      </c>
      <c r="F16" s="16">
        <v>1965898.85</v>
      </c>
      <c r="G16" s="16">
        <v>146884.92</v>
      </c>
      <c r="H16" s="16">
        <v>312799.03</v>
      </c>
      <c r="I16" s="16">
        <v>38555.41</v>
      </c>
      <c r="J16" s="16">
        <v>86520.92</v>
      </c>
      <c r="K16" s="16">
        <v>1922.16</v>
      </c>
      <c r="L16" s="16">
        <v>0</v>
      </c>
      <c r="M16" s="16">
        <v>0</v>
      </c>
    </row>
    <row r="17" spans="1:13" ht="11.25">
      <c r="A17" s="14" t="s">
        <v>23</v>
      </c>
      <c r="B17" s="15">
        <v>575</v>
      </c>
      <c r="C17" s="9">
        <f t="shared" si="0"/>
        <v>499</v>
      </c>
      <c r="D17" s="15">
        <v>3446150</v>
      </c>
      <c r="E17" s="16">
        <v>3443273.39</v>
      </c>
      <c r="F17" s="16">
        <v>2426008.46</v>
      </c>
      <c r="G17" s="16">
        <v>176415.44</v>
      </c>
      <c r="H17" s="16">
        <v>386808.72</v>
      </c>
      <c r="I17" s="16">
        <v>49459.87</v>
      </c>
      <c r="J17" s="16">
        <v>110030.8</v>
      </c>
      <c r="K17" s="16">
        <v>66813.15</v>
      </c>
      <c r="L17" s="16">
        <v>0</v>
      </c>
      <c r="M17" s="16">
        <v>0</v>
      </c>
    </row>
    <row r="18" spans="1:13" ht="11.25">
      <c r="A18" s="14" t="s">
        <v>24</v>
      </c>
      <c r="B18" s="15">
        <v>168</v>
      </c>
      <c r="C18" s="9">
        <f t="shared" si="0"/>
        <v>685.3</v>
      </c>
      <c r="D18" s="15">
        <v>1416719</v>
      </c>
      <c r="E18" s="16">
        <v>1381546.97</v>
      </c>
      <c r="F18" s="16">
        <v>896457.7</v>
      </c>
      <c r="G18" s="16">
        <v>64755.49</v>
      </c>
      <c r="H18" s="16">
        <v>141691</v>
      </c>
      <c r="I18" s="16">
        <v>20241.08</v>
      </c>
      <c r="J18" s="16">
        <v>54933</v>
      </c>
      <c r="K18" s="16">
        <v>45245.8</v>
      </c>
      <c r="L18" s="16">
        <v>0</v>
      </c>
      <c r="M18" s="16">
        <v>0</v>
      </c>
    </row>
    <row r="19" spans="1:13" ht="11.25">
      <c r="A19" s="14" t="s">
        <v>25</v>
      </c>
      <c r="B19" s="15">
        <v>493</v>
      </c>
      <c r="C19" s="9">
        <f t="shared" si="0"/>
        <v>506.8</v>
      </c>
      <c r="D19" s="15">
        <v>3004949</v>
      </c>
      <c r="E19" s="16">
        <v>2998306.79</v>
      </c>
      <c r="F19" s="16">
        <v>2053009.14</v>
      </c>
      <c r="G19" s="16">
        <v>152899.99</v>
      </c>
      <c r="H19" s="16">
        <v>322266.14</v>
      </c>
      <c r="I19" s="16">
        <v>39808.22</v>
      </c>
      <c r="J19" s="16">
        <v>84700</v>
      </c>
      <c r="K19" s="16">
        <v>57301.21</v>
      </c>
      <c r="L19" s="16">
        <v>0</v>
      </c>
      <c r="M19" s="16">
        <v>0</v>
      </c>
    </row>
    <row r="20" spans="1:13" s="17" customFormat="1" ht="11.25">
      <c r="A20" s="14" t="s">
        <v>26</v>
      </c>
      <c r="B20" s="15">
        <v>435</v>
      </c>
      <c r="C20" s="9">
        <f t="shared" si="0"/>
        <v>558.2</v>
      </c>
      <c r="D20" s="15">
        <v>2921215</v>
      </c>
      <c r="E20" s="16">
        <v>2913633.75</v>
      </c>
      <c r="F20" s="16">
        <v>1857508.46</v>
      </c>
      <c r="G20" s="16">
        <v>136594.86</v>
      </c>
      <c r="H20" s="16">
        <v>296730.7</v>
      </c>
      <c r="I20" s="16">
        <v>39477.26</v>
      </c>
      <c r="J20" s="16">
        <v>114870.33</v>
      </c>
      <c r="K20" s="16">
        <v>270740.36</v>
      </c>
      <c r="L20" s="16">
        <v>0</v>
      </c>
      <c r="M20" s="16">
        <v>0</v>
      </c>
    </row>
    <row r="21" spans="1:13" s="17" customFormat="1" ht="11.25">
      <c r="A21" s="14" t="s">
        <v>27</v>
      </c>
      <c r="B21" s="15">
        <v>239</v>
      </c>
      <c r="C21" s="9">
        <f t="shared" si="0"/>
        <v>625.2</v>
      </c>
      <c r="D21" s="15">
        <v>1795438</v>
      </c>
      <c r="E21" s="16">
        <v>1793063.7</v>
      </c>
      <c r="F21" s="16">
        <v>1246828.36</v>
      </c>
      <c r="G21" s="16">
        <v>96015.82</v>
      </c>
      <c r="H21" s="16">
        <v>200710.11</v>
      </c>
      <c r="I21" s="16">
        <v>29805.86</v>
      </c>
      <c r="J21" s="16">
        <v>120927.58</v>
      </c>
      <c r="K21" s="16">
        <v>0</v>
      </c>
      <c r="L21" s="16">
        <v>0</v>
      </c>
      <c r="M21" s="16">
        <v>0</v>
      </c>
    </row>
    <row r="22" spans="1:13" s="17" customFormat="1" ht="11.25">
      <c r="A22" s="14" t="s">
        <v>28</v>
      </c>
      <c r="B22" s="15">
        <v>268</v>
      </c>
      <c r="C22" s="9">
        <f t="shared" si="0"/>
        <v>906.8</v>
      </c>
      <c r="D22" s="15">
        <v>2951964</v>
      </c>
      <c r="E22" s="16">
        <v>2916195.78</v>
      </c>
      <c r="F22" s="16">
        <v>1851470.04</v>
      </c>
      <c r="G22" s="16">
        <v>126862.87</v>
      </c>
      <c r="H22" s="16">
        <v>291384.84</v>
      </c>
      <c r="I22" s="16">
        <v>42309.31</v>
      </c>
      <c r="J22" s="16">
        <v>134686.4</v>
      </c>
      <c r="K22" s="16">
        <v>706.8</v>
      </c>
      <c r="L22" s="16">
        <v>333637.52</v>
      </c>
      <c r="M22" s="16">
        <v>0</v>
      </c>
    </row>
    <row r="23" spans="1:13" s="17" customFormat="1" ht="11.25">
      <c r="A23" s="14" t="s">
        <v>29</v>
      </c>
      <c r="B23" s="15">
        <v>503</v>
      </c>
      <c r="C23" s="9">
        <f t="shared" si="0"/>
        <v>517.3</v>
      </c>
      <c r="D23" s="15">
        <v>3135073</v>
      </c>
      <c r="E23" s="16">
        <f>3113252.47+8995.3</f>
        <v>3122247.77</v>
      </c>
      <c r="F23" s="16">
        <v>2176213.35</v>
      </c>
      <c r="G23" s="16">
        <v>162041.86</v>
      </c>
      <c r="H23" s="16">
        <v>344933.36</v>
      </c>
      <c r="I23" s="16">
        <v>50575.2</v>
      </c>
      <c r="J23" s="16">
        <v>119635</v>
      </c>
      <c r="K23" s="16">
        <v>85536.5</v>
      </c>
      <c r="L23" s="16">
        <v>0</v>
      </c>
      <c r="M23" s="16">
        <v>0</v>
      </c>
    </row>
    <row r="24" spans="1:13" s="17" customFormat="1" ht="11.25">
      <c r="A24" s="14" t="s">
        <v>30</v>
      </c>
      <c r="B24" s="15">
        <v>336</v>
      </c>
      <c r="C24" s="9">
        <f t="shared" si="0"/>
        <v>200.9</v>
      </c>
      <c r="D24" s="15">
        <v>810321</v>
      </c>
      <c r="E24" s="16">
        <v>809901.96</v>
      </c>
      <c r="F24" s="16">
        <v>530202.39</v>
      </c>
      <c r="G24" s="16">
        <v>38276.2</v>
      </c>
      <c r="H24" s="16">
        <v>79863.29</v>
      </c>
      <c r="I24" s="16">
        <v>9316.57</v>
      </c>
      <c r="J24" s="16">
        <v>19675</v>
      </c>
      <c r="K24" s="16">
        <v>49906.82</v>
      </c>
      <c r="L24" s="16">
        <v>0</v>
      </c>
      <c r="M24" s="16">
        <v>0</v>
      </c>
    </row>
    <row r="25" spans="1:13" ht="11.25">
      <c r="A25" s="11" t="s">
        <v>31</v>
      </c>
      <c r="B25" s="12">
        <f>SUM(B12:B24)</f>
        <v>5311</v>
      </c>
      <c r="C25" s="9">
        <f t="shared" si="0"/>
        <v>584.3</v>
      </c>
      <c r="D25" s="12">
        <f aca="true" t="shared" si="3" ref="D25:M25">SUM(D12:D24)</f>
        <v>37462636</v>
      </c>
      <c r="E25" s="13">
        <f t="shared" si="3"/>
        <v>37236342.44</v>
      </c>
      <c r="F25" s="13">
        <f t="shared" si="3"/>
        <v>25102974.28</v>
      </c>
      <c r="G25" s="13">
        <f t="shared" si="3"/>
        <v>1863849.84</v>
      </c>
      <c r="H25" s="13">
        <f t="shared" si="3"/>
        <v>3960148.62</v>
      </c>
      <c r="I25" s="13">
        <f t="shared" si="3"/>
        <v>522136.45</v>
      </c>
      <c r="J25" s="13">
        <f t="shared" si="3"/>
        <v>1558393.89</v>
      </c>
      <c r="K25" s="13">
        <f t="shared" si="3"/>
        <v>919365.93</v>
      </c>
      <c r="L25" s="13">
        <f t="shared" si="3"/>
        <v>399019.43</v>
      </c>
      <c r="M25" s="13">
        <f t="shared" si="3"/>
        <v>0</v>
      </c>
    </row>
    <row r="26" spans="1:13" ht="11.25">
      <c r="A26" s="14" t="s">
        <v>13</v>
      </c>
      <c r="B26" s="15">
        <v>15</v>
      </c>
      <c r="C26" s="9">
        <f t="shared" si="0"/>
        <v>2083.4</v>
      </c>
      <c r="D26" s="15">
        <v>379179</v>
      </c>
      <c r="E26" s="16">
        <v>375017.38</v>
      </c>
      <c r="F26" s="16">
        <v>278577.49</v>
      </c>
      <c r="G26" s="16">
        <v>19445.72</v>
      </c>
      <c r="H26" s="16">
        <v>45238.7</v>
      </c>
      <c r="I26" s="16">
        <v>6397.47</v>
      </c>
      <c r="J26" s="16">
        <v>0</v>
      </c>
      <c r="K26" s="16">
        <v>7320</v>
      </c>
      <c r="L26" s="16">
        <v>0</v>
      </c>
      <c r="M26" s="16">
        <v>0</v>
      </c>
    </row>
    <row r="27" spans="1:13" ht="11.25">
      <c r="A27" s="14" t="s">
        <v>32</v>
      </c>
      <c r="B27" s="15">
        <v>26</v>
      </c>
      <c r="C27" s="9">
        <f t="shared" si="0"/>
        <v>1242.3</v>
      </c>
      <c r="D27" s="15">
        <v>388001</v>
      </c>
      <c r="E27" s="16">
        <v>387610.42</v>
      </c>
      <c r="F27" s="16">
        <v>296744.99</v>
      </c>
      <c r="G27" s="16">
        <v>18621.75</v>
      </c>
      <c r="H27" s="16">
        <v>46719</v>
      </c>
      <c r="I27" s="16">
        <v>4028.68</v>
      </c>
      <c r="J27" s="16">
        <v>0</v>
      </c>
      <c r="K27" s="16">
        <v>0</v>
      </c>
      <c r="L27" s="16">
        <v>0</v>
      </c>
      <c r="M27" s="16">
        <v>0</v>
      </c>
    </row>
    <row r="28" spans="1:13" s="21" customFormat="1" ht="21.75">
      <c r="A28" s="18" t="s">
        <v>33</v>
      </c>
      <c r="B28" s="19">
        <f>B26+B27</f>
        <v>41</v>
      </c>
      <c r="C28" s="9">
        <f t="shared" si="0"/>
        <v>1550.1</v>
      </c>
      <c r="D28" s="19">
        <f aca="true" t="shared" si="4" ref="D28:M28">D26+D27</f>
        <v>767180</v>
      </c>
      <c r="E28" s="20">
        <f t="shared" si="4"/>
        <v>762627.8</v>
      </c>
      <c r="F28" s="20">
        <f t="shared" si="4"/>
        <v>575322.48</v>
      </c>
      <c r="G28" s="20">
        <f t="shared" si="4"/>
        <v>38067.47</v>
      </c>
      <c r="H28" s="20">
        <f t="shared" si="4"/>
        <v>91957.7</v>
      </c>
      <c r="I28" s="20">
        <f t="shared" si="4"/>
        <v>10426.15</v>
      </c>
      <c r="J28" s="20">
        <f t="shared" si="4"/>
        <v>0</v>
      </c>
      <c r="K28" s="20">
        <f t="shared" si="4"/>
        <v>7320</v>
      </c>
      <c r="L28" s="20">
        <f t="shared" si="4"/>
        <v>0</v>
      </c>
      <c r="M28" s="20">
        <f t="shared" si="4"/>
        <v>0</v>
      </c>
    </row>
    <row r="29" spans="1:13" ht="11.25">
      <c r="A29" s="14" t="s">
        <v>34</v>
      </c>
      <c r="B29" s="15">
        <v>178</v>
      </c>
      <c r="C29" s="9">
        <f t="shared" si="0"/>
        <v>751.5</v>
      </c>
      <c r="D29" s="15">
        <v>1606773</v>
      </c>
      <c r="E29" s="16">
        <v>1605273.08</v>
      </c>
      <c r="F29" s="16">
        <v>1159761.12</v>
      </c>
      <c r="G29" s="16">
        <v>81307.16</v>
      </c>
      <c r="H29" s="16">
        <v>179822.32</v>
      </c>
      <c r="I29" s="16">
        <v>22947.73</v>
      </c>
      <c r="J29" s="16">
        <v>55000</v>
      </c>
      <c r="K29" s="16">
        <v>0</v>
      </c>
      <c r="L29" s="16">
        <v>0</v>
      </c>
      <c r="M29" s="16">
        <v>0</v>
      </c>
    </row>
    <row r="30" spans="1:13" s="24" customFormat="1" ht="11.25">
      <c r="A30" s="11" t="s">
        <v>35</v>
      </c>
      <c r="B30" s="22">
        <f>SUM(B29:B29)</f>
        <v>178</v>
      </c>
      <c r="C30" s="9">
        <f t="shared" si="0"/>
        <v>751.5</v>
      </c>
      <c r="D30" s="22">
        <f aca="true" t="shared" si="5" ref="D30:M30">SUM(D29:D29)</f>
        <v>1606773</v>
      </c>
      <c r="E30" s="23">
        <f t="shared" si="5"/>
        <v>1605273.08</v>
      </c>
      <c r="F30" s="23">
        <f t="shared" si="5"/>
        <v>1159761.12</v>
      </c>
      <c r="G30" s="23">
        <f t="shared" si="5"/>
        <v>81307.16</v>
      </c>
      <c r="H30" s="23">
        <f t="shared" si="5"/>
        <v>179822.32</v>
      </c>
      <c r="I30" s="23">
        <f t="shared" si="5"/>
        <v>22947.73</v>
      </c>
      <c r="J30" s="23">
        <f t="shared" si="5"/>
        <v>55000</v>
      </c>
      <c r="K30" s="23">
        <f t="shared" si="5"/>
        <v>0</v>
      </c>
      <c r="L30" s="23">
        <f t="shared" si="5"/>
        <v>0</v>
      </c>
      <c r="M30" s="23">
        <f t="shared" si="5"/>
        <v>0</v>
      </c>
    </row>
    <row r="31" spans="1:13" s="24" customFormat="1" ht="14.25" customHeight="1">
      <c r="A31" s="14" t="s">
        <v>36</v>
      </c>
      <c r="B31" s="15">
        <v>439</v>
      </c>
      <c r="C31" s="9">
        <f t="shared" si="0"/>
        <v>722.8</v>
      </c>
      <c r="D31" s="15">
        <v>3811074</v>
      </c>
      <c r="E31" s="16">
        <f>3806436.41+1500</f>
        <v>3807936.41</v>
      </c>
      <c r="F31" s="16">
        <v>2585623.25</v>
      </c>
      <c r="G31" s="16">
        <v>180891.14</v>
      </c>
      <c r="H31" s="16">
        <v>397159.17</v>
      </c>
      <c r="I31" s="16">
        <v>51901.17</v>
      </c>
      <c r="J31" s="16">
        <v>256733.09</v>
      </c>
      <c r="K31" s="16">
        <v>102178.74</v>
      </c>
      <c r="L31" s="16">
        <v>0</v>
      </c>
      <c r="M31" s="16">
        <v>0</v>
      </c>
    </row>
    <row r="32" spans="1:13" s="17" customFormat="1" ht="11.25">
      <c r="A32" s="14" t="s">
        <v>37</v>
      </c>
      <c r="B32" s="15">
        <v>356</v>
      </c>
      <c r="C32" s="9">
        <f t="shared" si="0"/>
        <v>482.2</v>
      </c>
      <c r="D32" s="15">
        <v>2078297</v>
      </c>
      <c r="E32" s="16">
        <v>2059976.09</v>
      </c>
      <c r="F32" s="16">
        <v>1470965.11</v>
      </c>
      <c r="G32" s="16">
        <v>110252.9</v>
      </c>
      <c r="H32" s="16">
        <v>230270.94</v>
      </c>
      <c r="I32" s="16">
        <v>27142.66</v>
      </c>
      <c r="J32" s="16">
        <v>81113</v>
      </c>
      <c r="K32" s="16">
        <v>0</v>
      </c>
      <c r="L32" s="16">
        <v>0</v>
      </c>
      <c r="M32" s="16">
        <v>0</v>
      </c>
    </row>
    <row r="33" spans="1:13" s="17" customFormat="1" ht="11.25">
      <c r="A33" s="14" t="s">
        <v>38</v>
      </c>
      <c r="B33" s="15">
        <v>598</v>
      </c>
      <c r="C33" s="9">
        <f t="shared" si="0"/>
        <v>651.9</v>
      </c>
      <c r="D33" s="15">
        <v>4704573</v>
      </c>
      <c r="E33" s="16">
        <v>4677993.57</v>
      </c>
      <c r="F33" s="16">
        <v>3159218.75</v>
      </c>
      <c r="G33" s="16">
        <v>231677.09</v>
      </c>
      <c r="H33" s="16">
        <v>494774.13</v>
      </c>
      <c r="I33" s="16">
        <v>43373.92</v>
      </c>
      <c r="J33" s="16">
        <v>290511.27</v>
      </c>
      <c r="K33" s="16">
        <v>93689.02</v>
      </c>
      <c r="L33" s="16">
        <v>0</v>
      </c>
      <c r="M33" s="16">
        <v>0</v>
      </c>
    </row>
    <row r="34" spans="1:13" s="17" customFormat="1" ht="11.25">
      <c r="A34" s="14" t="s">
        <v>39</v>
      </c>
      <c r="B34" s="15">
        <v>598</v>
      </c>
      <c r="C34" s="9">
        <f t="shared" si="0"/>
        <v>602.4</v>
      </c>
      <c r="D34" s="15">
        <v>4360897</v>
      </c>
      <c r="E34" s="16">
        <v>4322682.21</v>
      </c>
      <c r="F34" s="16">
        <v>3017312.82</v>
      </c>
      <c r="G34" s="16">
        <v>213005.39</v>
      </c>
      <c r="H34" s="16">
        <v>472288.23</v>
      </c>
      <c r="I34" s="16">
        <v>57540.12</v>
      </c>
      <c r="J34" s="16">
        <v>119385.58</v>
      </c>
      <c r="K34" s="16">
        <v>104335.57</v>
      </c>
      <c r="L34" s="16">
        <v>0</v>
      </c>
      <c r="M34" s="16">
        <v>0</v>
      </c>
    </row>
    <row r="35" spans="1:13" s="24" customFormat="1" ht="11.25">
      <c r="A35" s="14" t="s">
        <v>40</v>
      </c>
      <c r="B35" s="25">
        <v>608</v>
      </c>
      <c r="C35" s="9">
        <f t="shared" si="0"/>
        <v>447.5</v>
      </c>
      <c r="D35" s="15">
        <v>3279576</v>
      </c>
      <c r="E35" s="16">
        <v>3264852.61</v>
      </c>
      <c r="F35" s="16">
        <v>2185876.57</v>
      </c>
      <c r="G35" s="16">
        <v>154527.86</v>
      </c>
      <c r="H35" s="16">
        <v>343008.31</v>
      </c>
      <c r="I35" s="16">
        <v>42855.26</v>
      </c>
      <c r="J35" s="16">
        <v>200279.35</v>
      </c>
      <c r="K35" s="16">
        <v>132488</v>
      </c>
      <c r="L35" s="16">
        <v>0</v>
      </c>
      <c r="M35" s="16">
        <v>0</v>
      </c>
    </row>
    <row r="36" spans="1:13" s="17" customFormat="1" ht="11.25">
      <c r="A36" s="14" t="s">
        <v>34</v>
      </c>
      <c r="B36" s="15">
        <v>116</v>
      </c>
      <c r="C36" s="9">
        <f t="shared" si="0"/>
        <v>940.1</v>
      </c>
      <c r="D36" s="15">
        <v>1310384</v>
      </c>
      <c r="E36" s="16">
        <v>1308621.85</v>
      </c>
      <c r="F36" s="16">
        <v>902763.64</v>
      </c>
      <c r="G36" s="16">
        <v>68796</v>
      </c>
      <c r="H36" s="16">
        <v>138572.68</v>
      </c>
      <c r="I36" s="16">
        <v>17236.97</v>
      </c>
      <c r="J36" s="16">
        <v>20000</v>
      </c>
      <c r="K36" s="16">
        <v>79998.71</v>
      </c>
      <c r="L36" s="16">
        <v>0</v>
      </c>
      <c r="M36" s="16">
        <v>0</v>
      </c>
    </row>
    <row r="37" spans="1:13" s="17" customFormat="1" ht="11.25">
      <c r="A37" s="14" t="s">
        <v>41</v>
      </c>
      <c r="B37" s="15">
        <v>444</v>
      </c>
      <c r="C37" s="9">
        <f t="shared" si="0"/>
        <v>516.8</v>
      </c>
      <c r="D37" s="15">
        <v>2754277</v>
      </c>
      <c r="E37" s="16">
        <v>2753394.67</v>
      </c>
      <c r="F37" s="16">
        <v>1765946.38</v>
      </c>
      <c r="G37" s="16">
        <v>149319.83</v>
      </c>
      <c r="H37" s="16">
        <v>281999.31</v>
      </c>
      <c r="I37" s="16">
        <v>36000</v>
      </c>
      <c r="J37" s="16">
        <v>211268.53</v>
      </c>
      <c r="K37" s="16">
        <v>80923.07</v>
      </c>
      <c r="L37" s="16">
        <v>0</v>
      </c>
      <c r="M37" s="16">
        <v>0</v>
      </c>
    </row>
    <row r="38" spans="1:13" s="17" customFormat="1" ht="11.25">
      <c r="A38" s="14" t="s">
        <v>42</v>
      </c>
      <c r="B38" s="15">
        <v>265</v>
      </c>
      <c r="C38" s="9">
        <f t="shared" si="0"/>
        <v>537.9</v>
      </c>
      <c r="D38" s="15">
        <v>1737583</v>
      </c>
      <c r="E38" s="16">
        <v>1710461.77</v>
      </c>
      <c r="F38" s="16">
        <v>1131126.98</v>
      </c>
      <c r="G38" s="16">
        <v>81989.15</v>
      </c>
      <c r="H38" s="16">
        <v>133052.68</v>
      </c>
      <c r="I38" s="16">
        <v>19760.04</v>
      </c>
      <c r="J38" s="16">
        <v>165292.82</v>
      </c>
      <c r="K38" s="16">
        <v>78565.93</v>
      </c>
      <c r="L38" s="16">
        <v>0</v>
      </c>
      <c r="M38" s="16">
        <v>0</v>
      </c>
    </row>
    <row r="39" spans="1:13" s="17" customFormat="1" ht="11.25">
      <c r="A39" s="14" t="s">
        <v>43</v>
      </c>
      <c r="B39" s="15">
        <v>310</v>
      </c>
      <c r="C39" s="9">
        <f t="shared" si="0"/>
        <v>627.4</v>
      </c>
      <c r="D39" s="15">
        <v>2370955</v>
      </c>
      <c r="E39" s="16">
        <f>2330407.63+3500</f>
        <v>2333907.63</v>
      </c>
      <c r="F39" s="16">
        <v>1611737.93</v>
      </c>
      <c r="G39" s="16">
        <v>119950.82</v>
      </c>
      <c r="H39" s="16">
        <v>256028.64</v>
      </c>
      <c r="I39" s="16">
        <v>30187.75</v>
      </c>
      <c r="J39" s="16">
        <v>106423.89</v>
      </c>
      <c r="K39" s="16">
        <v>52279.89</v>
      </c>
      <c r="L39" s="16">
        <v>0</v>
      </c>
      <c r="M39" s="16">
        <v>0</v>
      </c>
    </row>
    <row r="40" spans="1:13" s="17" customFormat="1" ht="11.25">
      <c r="A40" s="14" t="s">
        <v>44</v>
      </c>
      <c r="B40" s="15">
        <v>453</v>
      </c>
      <c r="C40" s="9">
        <f t="shared" si="0"/>
        <v>553.4</v>
      </c>
      <c r="D40" s="15">
        <v>3026049</v>
      </c>
      <c r="E40" s="16">
        <f>1499.61+3006809.26</f>
        <v>3008308.87</v>
      </c>
      <c r="F40" s="16">
        <v>1962682.45</v>
      </c>
      <c r="G40" s="16">
        <v>138708.15</v>
      </c>
      <c r="H40" s="16">
        <v>302736.27</v>
      </c>
      <c r="I40" s="16">
        <v>44038.56</v>
      </c>
      <c r="J40" s="16">
        <v>91714.85</v>
      </c>
      <c r="K40" s="16">
        <v>177881.39</v>
      </c>
      <c r="L40" s="16">
        <v>0</v>
      </c>
      <c r="M40" s="16">
        <v>0</v>
      </c>
    </row>
    <row r="41" spans="1:13" s="17" customFormat="1" ht="11.25">
      <c r="A41" s="14" t="s">
        <v>30</v>
      </c>
      <c r="B41" s="15">
        <v>148</v>
      </c>
      <c r="C41" s="9">
        <f t="shared" si="0"/>
        <v>366.7</v>
      </c>
      <c r="D41" s="15">
        <v>652794</v>
      </c>
      <c r="E41" s="16">
        <v>651324.22</v>
      </c>
      <c r="F41" s="16">
        <v>447232.92</v>
      </c>
      <c r="G41" s="16">
        <v>37875.9</v>
      </c>
      <c r="H41" s="16">
        <v>74385.82</v>
      </c>
      <c r="I41" s="16">
        <v>8909.49</v>
      </c>
      <c r="J41" s="16">
        <v>27969</v>
      </c>
      <c r="K41" s="16">
        <v>0</v>
      </c>
      <c r="L41" s="16">
        <v>0</v>
      </c>
      <c r="M41" s="16">
        <v>0</v>
      </c>
    </row>
    <row r="42" spans="1:13" s="17" customFormat="1" ht="11.25">
      <c r="A42" s="11" t="s">
        <v>45</v>
      </c>
      <c r="B42" s="12">
        <f>SUM(B31:B41)</f>
        <v>4335</v>
      </c>
      <c r="C42" s="9">
        <f t="shared" si="0"/>
        <v>574.8</v>
      </c>
      <c r="D42" s="12">
        <f aca="true" t="shared" si="6" ref="D42:M42">SUM(D31:D41)</f>
        <v>30086459</v>
      </c>
      <c r="E42" s="13">
        <f t="shared" si="6"/>
        <v>29899459.9</v>
      </c>
      <c r="F42" s="13">
        <f t="shared" si="6"/>
        <v>20240486.8</v>
      </c>
      <c r="G42" s="13">
        <f t="shared" si="6"/>
        <v>1486994.23</v>
      </c>
      <c r="H42" s="13">
        <f t="shared" si="6"/>
        <v>3124276.18</v>
      </c>
      <c r="I42" s="13">
        <f t="shared" si="6"/>
        <v>378945.94</v>
      </c>
      <c r="J42" s="13">
        <f t="shared" si="6"/>
        <v>1570691.38</v>
      </c>
      <c r="K42" s="13">
        <f t="shared" si="6"/>
        <v>902340.32</v>
      </c>
      <c r="L42" s="13">
        <f t="shared" si="6"/>
        <v>0</v>
      </c>
      <c r="M42" s="13">
        <f t="shared" si="6"/>
        <v>0</v>
      </c>
    </row>
    <row r="43" spans="1:13" s="17" customFormat="1" ht="11.25">
      <c r="A43" s="11" t="s">
        <v>46</v>
      </c>
      <c r="B43" s="12">
        <v>318</v>
      </c>
      <c r="C43" s="9">
        <f t="shared" si="0"/>
        <v>865.4</v>
      </c>
      <c r="D43" s="12">
        <v>3316482</v>
      </c>
      <c r="E43" s="13">
        <v>3302497.52</v>
      </c>
      <c r="F43" s="13">
        <v>2425300.8</v>
      </c>
      <c r="G43" s="13">
        <v>181649.19</v>
      </c>
      <c r="H43" s="13">
        <v>382058.59</v>
      </c>
      <c r="I43" s="13">
        <v>43040.97</v>
      </c>
      <c r="J43" s="13">
        <v>60831.95</v>
      </c>
      <c r="K43" s="13">
        <v>2413</v>
      </c>
      <c r="L43" s="13">
        <v>0</v>
      </c>
      <c r="M43" s="13">
        <v>0</v>
      </c>
    </row>
    <row r="44" spans="1:13" s="26" customFormat="1" ht="11.25">
      <c r="A44" s="14" t="s">
        <v>47</v>
      </c>
      <c r="B44" s="25">
        <v>34</v>
      </c>
      <c r="C44" s="9">
        <f t="shared" si="0"/>
        <v>2501</v>
      </c>
      <c r="D44" s="15">
        <v>1021651</v>
      </c>
      <c r="E44" s="16">
        <v>1020427.36</v>
      </c>
      <c r="F44" s="16">
        <v>754151.5</v>
      </c>
      <c r="G44" s="16">
        <v>72477.13</v>
      </c>
      <c r="H44" s="16">
        <v>122388.62</v>
      </c>
      <c r="I44" s="16">
        <v>15081.77</v>
      </c>
      <c r="J44" s="16">
        <v>13000</v>
      </c>
      <c r="K44" s="16">
        <v>0</v>
      </c>
      <c r="L44" s="16">
        <v>0</v>
      </c>
      <c r="M44" s="16">
        <v>0</v>
      </c>
    </row>
    <row r="45" spans="1:13" s="24" customFormat="1" ht="11.25">
      <c r="A45" s="14" t="s">
        <v>48</v>
      </c>
      <c r="B45" s="25">
        <v>31</v>
      </c>
      <c r="C45" s="9">
        <f t="shared" si="0"/>
        <v>2827.4</v>
      </c>
      <c r="D45" s="15">
        <v>1058924</v>
      </c>
      <c r="E45" s="16">
        <v>1051797.19</v>
      </c>
      <c r="F45" s="16">
        <v>805161.67</v>
      </c>
      <c r="G45" s="16">
        <v>51277.6</v>
      </c>
      <c r="H45" s="16">
        <v>129169.5</v>
      </c>
      <c r="I45" s="16">
        <v>16294.3</v>
      </c>
      <c r="J45" s="16">
        <v>548</v>
      </c>
      <c r="K45" s="16">
        <v>0</v>
      </c>
      <c r="L45" s="16">
        <v>0</v>
      </c>
      <c r="M45" s="16">
        <v>0</v>
      </c>
    </row>
    <row r="46" spans="1:13" s="24" customFormat="1" ht="11.25">
      <c r="A46" s="14" t="s">
        <v>49</v>
      </c>
      <c r="B46" s="25">
        <v>30</v>
      </c>
      <c r="C46" s="9">
        <f t="shared" si="0"/>
        <v>2466.7</v>
      </c>
      <c r="D46" s="15">
        <v>889203</v>
      </c>
      <c r="E46" s="16">
        <v>888022.57</v>
      </c>
      <c r="F46" s="16">
        <v>615034</v>
      </c>
      <c r="G46" s="16">
        <v>53328.12</v>
      </c>
      <c r="H46" s="16">
        <v>100091</v>
      </c>
      <c r="I46" s="16">
        <v>11304.95</v>
      </c>
      <c r="J46" s="16">
        <v>66001.5</v>
      </c>
      <c r="K46" s="16">
        <v>0</v>
      </c>
      <c r="L46" s="16">
        <v>0</v>
      </c>
      <c r="M46" s="16">
        <v>0</v>
      </c>
    </row>
    <row r="47" spans="1:13" s="24" customFormat="1" ht="11.25">
      <c r="A47" s="11" t="s">
        <v>50</v>
      </c>
      <c r="B47" s="12">
        <f>SUM(B44:B46)</f>
        <v>95</v>
      </c>
      <c r="C47" s="9">
        <f t="shared" si="0"/>
        <v>2596.7</v>
      </c>
      <c r="D47" s="12">
        <f aca="true" t="shared" si="7" ref="D47:M47">SUM(D44:D46)</f>
        <v>2969778</v>
      </c>
      <c r="E47" s="13">
        <f t="shared" si="7"/>
        <v>2960247.12</v>
      </c>
      <c r="F47" s="13">
        <f t="shared" si="7"/>
        <v>2174347.17</v>
      </c>
      <c r="G47" s="13">
        <f t="shared" si="7"/>
        <v>177082.85</v>
      </c>
      <c r="H47" s="13">
        <f t="shared" si="7"/>
        <v>351649.12</v>
      </c>
      <c r="I47" s="13">
        <f t="shared" si="7"/>
        <v>42681.02</v>
      </c>
      <c r="J47" s="13">
        <f t="shared" si="7"/>
        <v>79549.5</v>
      </c>
      <c r="K47" s="13">
        <f t="shared" si="7"/>
        <v>0</v>
      </c>
      <c r="L47" s="13">
        <f t="shared" si="7"/>
        <v>0</v>
      </c>
      <c r="M47" s="13">
        <f t="shared" si="7"/>
        <v>0</v>
      </c>
    </row>
    <row r="48" spans="1:13" s="24" customFormat="1" ht="21.75">
      <c r="A48" s="18" t="s">
        <v>51</v>
      </c>
      <c r="B48" s="22">
        <v>0</v>
      </c>
      <c r="C48" s="9"/>
      <c r="D48" s="12">
        <v>98705</v>
      </c>
      <c r="E48" s="13">
        <v>93351.19</v>
      </c>
      <c r="F48" s="13">
        <v>54646.19</v>
      </c>
      <c r="G48" s="13">
        <v>0</v>
      </c>
      <c r="H48" s="13">
        <v>8362</v>
      </c>
      <c r="I48" s="13">
        <v>1093</v>
      </c>
      <c r="J48" s="13">
        <v>22152</v>
      </c>
      <c r="K48" s="13">
        <v>0</v>
      </c>
      <c r="L48" s="13">
        <v>0</v>
      </c>
      <c r="M48" s="13">
        <v>0</v>
      </c>
    </row>
    <row r="49" spans="1:13" s="24" customFormat="1" ht="21.75">
      <c r="A49" s="18" t="s">
        <v>52</v>
      </c>
      <c r="B49" s="12">
        <v>0</v>
      </c>
      <c r="C49" s="9"/>
      <c r="D49" s="12">
        <v>675563</v>
      </c>
      <c r="E49" s="13">
        <v>653765.03</v>
      </c>
      <c r="F49" s="13">
        <v>415609.85</v>
      </c>
      <c r="G49" s="13">
        <v>31685.49</v>
      </c>
      <c r="H49" s="13">
        <v>67458.31</v>
      </c>
      <c r="I49" s="13">
        <v>8722.58</v>
      </c>
      <c r="J49" s="13">
        <v>3931.2</v>
      </c>
      <c r="K49" s="13">
        <v>1458.76</v>
      </c>
      <c r="L49" s="13">
        <v>0</v>
      </c>
      <c r="M49" s="13">
        <v>0</v>
      </c>
    </row>
    <row r="50" spans="1:13" s="24" customFormat="1" ht="21.75">
      <c r="A50" s="18" t="s">
        <v>53</v>
      </c>
      <c r="B50" s="12">
        <v>0</v>
      </c>
      <c r="C50" s="9"/>
      <c r="D50" s="12">
        <v>109718</v>
      </c>
      <c r="E50" s="13">
        <v>106703.05</v>
      </c>
      <c r="F50" s="13">
        <v>81892.74</v>
      </c>
      <c r="G50" s="13">
        <v>5812.8</v>
      </c>
      <c r="H50" s="13">
        <v>12382.13</v>
      </c>
      <c r="I50" s="13">
        <v>1025.38</v>
      </c>
      <c r="J50" s="13">
        <v>2000</v>
      </c>
      <c r="K50" s="13">
        <v>0</v>
      </c>
      <c r="L50" s="13">
        <v>0</v>
      </c>
      <c r="M50" s="13">
        <v>0</v>
      </c>
    </row>
    <row r="51" spans="1:13" s="24" customFormat="1" ht="21.75">
      <c r="A51" s="18" t="s">
        <v>54</v>
      </c>
      <c r="B51" s="12">
        <v>7</v>
      </c>
      <c r="C51" s="9">
        <f>E51/B51/12</f>
        <v>4652.8</v>
      </c>
      <c r="D51" s="12">
        <v>391375</v>
      </c>
      <c r="E51" s="13">
        <v>390837.99</v>
      </c>
      <c r="F51" s="13">
        <v>286563.32</v>
      </c>
      <c r="G51" s="13">
        <v>18510.96</v>
      </c>
      <c r="H51" s="13">
        <v>45508.25</v>
      </c>
      <c r="I51" s="13">
        <v>7289.46</v>
      </c>
      <c r="J51" s="13">
        <v>2500</v>
      </c>
      <c r="K51" s="13">
        <v>0</v>
      </c>
      <c r="L51" s="13">
        <v>0</v>
      </c>
      <c r="M51" s="13">
        <v>0</v>
      </c>
    </row>
    <row r="52" spans="1:13" s="24" customFormat="1" ht="21.75">
      <c r="A52" s="18" t="s">
        <v>55</v>
      </c>
      <c r="B52" s="22">
        <v>0</v>
      </c>
      <c r="C52" s="9"/>
      <c r="D52" s="22">
        <v>171886</v>
      </c>
      <c r="E52" s="23">
        <v>171843.09</v>
      </c>
      <c r="F52" s="23">
        <v>132300.98</v>
      </c>
      <c r="G52" s="23">
        <v>8115.88</v>
      </c>
      <c r="H52" s="23">
        <v>19498.74</v>
      </c>
      <c r="I52" s="23">
        <v>3327.5</v>
      </c>
      <c r="J52" s="23">
        <v>3000</v>
      </c>
      <c r="K52" s="23">
        <v>0</v>
      </c>
      <c r="L52" s="23">
        <v>0</v>
      </c>
      <c r="M52" s="23">
        <v>0</v>
      </c>
    </row>
    <row r="53" spans="1:13" s="24" customFormat="1" ht="11.25">
      <c r="A53" s="14" t="s">
        <v>56</v>
      </c>
      <c r="B53" s="15">
        <v>10</v>
      </c>
      <c r="C53" s="9">
        <f>E53/B53/12</f>
        <v>7446.4</v>
      </c>
      <c r="D53" s="15">
        <v>900824</v>
      </c>
      <c r="E53" s="16">
        <v>893566.53</v>
      </c>
      <c r="F53" s="16">
        <v>321479.72</v>
      </c>
      <c r="G53" s="16">
        <v>24706.27</v>
      </c>
      <c r="H53" s="16">
        <v>51033.48</v>
      </c>
      <c r="I53" s="16">
        <v>4103.28</v>
      </c>
      <c r="J53" s="16">
        <v>80779.11</v>
      </c>
      <c r="K53" s="16">
        <v>302997.6</v>
      </c>
      <c r="L53" s="16">
        <v>26962</v>
      </c>
      <c r="M53" s="16">
        <v>7858.52</v>
      </c>
    </row>
    <row r="54" spans="1:13" ht="11.25">
      <c r="A54" s="14" t="s">
        <v>32</v>
      </c>
      <c r="B54" s="15">
        <v>14</v>
      </c>
      <c r="C54" s="9">
        <f>E54/B54/12</f>
        <v>4515.1</v>
      </c>
      <c r="D54" s="15">
        <v>761090</v>
      </c>
      <c r="E54" s="16">
        <v>758534.19</v>
      </c>
      <c r="F54" s="16">
        <v>405979.2</v>
      </c>
      <c r="G54" s="16">
        <v>26649.99</v>
      </c>
      <c r="H54" s="16">
        <v>63846.66</v>
      </c>
      <c r="I54" s="16">
        <v>10129.25</v>
      </c>
      <c r="J54" s="16">
        <v>85575</v>
      </c>
      <c r="K54" s="16">
        <v>59998.8</v>
      </c>
      <c r="L54" s="16">
        <v>0</v>
      </c>
      <c r="M54" s="16">
        <v>0</v>
      </c>
    </row>
    <row r="55" spans="1:13" ht="11.25">
      <c r="A55" s="11" t="s">
        <v>57</v>
      </c>
      <c r="B55" s="12">
        <f>B53+B54</f>
        <v>24</v>
      </c>
      <c r="C55" s="9">
        <f>E55/B55/12</f>
        <v>5736.5</v>
      </c>
      <c r="D55" s="12">
        <f aca="true" t="shared" si="8" ref="D55:M55">D53+D54</f>
        <v>1661914</v>
      </c>
      <c r="E55" s="13">
        <f t="shared" si="8"/>
        <v>1652100.72</v>
      </c>
      <c r="F55" s="13">
        <f t="shared" si="8"/>
        <v>727458.92</v>
      </c>
      <c r="G55" s="13">
        <f t="shared" si="8"/>
        <v>51356.26</v>
      </c>
      <c r="H55" s="13">
        <f t="shared" si="8"/>
        <v>114880.14</v>
      </c>
      <c r="I55" s="13">
        <f t="shared" si="8"/>
        <v>14232.53</v>
      </c>
      <c r="J55" s="13">
        <f t="shared" si="8"/>
        <v>166354.11</v>
      </c>
      <c r="K55" s="13">
        <f t="shared" si="8"/>
        <v>362996.4</v>
      </c>
      <c r="L55" s="13">
        <f t="shared" si="8"/>
        <v>26962</v>
      </c>
      <c r="M55" s="13">
        <f t="shared" si="8"/>
        <v>7858.52</v>
      </c>
    </row>
    <row r="56" spans="1:13" ht="21.75">
      <c r="A56" s="18" t="s">
        <v>58</v>
      </c>
      <c r="B56" s="12">
        <v>7</v>
      </c>
      <c r="C56" s="9">
        <f>E56/B56/12</f>
        <v>434.1</v>
      </c>
      <c r="D56" s="12">
        <v>36581</v>
      </c>
      <c r="E56" s="13">
        <v>36468.52</v>
      </c>
      <c r="F56" s="13">
        <v>24194.97</v>
      </c>
      <c r="G56" s="13">
        <v>1853</v>
      </c>
      <c r="H56" s="13">
        <v>5954.34</v>
      </c>
      <c r="I56" s="13">
        <v>656.7</v>
      </c>
      <c r="J56" s="13">
        <v>0</v>
      </c>
      <c r="K56" s="13">
        <v>0</v>
      </c>
      <c r="L56" s="13">
        <v>0</v>
      </c>
      <c r="M56" s="13">
        <v>0</v>
      </c>
    </row>
    <row r="57" spans="1:13" ht="11.25">
      <c r="A57" s="14" t="s">
        <v>59</v>
      </c>
      <c r="B57" s="15"/>
      <c r="C57" s="9"/>
      <c r="D57" s="15">
        <v>1426401</v>
      </c>
      <c r="E57" s="16">
        <v>1420912.26</v>
      </c>
      <c r="F57" s="16">
        <v>986356.62</v>
      </c>
      <c r="G57" s="16">
        <v>71691.2</v>
      </c>
      <c r="H57" s="16">
        <v>160160.81</v>
      </c>
      <c r="I57" s="16">
        <v>18145.19</v>
      </c>
      <c r="J57" s="16">
        <v>31412.8</v>
      </c>
      <c r="K57" s="16">
        <v>686.8</v>
      </c>
      <c r="L57" s="16">
        <v>0</v>
      </c>
      <c r="M57" s="16">
        <v>0</v>
      </c>
    </row>
    <row r="58" spans="1:13" ht="11.25">
      <c r="A58" s="14" t="s">
        <v>60</v>
      </c>
      <c r="B58" s="15"/>
      <c r="C58" s="9"/>
      <c r="D58" s="15">
        <v>1281497</v>
      </c>
      <c r="E58" s="16">
        <f>4999.13+1255078.57</f>
        <v>1260077.7</v>
      </c>
      <c r="F58" s="16">
        <v>855161.02</v>
      </c>
      <c r="G58" s="16">
        <v>62040.39</v>
      </c>
      <c r="H58" s="16">
        <v>139356.14</v>
      </c>
      <c r="I58" s="16">
        <v>18962.75</v>
      </c>
      <c r="J58" s="16">
        <v>30418.34</v>
      </c>
      <c r="K58" s="16">
        <v>2500</v>
      </c>
      <c r="L58" s="16">
        <v>0</v>
      </c>
      <c r="M58" s="16">
        <v>0</v>
      </c>
    </row>
    <row r="59" spans="1:13" ht="11.25">
      <c r="A59" s="14" t="s">
        <v>61</v>
      </c>
      <c r="B59" s="15"/>
      <c r="C59" s="9"/>
      <c r="D59" s="15">
        <v>1156841</v>
      </c>
      <c r="E59" s="16">
        <v>1154340.61</v>
      </c>
      <c r="F59" s="16">
        <v>823424.38</v>
      </c>
      <c r="G59" s="16">
        <v>58339.65</v>
      </c>
      <c r="H59" s="16">
        <v>128232.91</v>
      </c>
      <c r="I59" s="16">
        <v>13326.95</v>
      </c>
      <c r="J59" s="16">
        <v>15384.29</v>
      </c>
      <c r="K59" s="16">
        <v>899.8</v>
      </c>
      <c r="L59" s="16">
        <v>0</v>
      </c>
      <c r="M59" s="16">
        <v>0</v>
      </c>
    </row>
    <row r="60" spans="1:13" ht="11.25">
      <c r="A60" s="11" t="s">
        <v>62</v>
      </c>
      <c r="B60" s="12">
        <f>SUM(B57:B59)</f>
        <v>0</v>
      </c>
      <c r="C60" s="9"/>
      <c r="D60" s="12">
        <f aca="true" t="shared" si="9" ref="D60:M60">SUM(D57:D59)</f>
        <v>3864739</v>
      </c>
      <c r="E60" s="13">
        <f t="shared" si="9"/>
        <v>3835330.57</v>
      </c>
      <c r="F60" s="13">
        <f t="shared" si="9"/>
        <v>2664942.02</v>
      </c>
      <c r="G60" s="13">
        <f t="shared" si="9"/>
        <v>192071.24</v>
      </c>
      <c r="H60" s="13">
        <f t="shared" si="9"/>
        <v>427749.86</v>
      </c>
      <c r="I60" s="13">
        <f t="shared" si="9"/>
        <v>50434.89</v>
      </c>
      <c r="J60" s="13">
        <f t="shared" si="9"/>
        <v>77215.43</v>
      </c>
      <c r="K60" s="13">
        <f t="shared" si="9"/>
        <v>4086.6</v>
      </c>
      <c r="L60" s="13">
        <f t="shared" si="9"/>
        <v>0</v>
      </c>
      <c r="M60" s="13">
        <f t="shared" si="9"/>
        <v>0</v>
      </c>
    </row>
    <row r="61" spans="1:13" s="17" customFormat="1" ht="11.25">
      <c r="A61" s="11" t="s">
        <v>63</v>
      </c>
      <c r="B61" s="12"/>
      <c r="C61" s="9"/>
      <c r="D61" s="12">
        <v>1794070</v>
      </c>
      <c r="E61" s="13">
        <v>1781914.1</v>
      </c>
      <c r="F61" s="13">
        <v>1079934.77</v>
      </c>
      <c r="G61" s="13">
        <v>66651.36</v>
      </c>
      <c r="H61" s="13">
        <v>153587.66</v>
      </c>
      <c r="I61" s="13">
        <v>23092.98</v>
      </c>
      <c r="J61" s="13">
        <v>77996.37</v>
      </c>
      <c r="K61" s="13">
        <v>0</v>
      </c>
      <c r="L61" s="13">
        <v>20720.59</v>
      </c>
      <c r="M61" s="13">
        <v>6236.88</v>
      </c>
    </row>
    <row r="62" spans="1:13" ht="11.25">
      <c r="A62" s="14" t="s">
        <v>20</v>
      </c>
      <c r="B62" s="15">
        <v>134</v>
      </c>
      <c r="C62" s="9">
        <f>E62/B62/12</f>
        <v>637.6</v>
      </c>
      <c r="D62" s="15">
        <v>1039068</v>
      </c>
      <c r="E62" s="16">
        <v>1025218.16</v>
      </c>
      <c r="F62" s="16">
        <v>646563.45</v>
      </c>
      <c r="G62" s="16">
        <v>40774.05</v>
      </c>
      <c r="H62" s="16">
        <v>98215.83</v>
      </c>
      <c r="I62" s="16">
        <v>12473.93</v>
      </c>
      <c r="J62" s="16">
        <v>159025.9</v>
      </c>
      <c r="K62" s="16">
        <v>0</v>
      </c>
      <c r="L62" s="16">
        <v>0</v>
      </c>
      <c r="M62" s="16">
        <v>0</v>
      </c>
    </row>
    <row r="63" spans="1:13" ht="11.25">
      <c r="A63" s="14" t="s">
        <v>37</v>
      </c>
      <c r="B63" s="15">
        <v>83</v>
      </c>
      <c r="C63" s="9">
        <f>E63/B63/12</f>
        <v>906.6</v>
      </c>
      <c r="D63" s="15">
        <v>914520</v>
      </c>
      <c r="E63" s="16">
        <v>902981.75</v>
      </c>
      <c r="F63" s="16">
        <v>602920.43</v>
      </c>
      <c r="G63" s="16">
        <v>41176.54</v>
      </c>
      <c r="H63" s="16">
        <v>92493.09</v>
      </c>
      <c r="I63" s="16">
        <v>11888.67</v>
      </c>
      <c r="J63" s="16">
        <v>102062.16</v>
      </c>
      <c r="K63" s="16">
        <v>0</v>
      </c>
      <c r="L63" s="16">
        <v>0</v>
      </c>
      <c r="M63" s="16">
        <v>0</v>
      </c>
    </row>
    <row r="64" spans="1:13" ht="11.25">
      <c r="A64" s="11" t="s">
        <v>64</v>
      </c>
      <c r="B64" s="12">
        <f>SUM(B62:B63)</f>
        <v>217</v>
      </c>
      <c r="C64" s="9">
        <f>E64/B64/12</f>
        <v>740.5</v>
      </c>
      <c r="D64" s="12">
        <f aca="true" t="shared" si="10" ref="D64:M64">SUM(D62:D63)</f>
        <v>1953588</v>
      </c>
      <c r="E64" s="13">
        <f t="shared" si="10"/>
        <v>1928199.91</v>
      </c>
      <c r="F64" s="13">
        <f t="shared" si="10"/>
        <v>1249483.88</v>
      </c>
      <c r="G64" s="13">
        <f t="shared" si="10"/>
        <v>81950.59</v>
      </c>
      <c r="H64" s="13">
        <f t="shared" si="10"/>
        <v>190708.92</v>
      </c>
      <c r="I64" s="13">
        <f t="shared" si="10"/>
        <v>24362.6</v>
      </c>
      <c r="J64" s="13">
        <f t="shared" si="10"/>
        <v>261088.06</v>
      </c>
      <c r="K64" s="13">
        <f t="shared" si="10"/>
        <v>0</v>
      </c>
      <c r="L64" s="13">
        <f t="shared" si="10"/>
        <v>0</v>
      </c>
      <c r="M64" s="13">
        <f t="shared" si="10"/>
        <v>0</v>
      </c>
    </row>
    <row r="65" spans="1:13" ht="21.75">
      <c r="A65" s="18" t="s">
        <v>65</v>
      </c>
      <c r="B65" s="12"/>
      <c r="C65" s="9"/>
      <c r="D65" s="12">
        <v>430155</v>
      </c>
      <c r="E65" s="13">
        <v>422959.77</v>
      </c>
      <c r="F65" s="13">
        <v>328596.88</v>
      </c>
      <c r="G65" s="13">
        <v>23884.18</v>
      </c>
      <c r="H65" s="13">
        <v>49315.71</v>
      </c>
      <c r="I65" s="13">
        <v>7875.8</v>
      </c>
      <c r="J65" s="13">
        <v>0</v>
      </c>
      <c r="K65" s="13">
        <v>0</v>
      </c>
      <c r="L65" s="13">
        <v>0</v>
      </c>
      <c r="M65" s="13">
        <v>0</v>
      </c>
    </row>
    <row r="66" spans="1:13" ht="11.25">
      <c r="A66" s="11" t="s">
        <v>66</v>
      </c>
      <c r="B66" s="27">
        <f>B7+B11+B25+B28+B30+B42+B43+B47+B48+B49+B52+B55+B60+B61+B64+B65+B50+B56+B51</f>
        <v>10862</v>
      </c>
      <c r="C66" s="9">
        <f>E66/B66/12</f>
        <v>734.2</v>
      </c>
      <c r="D66" s="27">
        <f aca="true" t="shared" si="11" ref="D66:M66">D7+D11+D25+D28+D30+D42+D43+D47+D48+D49+D52+D55+D60+D61+D64+D65+D50+D56+D51</f>
        <v>96312608</v>
      </c>
      <c r="E66" s="28">
        <f t="shared" si="11"/>
        <v>95696611.98</v>
      </c>
      <c r="F66" s="28">
        <f t="shared" si="11"/>
        <v>65058826.77</v>
      </c>
      <c r="G66" s="28">
        <f t="shared" si="11"/>
        <v>4767302.27</v>
      </c>
      <c r="H66" s="28">
        <f t="shared" si="11"/>
        <v>10188177.08</v>
      </c>
      <c r="I66" s="28">
        <f t="shared" si="11"/>
        <v>1303888.53</v>
      </c>
      <c r="J66" s="28">
        <f t="shared" si="11"/>
        <v>4068897.74</v>
      </c>
      <c r="K66" s="28">
        <f t="shared" si="11"/>
        <v>2502042.68</v>
      </c>
      <c r="L66" s="28">
        <f t="shared" si="11"/>
        <v>449702.02</v>
      </c>
      <c r="M66" s="28">
        <f t="shared" si="11"/>
        <v>37955.42</v>
      </c>
    </row>
    <row r="67" spans="1:13" ht="11.25">
      <c r="A67" s="11" t="s">
        <v>67</v>
      </c>
      <c r="B67" s="29"/>
      <c r="C67" s="9"/>
      <c r="D67" s="30">
        <v>90690</v>
      </c>
      <c r="E67" s="30">
        <v>90690</v>
      </c>
      <c r="F67" s="8"/>
      <c r="G67" s="8"/>
      <c r="H67" s="8"/>
      <c r="I67" s="8"/>
      <c r="J67" s="8"/>
      <c r="K67" s="8"/>
      <c r="L67" s="31">
        <v>23785</v>
      </c>
      <c r="M67" s="8"/>
    </row>
    <row r="68" spans="1:13" ht="11.25">
      <c r="A68" s="11" t="s">
        <v>68</v>
      </c>
      <c r="B68" s="29"/>
      <c r="C68" s="29"/>
      <c r="D68" s="29">
        <v>65000</v>
      </c>
      <c r="E68" s="29">
        <v>65000</v>
      </c>
      <c r="F68" s="8"/>
      <c r="G68" s="8"/>
      <c r="H68" s="8"/>
      <c r="I68" s="8"/>
      <c r="J68" s="8"/>
      <c r="K68" s="8"/>
      <c r="L68" s="8"/>
      <c r="M68" s="8"/>
    </row>
    <row r="69" spans="1:13" ht="11.25">
      <c r="A69" s="32"/>
      <c r="F69" s="33"/>
      <c r="G69" s="33"/>
      <c r="H69" s="33"/>
      <c r="I69" s="33"/>
      <c r="J69" s="33"/>
      <c r="K69" s="33"/>
      <c r="L69" s="34"/>
      <c r="M69" s="33"/>
    </row>
    <row r="70" spans="1:13" ht="11.25">
      <c r="A70" s="32"/>
      <c r="F70" s="33"/>
      <c r="G70" s="33"/>
      <c r="H70" s="33"/>
      <c r="I70" s="33"/>
      <c r="J70" s="33"/>
      <c r="K70" s="33"/>
      <c r="L70" s="33"/>
      <c r="M70" s="33"/>
    </row>
    <row r="71" spans="1:13" ht="11.25">
      <c r="A71" s="32"/>
      <c r="F71" s="33"/>
      <c r="G71" s="33"/>
      <c r="H71" s="33"/>
      <c r="I71" s="33"/>
      <c r="J71" s="33"/>
      <c r="K71" s="33"/>
      <c r="L71" s="33"/>
      <c r="M71" s="33"/>
    </row>
    <row r="72" spans="1:13" ht="11.25">
      <c r="A72" s="32"/>
      <c r="F72" s="33"/>
      <c r="G72" s="33"/>
      <c r="H72" s="33"/>
      <c r="I72" s="33"/>
      <c r="J72" s="33"/>
      <c r="K72" s="33"/>
      <c r="L72" s="33"/>
      <c r="M72" s="33"/>
    </row>
    <row r="73" spans="1:13" ht="11.25">
      <c r="A73" s="32"/>
      <c r="F73" s="33"/>
      <c r="G73" s="33"/>
      <c r="H73" s="33"/>
      <c r="I73" s="33"/>
      <c r="J73" s="33"/>
      <c r="K73" s="33"/>
      <c r="L73" s="33"/>
      <c r="M73" s="33"/>
    </row>
    <row r="74" spans="1:13" ht="11.25">
      <c r="A74" s="32"/>
      <c r="F74" s="33"/>
      <c r="G74" s="33"/>
      <c r="H74" s="33"/>
      <c r="I74" s="33"/>
      <c r="J74" s="33"/>
      <c r="K74" s="33"/>
      <c r="L74" s="33"/>
      <c r="M74" s="33"/>
    </row>
    <row r="75" spans="1:13" ht="11.25">
      <c r="A75" s="32"/>
      <c r="F75" s="33"/>
      <c r="G75" s="33"/>
      <c r="H75" s="33"/>
      <c r="I75" s="33"/>
      <c r="J75" s="33"/>
      <c r="K75" s="33"/>
      <c r="L75" s="33"/>
      <c r="M75" s="33"/>
    </row>
    <row r="76" spans="1:13" ht="11.25">
      <c r="A76" s="32"/>
      <c r="F76" s="33"/>
      <c r="G76" s="33"/>
      <c r="H76" s="33"/>
      <c r="I76" s="33"/>
      <c r="J76" s="33"/>
      <c r="K76" s="33"/>
      <c r="L76" s="33"/>
      <c r="M76" s="33"/>
    </row>
    <row r="77" spans="1:13" ht="11.25">
      <c r="A77" s="32"/>
      <c r="F77" s="33"/>
      <c r="G77" s="33"/>
      <c r="H77" s="33"/>
      <c r="I77" s="33"/>
      <c r="J77" s="33"/>
      <c r="K77" s="33"/>
      <c r="L77" s="33"/>
      <c r="M77" s="33"/>
    </row>
    <row r="78" spans="1:13" ht="11.25">
      <c r="A78" s="32"/>
      <c r="F78" s="33"/>
      <c r="G78" s="33"/>
      <c r="H78" s="33"/>
      <c r="I78" s="33"/>
      <c r="J78" s="33"/>
      <c r="K78" s="33"/>
      <c r="L78" s="33"/>
      <c r="M78" s="33"/>
    </row>
    <row r="79" spans="1:13" ht="11.25">
      <c r="A79" s="32"/>
      <c r="F79" s="33"/>
      <c r="G79" s="33"/>
      <c r="H79" s="33"/>
      <c r="I79" s="33"/>
      <c r="J79" s="33"/>
      <c r="K79" s="33"/>
      <c r="L79" s="33"/>
      <c r="M79" s="33"/>
    </row>
    <row r="80" spans="1:13" ht="11.25">
      <c r="A80" s="32"/>
      <c r="F80" s="33"/>
      <c r="G80" s="33"/>
      <c r="H80" s="33"/>
      <c r="I80" s="33"/>
      <c r="J80" s="33"/>
      <c r="K80" s="33"/>
      <c r="L80" s="33"/>
      <c r="M80" s="33"/>
    </row>
    <row r="81" spans="1:13" ht="11.25">
      <c r="A81" s="32"/>
      <c r="F81" s="33"/>
      <c r="G81" s="33"/>
      <c r="H81" s="33"/>
      <c r="I81" s="33"/>
      <c r="J81" s="33"/>
      <c r="K81" s="33"/>
      <c r="L81" s="33"/>
      <c r="M81" s="33"/>
    </row>
    <row r="82" spans="1:13" ht="11.25">
      <c r="A82" s="32"/>
      <c r="F82" s="33"/>
      <c r="G82" s="33"/>
      <c r="H82" s="33"/>
      <c r="I82" s="33"/>
      <c r="J82" s="33"/>
      <c r="K82" s="33"/>
      <c r="L82" s="33"/>
      <c r="M82" s="33"/>
    </row>
    <row r="83" spans="1:13" ht="11.25">
      <c r="A83" s="32"/>
      <c r="F83" s="33"/>
      <c r="G83" s="33"/>
      <c r="H83" s="33"/>
      <c r="I83" s="33"/>
      <c r="J83" s="33"/>
      <c r="K83" s="33"/>
      <c r="L83" s="33"/>
      <c r="M83" s="33"/>
    </row>
    <row r="84" spans="1:13" ht="11.25">
      <c r="A84" s="32"/>
      <c r="F84" s="33"/>
      <c r="G84" s="33"/>
      <c r="H84" s="33"/>
      <c r="I84" s="33"/>
      <c r="J84" s="33"/>
      <c r="K84" s="33"/>
      <c r="L84" s="33"/>
      <c r="M84" s="33"/>
    </row>
    <row r="85" spans="1:13" ht="11.25">
      <c r="A85" s="32"/>
      <c r="F85" s="33"/>
      <c r="G85" s="33"/>
      <c r="H85" s="33"/>
      <c r="I85" s="33"/>
      <c r="J85" s="33"/>
      <c r="K85" s="33"/>
      <c r="L85" s="33"/>
      <c r="M85" s="33"/>
    </row>
    <row r="86" spans="1:13" ht="11.25">
      <c r="A86" s="32"/>
      <c r="F86" s="33"/>
      <c r="G86" s="33"/>
      <c r="H86" s="33"/>
      <c r="I86" s="33"/>
      <c r="J86" s="33"/>
      <c r="K86" s="33"/>
      <c r="L86" s="33"/>
      <c r="M86" s="33"/>
    </row>
    <row r="87" spans="1:13" ht="11.25">
      <c r="A87" s="32"/>
      <c r="F87" s="33"/>
      <c r="G87" s="33"/>
      <c r="H87" s="33"/>
      <c r="I87" s="33"/>
      <c r="J87" s="33"/>
      <c r="K87" s="33"/>
      <c r="L87" s="33"/>
      <c r="M87" s="33"/>
    </row>
    <row r="88" spans="6:13" ht="11.25">
      <c r="F88" s="33"/>
      <c r="G88" s="33"/>
      <c r="H88" s="33"/>
      <c r="I88" s="33"/>
      <c r="J88" s="33"/>
      <c r="K88" s="33"/>
      <c r="L88" s="33"/>
      <c r="M88" s="33"/>
    </row>
    <row r="89" spans="6:13" ht="11.25">
      <c r="F89" s="33"/>
      <c r="G89" s="33"/>
      <c r="H89" s="33"/>
      <c r="I89" s="33"/>
      <c r="J89" s="33"/>
      <c r="K89" s="33"/>
      <c r="L89" s="33"/>
      <c r="M89" s="33"/>
    </row>
    <row r="90" spans="6:13" ht="11.25">
      <c r="F90" s="33"/>
      <c r="G90" s="33"/>
      <c r="H90" s="33"/>
      <c r="I90" s="33"/>
      <c r="J90" s="33"/>
      <c r="K90" s="33"/>
      <c r="L90" s="33"/>
      <c r="M90" s="33"/>
    </row>
    <row r="91" spans="6:13" ht="11.25">
      <c r="F91" s="33"/>
      <c r="G91" s="33"/>
      <c r="H91" s="33"/>
      <c r="I91" s="33"/>
      <c r="J91" s="33"/>
      <c r="K91" s="33"/>
      <c r="L91" s="33"/>
      <c r="M91" s="33"/>
    </row>
    <row r="92" spans="6:13" ht="11.25">
      <c r="F92" s="33"/>
      <c r="G92" s="33"/>
      <c r="H92" s="33"/>
      <c r="I92" s="33"/>
      <c r="J92" s="33"/>
      <c r="K92" s="33"/>
      <c r="L92" s="33"/>
      <c r="M92" s="33"/>
    </row>
    <row r="93" spans="6:13" ht="11.25">
      <c r="F93" s="33"/>
      <c r="G93" s="33"/>
      <c r="H93" s="33"/>
      <c r="I93" s="33"/>
      <c r="J93" s="33"/>
      <c r="K93" s="33"/>
      <c r="L93" s="33"/>
      <c r="M93" s="33"/>
    </row>
    <row r="94" spans="6:13" ht="11.25">
      <c r="F94" s="33"/>
      <c r="G94" s="33"/>
      <c r="H94" s="33"/>
      <c r="I94" s="33"/>
      <c r="J94" s="33"/>
      <c r="K94" s="33"/>
      <c r="L94" s="33"/>
      <c r="M94" s="33"/>
    </row>
    <row r="95" spans="6:13" ht="11.25">
      <c r="F95" s="33"/>
      <c r="G95" s="33"/>
      <c r="H95" s="33"/>
      <c r="I95" s="33"/>
      <c r="J95" s="33"/>
      <c r="K95" s="33"/>
      <c r="L95" s="33"/>
      <c r="M95" s="33"/>
    </row>
    <row r="96" spans="6:13" ht="11.25">
      <c r="F96" s="33"/>
      <c r="G96" s="33"/>
      <c r="H96" s="33"/>
      <c r="I96" s="33"/>
      <c r="J96" s="33"/>
      <c r="K96" s="33"/>
      <c r="L96" s="33"/>
      <c r="M96" s="33"/>
    </row>
    <row r="97" spans="6:13" ht="11.25">
      <c r="F97" s="33"/>
      <c r="G97" s="33"/>
      <c r="H97" s="33"/>
      <c r="I97" s="33"/>
      <c r="J97" s="33"/>
      <c r="K97" s="33"/>
      <c r="L97" s="33"/>
      <c r="M97" s="33"/>
    </row>
    <row r="98" spans="6:13" ht="11.25">
      <c r="F98" s="33"/>
      <c r="G98" s="33"/>
      <c r="H98" s="33"/>
      <c r="I98" s="33"/>
      <c r="J98" s="33"/>
      <c r="K98" s="33"/>
      <c r="L98" s="33"/>
      <c r="M98" s="33"/>
    </row>
    <row r="99" spans="6:13" ht="11.25">
      <c r="F99" s="33"/>
      <c r="G99" s="33"/>
      <c r="H99" s="33"/>
      <c r="I99" s="33"/>
      <c r="J99" s="33"/>
      <c r="K99" s="33"/>
      <c r="L99" s="33"/>
      <c r="M99" s="33"/>
    </row>
    <row r="100" spans="6:13" ht="11.25">
      <c r="F100" s="33"/>
      <c r="G100" s="33"/>
      <c r="H100" s="33"/>
      <c r="I100" s="33"/>
      <c r="J100" s="33"/>
      <c r="K100" s="33"/>
      <c r="L100" s="33"/>
      <c r="M100" s="33"/>
    </row>
    <row r="101" spans="6:13" ht="11.25">
      <c r="F101" s="33"/>
      <c r="G101" s="33"/>
      <c r="H101" s="33"/>
      <c r="I101" s="33"/>
      <c r="J101" s="33"/>
      <c r="K101" s="33"/>
      <c r="L101" s="33"/>
      <c r="M101" s="33"/>
    </row>
    <row r="102" spans="6:13" ht="11.25">
      <c r="F102" s="33"/>
      <c r="G102" s="33"/>
      <c r="H102" s="33"/>
      <c r="I102" s="33"/>
      <c r="J102" s="33"/>
      <c r="K102" s="33"/>
      <c r="L102" s="33"/>
      <c r="M102" s="33"/>
    </row>
    <row r="103" spans="6:13" ht="11.25">
      <c r="F103" s="33"/>
      <c r="G103" s="33"/>
      <c r="H103" s="33"/>
      <c r="I103" s="33"/>
      <c r="J103" s="33"/>
      <c r="K103" s="33"/>
      <c r="L103" s="33"/>
      <c r="M103" s="33"/>
    </row>
  </sheetData>
  <mergeCells count="1">
    <mergeCell ref="A2:M2"/>
  </mergeCells>
  <printOptions/>
  <pageMargins left="0.54" right="0.41" top="0.8661417322834646" bottom="0.49" header="0" footer="0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5"/>
  <sheetViews>
    <sheetView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" sqref="K1"/>
    </sheetView>
  </sheetViews>
  <sheetFormatPr defaultColWidth="9.00390625" defaultRowHeight="12.75"/>
  <cols>
    <col min="1" max="1" width="29.125" style="36" customWidth="1"/>
    <col min="2" max="2" width="7.625" style="36" customWidth="1"/>
    <col min="3" max="3" width="7.00390625" style="36" customWidth="1"/>
    <col min="4" max="4" width="8.125" style="63" customWidth="1"/>
    <col min="5" max="5" width="7.00390625" style="36" customWidth="1"/>
    <col min="6" max="6" width="6.375" style="36" customWidth="1"/>
    <col min="7" max="7" width="6.25390625" style="36" customWidth="1"/>
    <col min="8" max="8" width="6.75390625" style="36" customWidth="1"/>
    <col min="9" max="9" width="6.125" style="36" customWidth="1"/>
    <col min="10" max="10" width="6.375" style="36" customWidth="1"/>
    <col min="11" max="11" width="7.875" style="36" bestFit="1" customWidth="1"/>
    <col min="12" max="12" width="9.75390625" style="36" hidden="1" customWidth="1"/>
    <col min="13" max="13" width="7.875" style="36" hidden="1" customWidth="1"/>
    <col min="14" max="14" width="9.25390625" style="36" hidden="1" customWidth="1"/>
    <col min="15" max="15" width="6.875" style="36" hidden="1" customWidth="1"/>
    <col min="16" max="16" width="8.25390625" style="36" hidden="1" customWidth="1"/>
    <col min="17" max="17" width="5.75390625" style="36" hidden="1" customWidth="1"/>
    <col min="18" max="18" width="8.75390625" style="36" hidden="1" customWidth="1"/>
    <col min="19" max="19" width="9.00390625" style="36" hidden="1" customWidth="1"/>
    <col min="20" max="20" width="9.375" style="36" hidden="1" customWidth="1"/>
    <col min="21" max="16384" width="9.125" style="36" customWidth="1"/>
  </cols>
  <sheetData>
    <row r="1" ht="12.75">
      <c r="K1" s="161" t="s">
        <v>337</v>
      </c>
    </row>
    <row r="2" spans="1:26" ht="39" customHeight="1">
      <c r="A2" s="174" t="s">
        <v>336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1" customFormat="1" ht="13.5" customHeight="1">
      <c r="A3" s="176" t="s">
        <v>69</v>
      </c>
      <c r="B3" s="179" t="s">
        <v>70</v>
      </c>
      <c r="C3" s="182" t="s">
        <v>71</v>
      </c>
      <c r="D3" s="37" t="s">
        <v>72</v>
      </c>
      <c r="E3" s="37"/>
      <c r="F3" s="37"/>
      <c r="G3" s="37"/>
      <c r="H3" s="37"/>
      <c r="I3" s="37"/>
      <c r="J3" s="37"/>
      <c r="K3" s="37"/>
      <c r="L3" s="38" t="s">
        <v>73</v>
      </c>
      <c r="M3" s="38"/>
      <c r="N3" s="175" t="s">
        <v>74</v>
      </c>
      <c r="O3" s="175"/>
      <c r="P3" s="175"/>
      <c r="Q3" s="175"/>
      <c r="R3" s="175"/>
      <c r="S3" s="175"/>
      <c r="T3" s="37" t="s">
        <v>75</v>
      </c>
      <c r="U3" s="33"/>
      <c r="V3" s="33"/>
      <c r="W3" s="33"/>
      <c r="X3" s="33"/>
      <c r="Y3" s="33"/>
      <c r="Z3" s="33"/>
    </row>
    <row r="4" spans="1:26" s="1" customFormat="1" ht="11.25">
      <c r="A4" s="177"/>
      <c r="B4" s="180"/>
      <c r="C4" s="183"/>
      <c r="D4" s="175" t="s">
        <v>76</v>
      </c>
      <c r="E4" s="175"/>
      <c r="F4" s="175"/>
      <c r="G4" s="175"/>
      <c r="H4" s="175"/>
      <c r="I4" s="38" t="s">
        <v>77</v>
      </c>
      <c r="J4" s="38" t="s">
        <v>78</v>
      </c>
      <c r="K4" s="38" t="s">
        <v>66</v>
      </c>
      <c r="L4" s="38"/>
      <c r="M4" s="175" t="s">
        <v>79</v>
      </c>
      <c r="N4" s="175"/>
      <c r="O4" s="175"/>
      <c r="P4" s="175"/>
      <c r="Q4" s="175"/>
      <c r="R4" s="175"/>
      <c r="S4" s="39" t="s">
        <v>80</v>
      </c>
      <c r="T4" s="38"/>
      <c r="U4" s="33"/>
      <c r="V4" s="33"/>
      <c r="W4" s="33"/>
      <c r="X4" s="33"/>
      <c r="Y4" s="33"/>
      <c r="Z4" s="33"/>
    </row>
    <row r="5" spans="1:26" s="1" customFormat="1" ht="21" customHeight="1">
      <c r="A5" s="178"/>
      <c r="B5" s="181"/>
      <c r="C5" s="184"/>
      <c r="D5" s="40"/>
      <c r="E5" s="38" t="s">
        <v>81</v>
      </c>
      <c r="F5" s="38" t="s">
        <v>82</v>
      </c>
      <c r="G5" s="38" t="s">
        <v>83</v>
      </c>
      <c r="H5" s="38" t="s">
        <v>84</v>
      </c>
      <c r="I5" s="8"/>
      <c r="J5" s="8"/>
      <c r="K5" s="8"/>
      <c r="L5" s="41" t="s">
        <v>85</v>
      </c>
      <c r="M5" s="42" t="s">
        <v>86</v>
      </c>
      <c r="N5" s="42" t="s">
        <v>87</v>
      </c>
      <c r="O5" s="42" t="s">
        <v>88</v>
      </c>
      <c r="P5" s="42" t="s">
        <v>89</v>
      </c>
      <c r="Q5" s="42" t="s">
        <v>90</v>
      </c>
      <c r="R5" s="42" t="s">
        <v>91</v>
      </c>
      <c r="S5" s="43" t="s">
        <v>92</v>
      </c>
      <c r="T5" s="31"/>
      <c r="U5" s="33"/>
      <c r="V5" s="33"/>
      <c r="W5" s="33"/>
      <c r="X5" s="33"/>
      <c r="Y5" s="33"/>
      <c r="Z5" s="33"/>
    </row>
    <row r="6" spans="1:26" ht="12.75">
      <c r="A6" s="7" t="s">
        <v>13</v>
      </c>
      <c r="B6" s="44">
        <v>22</v>
      </c>
      <c r="C6" s="45">
        <v>4</v>
      </c>
      <c r="D6" s="46">
        <f aca="true" t="shared" si="0" ref="D6:D37">E6+F6+G6+H6</f>
        <v>9.96</v>
      </c>
      <c r="E6" s="45">
        <v>0.43</v>
      </c>
      <c r="F6" s="45">
        <v>2.05</v>
      </c>
      <c r="G6" s="45">
        <v>3.81</v>
      </c>
      <c r="H6" s="45">
        <v>3.67</v>
      </c>
      <c r="I6" s="45">
        <v>0</v>
      </c>
      <c r="J6" s="45">
        <v>2</v>
      </c>
      <c r="K6" s="46">
        <f aca="true" t="shared" si="1" ref="K6:K37">J6+I6+D6</f>
        <v>11.96</v>
      </c>
      <c r="L6" s="47"/>
      <c r="M6" s="47">
        <v>186</v>
      </c>
      <c r="N6" s="47"/>
      <c r="O6" s="48"/>
      <c r="P6" s="48"/>
      <c r="Q6" s="48"/>
      <c r="R6" s="48">
        <v>15</v>
      </c>
      <c r="S6" s="48">
        <v>14</v>
      </c>
      <c r="T6" s="48">
        <f>M6+S6</f>
        <v>200</v>
      </c>
      <c r="U6" s="49"/>
      <c r="V6" s="49"/>
      <c r="W6" s="49"/>
      <c r="X6" s="35"/>
      <c r="Y6" s="35"/>
      <c r="Z6" s="35"/>
    </row>
    <row r="7" spans="1:26" ht="12.75">
      <c r="A7" s="7" t="s">
        <v>14</v>
      </c>
      <c r="B7" s="44">
        <v>127</v>
      </c>
      <c r="C7" s="45">
        <v>19</v>
      </c>
      <c r="D7" s="46">
        <f t="shared" si="0"/>
        <v>40.65</v>
      </c>
      <c r="E7" s="45">
        <v>2.14</v>
      </c>
      <c r="F7" s="45">
        <v>5.91</v>
      </c>
      <c r="G7" s="45">
        <v>11.56</v>
      </c>
      <c r="H7" s="45">
        <v>21.04</v>
      </c>
      <c r="I7" s="45">
        <v>2.75</v>
      </c>
      <c r="J7" s="45">
        <v>10</v>
      </c>
      <c r="K7" s="46">
        <f t="shared" si="1"/>
        <v>53.4</v>
      </c>
      <c r="L7" s="47"/>
      <c r="M7" s="47">
        <v>725</v>
      </c>
      <c r="N7" s="47"/>
      <c r="O7" s="48"/>
      <c r="P7" s="48">
        <v>43</v>
      </c>
      <c r="Q7" s="48">
        <v>5</v>
      </c>
      <c r="R7" s="48">
        <v>44</v>
      </c>
      <c r="S7" s="48">
        <v>3</v>
      </c>
      <c r="T7" s="48">
        <f>M7+S7</f>
        <v>728</v>
      </c>
      <c r="U7" s="49"/>
      <c r="V7" s="49"/>
      <c r="W7" s="49"/>
      <c r="X7" s="35"/>
      <c r="Y7" s="35"/>
      <c r="Z7" s="35"/>
    </row>
    <row r="8" spans="1:26" ht="12.75">
      <c r="A8" s="7" t="s">
        <v>15</v>
      </c>
      <c r="B8" s="44">
        <v>67</v>
      </c>
      <c r="C8" s="45">
        <v>13</v>
      </c>
      <c r="D8" s="46">
        <f t="shared" si="0"/>
        <v>33.02</v>
      </c>
      <c r="E8" s="45">
        <v>1.46</v>
      </c>
      <c r="F8" s="45">
        <v>9.63</v>
      </c>
      <c r="G8" s="45">
        <v>15.3</v>
      </c>
      <c r="H8" s="45">
        <v>6.63</v>
      </c>
      <c r="I8" s="45">
        <v>2</v>
      </c>
      <c r="J8" s="45">
        <v>11.16</v>
      </c>
      <c r="K8" s="46">
        <f t="shared" si="1"/>
        <v>46.18</v>
      </c>
      <c r="L8" s="47"/>
      <c r="M8" s="47">
        <v>621</v>
      </c>
      <c r="N8" s="47"/>
      <c r="O8" s="48"/>
      <c r="P8" s="48">
        <v>77</v>
      </c>
      <c r="Q8" s="48">
        <v>8</v>
      </c>
      <c r="R8" s="48">
        <v>5</v>
      </c>
      <c r="S8" s="48">
        <v>0</v>
      </c>
      <c r="T8" s="48">
        <f>M8+S8</f>
        <v>621</v>
      </c>
      <c r="U8" s="49"/>
      <c r="V8" s="49"/>
      <c r="W8" s="49"/>
      <c r="X8" s="35"/>
      <c r="Y8" s="35"/>
      <c r="Z8" s="35"/>
    </row>
    <row r="9" spans="1:26" ht="12.75">
      <c r="A9" s="11" t="s">
        <v>16</v>
      </c>
      <c r="B9" s="50">
        <f>SUM(B6:B8)</f>
        <v>216</v>
      </c>
      <c r="C9" s="50">
        <f>SUM(C6:C8)</f>
        <v>36</v>
      </c>
      <c r="D9" s="46">
        <f t="shared" si="0"/>
        <v>83.63</v>
      </c>
      <c r="E9" s="50">
        <f aca="true" t="shared" si="2" ref="E9:J9">SUM(E6:E8)</f>
        <v>4.03</v>
      </c>
      <c r="F9" s="50">
        <f t="shared" si="2"/>
        <v>17.59</v>
      </c>
      <c r="G9" s="50">
        <f t="shared" si="2"/>
        <v>30.67</v>
      </c>
      <c r="H9" s="50">
        <f t="shared" si="2"/>
        <v>31.34</v>
      </c>
      <c r="I9" s="50">
        <f t="shared" si="2"/>
        <v>4.75</v>
      </c>
      <c r="J9" s="50">
        <f t="shared" si="2"/>
        <v>23.16</v>
      </c>
      <c r="K9" s="46">
        <f t="shared" si="1"/>
        <v>111.54</v>
      </c>
      <c r="L9" s="51">
        <f aca="true" t="shared" si="3" ref="L9:T9">SUM(L6:L8)</f>
        <v>0</v>
      </c>
      <c r="M9" s="51">
        <f t="shared" si="3"/>
        <v>1532</v>
      </c>
      <c r="N9" s="51">
        <f t="shared" si="3"/>
        <v>0</v>
      </c>
      <c r="O9" s="51">
        <f t="shared" si="3"/>
        <v>0</v>
      </c>
      <c r="P9" s="51">
        <f t="shared" si="3"/>
        <v>120</v>
      </c>
      <c r="Q9" s="51">
        <f t="shared" si="3"/>
        <v>13</v>
      </c>
      <c r="R9" s="51">
        <f t="shared" si="3"/>
        <v>64</v>
      </c>
      <c r="S9" s="51">
        <f t="shared" si="3"/>
        <v>17</v>
      </c>
      <c r="T9" s="51">
        <f t="shared" si="3"/>
        <v>1549</v>
      </c>
      <c r="U9" s="49"/>
      <c r="V9" s="49"/>
      <c r="W9" s="49"/>
      <c r="X9" s="35"/>
      <c r="Y9" s="35"/>
      <c r="Z9" s="35"/>
    </row>
    <row r="10" spans="1:26" ht="17.25" customHeight="1">
      <c r="A10" s="7" t="s">
        <v>13</v>
      </c>
      <c r="B10" s="52">
        <v>16</v>
      </c>
      <c r="C10" s="53">
        <v>4</v>
      </c>
      <c r="D10" s="46">
        <f t="shared" si="0"/>
        <v>8.02</v>
      </c>
      <c r="E10" s="45">
        <v>0</v>
      </c>
      <c r="F10" s="45">
        <v>2.17</v>
      </c>
      <c r="G10" s="45">
        <v>1.76</v>
      </c>
      <c r="H10" s="45">
        <v>4.09</v>
      </c>
      <c r="I10" s="45">
        <v>1</v>
      </c>
      <c r="J10" s="45">
        <v>0.75</v>
      </c>
      <c r="K10" s="46">
        <f t="shared" si="1"/>
        <v>9.77</v>
      </c>
      <c r="L10" s="54"/>
      <c r="M10" s="55">
        <v>145</v>
      </c>
      <c r="N10" s="55"/>
      <c r="O10" s="55"/>
      <c r="P10" s="55"/>
      <c r="Q10" s="55"/>
      <c r="R10" s="55">
        <v>15</v>
      </c>
      <c r="S10" s="55">
        <v>9</v>
      </c>
      <c r="T10" s="48">
        <f>M10+S10</f>
        <v>154</v>
      </c>
      <c r="U10" s="49"/>
      <c r="V10" s="49"/>
      <c r="W10" s="49"/>
      <c r="X10" s="35"/>
      <c r="Y10" s="35"/>
      <c r="Z10" s="35"/>
    </row>
    <row r="11" spans="1:26" ht="12.75">
      <c r="A11" s="7" t="s">
        <v>14</v>
      </c>
      <c r="B11" s="44">
        <v>74</v>
      </c>
      <c r="C11" s="45">
        <v>10</v>
      </c>
      <c r="D11" s="46">
        <f t="shared" si="0"/>
        <v>27.74</v>
      </c>
      <c r="E11" s="45">
        <v>0.49</v>
      </c>
      <c r="F11" s="45">
        <v>3.59</v>
      </c>
      <c r="G11" s="45">
        <v>6.06</v>
      </c>
      <c r="H11" s="45">
        <v>17.6</v>
      </c>
      <c r="I11" s="45">
        <v>2.5</v>
      </c>
      <c r="J11" s="45">
        <v>4.75</v>
      </c>
      <c r="K11" s="46">
        <f t="shared" si="1"/>
        <v>34.99</v>
      </c>
      <c r="L11" s="47"/>
      <c r="M11" s="47">
        <v>491</v>
      </c>
      <c r="N11" s="47"/>
      <c r="O11" s="48"/>
      <c r="P11" s="48">
        <v>13</v>
      </c>
      <c r="Q11" s="48">
        <v>1</v>
      </c>
      <c r="R11" s="48">
        <v>50</v>
      </c>
      <c r="S11" s="48">
        <v>7</v>
      </c>
      <c r="T11" s="48">
        <f>M11+S11</f>
        <v>498</v>
      </c>
      <c r="U11" s="49"/>
      <c r="V11" s="49"/>
      <c r="W11" s="49"/>
      <c r="X11" s="35"/>
      <c r="Y11" s="35"/>
      <c r="Z11" s="35"/>
    </row>
    <row r="12" spans="1:26" ht="12.75">
      <c r="A12" s="7" t="s">
        <v>15</v>
      </c>
      <c r="B12" s="44">
        <v>23</v>
      </c>
      <c r="C12" s="45">
        <v>3</v>
      </c>
      <c r="D12" s="46">
        <f t="shared" si="0"/>
        <v>11.64</v>
      </c>
      <c r="E12" s="45">
        <v>0.67</v>
      </c>
      <c r="F12" s="45">
        <v>3.38</v>
      </c>
      <c r="G12" s="45">
        <v>3.58</v>
      </c>
      <c r="H12" s="45">
        <v>4.01</v>
      </c>
      <c r="I12" s="45">
        <v>1</v>
      </c>
      <c r="J12" s="45">
        <v>2.5</v>
      </c>
      <c r="K12" s="46">
        <f t="shared" si="1"/>
        <v>15.14</v>
      </c>
      <c r="L12" s="47"/>
      <c r="M12" s="47">
        <v>211</v>
      </c>
      <c r="N12" s="47"/>
      <c r="O12" s="48"/>
      <c r="P12" s="48">
        <v>37</v>
      </c>
      <c r="Q12" s="48">
        <v>5</v>
      </c>
      <c r="R12" s="48">
        <v>5</v>
      </c>
      <c r="S12" s="48">
        <v>0</v>
      </c>
      <c r="T12" s="48">
        <f>M12+S12</f>
        <v>211</v>
      </c>
      <c r="U12" s="49"/>
      <c r="V12" s="49"/>
      <c r="W12" s="49"/>
      <c r="X12" s="35"/>
      <c r="Y12" s="35"/>
      <c r="Z12" s="35"/>
    </row>
    <row r="13" spans="1:26" ht="12.75">
      <c r="A13" s="11" t="s">
        <v>17</v>
      </c>
      <c r="B13" s="50">
        <f>SUM(B10:B12)</f>
        <v>113</v>
      </c>
      <c r="C13" s="50">
        <f>SUM(C10:C12)</f>
        <v>17</v>
      </c>
      <c r="D13" s="46">
        <f t="shared" si="0"/>
        <v>47.4</v>
      </c>
      <c r="E13" s="50">
        <f aca="true" t="shared" si="4" ref="E13:J13">SUM(E10:E12)</f>
        <v>1.16</v>
      </c>
      <c r="F13" s="50">
        <f t="shared" si="4"/>
        <v>9.14</v>
      </c>
      <c r="G13" s="50">
        <f t="shared" si="4"/>
        <v>11.4</v>
      </c>
      <c r="H13" s="50">
        <f t="shared" si="4"/>
        <v>25.7</v>
      </c>
      <c r="I13" s="50">
        <f t="shared" si="4"/>
        <v>4.5</v>
      </c>
      <c r="J13" s="50">
        <f t="shared" si="4"/>
        <v>8</v>
      </c>
      <c r="K13" s="46">
        <f t="shared" si="1"/>
        <v>59.9</v>
      </c>
      <c r="L13" s="51">
        <f aca="true" t="shared" si="5" ref="L13:T13">SUM(L10:L12)</f>
        <v>0</v>
      </c>
      <c r="M13" s="51">
        <f t="shared" si="5"/>
        <v>847</v>
      </c>
      <c r="N13" s="51">
        <f t="shared" si="5"/>
        <v>0</v>
      </c>
      <c r="O13" s="51">
        <f t="shared" si="5"/>
        <v>0</v>
      </c>
      <c r="P13" s="51">
        <f t="shared" si="5"/>
        <v>50</v>
      </c>
      <c r="Q13" s="51">
        <f t="shared" si="5"/>
        <v>6</v>
      </c>
      <c r="R13" s="51">
        <f t="shared" si="5"/>
        <v>70</v>
      </c>
      <c r="S13" s="51">
        <f t="shared" si="5"/>
        <v>16</v>
      </c>
      <c r="T13" s="51">
        <f t="shared" si="5"/>
        <v>863</v>
      </c>
      <c r="U13" s="49"/>
      <c r="V13" s="49"/>
      <c r="W13" s="49"/>
      <c r="X13" s="35"/>
      <c r="Y13" s="35"/>
      <c r="Z13" s="35"/>
    </row>
    <row r="14" spans="1:26" ht="12.75">
      <c r="A14" s="7" t="s">
        <v>18</v>
      </c>
      <c r="B14" s="44">
        <v>350</v>
      </c>
      <c r="C14" s="45">
        <v>15</v>
      </c>
      <c r="D14" s="46">
        <f t="shared" si="0"/>
        <v>44.39</v>
      </c>
      <c r="E14" s="45">
        <v>1.33</v>
      </c>
      <c r="F14" s="45">
        <v>3.1</v>
      </c>
      <c r="G14" s="45">
        <v>17.76</v>
      </c>
      <c r="H14" s="45">
        <v>22.2</v>
      </c>
      <c r="I14" s="45">
        <v>5.9</v>
      </c>
      <c r="J14" s="45">
        <v>12.97</v>
      </c>
      <c r="K14" s="46">
        <f t="shared" si="1"/>
        <v>63.26</v>
      </c>
      <c r="L14" s="47"/>
      <c r="M14" s="47">
        <v>759</v>
      </c>
      <c r="N14" s="47"/>
      <c r="O14" s="48"/>
      <c r="P14" s="48">
        <v>25</v>
      </c>
      <c r="Q14" s="48">
        <v>4</v>
      </c>
      <c r="R14" s="48">
        <v>80</v>
      </c>
      <c r="S14" s="48">
        <v>40</v>
      </c>
      <c r="T14" s="48">
        <f aca="true" t="shared" si="6" ref="T14:T26">M14+S14</f>
        <v>799</v>
      </c>
      <c r="U14" s="49"/>
      <c r="V14" s="49"/>
      <c r="W14" s="49"/>
      <c r="X14" s="35"/>
      <c r="Y14" s="35"/>
      <c r="Z14" s="35"/>
    </row>
    <row r="15" spans="1:26" ht="12.75">
      <c r="A15" s="7" t="s">
        <v>19</v>
      </c>
      <c r="B15" s="44">
        <v>603</v>
      </c>
      <c r="C15" s="53">
        <v>18</v>
      </c>
      <c r="D15" s="46">
        <f t="shared" si="0"/>
        <v>47.7</v>
      </c>
      <c r="E15" s="45">
        <v>2.06</v>
      </c>
      <c r="F15" s="45">
        <v>3.54</v>
      </c>
      <c r="G15" s="45">
        <v>15.74</v>
      </c>
      <c r="H15" s="45">
        <v>26.36</v>
      </c>
      <c r="I15" s="45">
        <v>5.45</v>
      </c>
      <c r="J15" s="45">
        <v>12</v>
      </c>
      <c r="K15" s="46">
        <f t="shared" si="1"/>
        <v>65.15</v>
      </c>
      <c r="L15" s="54"/>
      <c r="M15" s="55">
        <v>814</v>
      </c>
      <c r="N15" s="55">
        <v>50</v>
      </c>
      <c r="O15" s="55"/>
      <c r="P15" s="55"/>
      <c r="Q15" s="55"/>
      <c r="R15" s="55">
        <v>62</v>
      </c>
      <c r="S15" s="55">
        <v>18</v>
      </c>
      <c r="T15" s="48">
        <f t="shared" si="6"/>
        <v>832</v>
      </c>
      <c r="U15" s="49"/>
      <c r="V15" s="49"/>
      <c r="W15" s="49"/>
      <c r="X15" s="35"/>
      <c r="Y15" s="35"/>
      <c r="Z15" s="35"/>
    </row>
    <row r="16" spans="1:26" ht="12.75">
      <c r="A16" s="7" t="s">
        <v>20</v>
      </c>
      <c r="B16" s="44">
        <v>564</v>
      </c>
      <c r="C16" s="45">
        <v>17</v>
      </c>
      <c r="D16" s="46">
        <f t="shared" si="0"/>
        <v>67.56</v>
      </c>
      <c r="E16" s="45">
        <v>2.04</v>
      </c>
      <c r="F16" s="45">
        <v>8.59</v>
      </c>
      <c r="G16" s="45">
        <v>14.72</v>
      </c>
      <c r="H16" s="45">
        <v>42.21</v>
      </c>
      <c r="I16" s="45">
        <v>5.91</v>
      </c>
      <c r="J16" s="45">
        <v>11.59</v>
      </c>
      <c r="K16" s="46">
        <f t="shared" si="1"/>
        <v>85.06</v>
      </c>
      <c r="L16" s="47"/>
      <c r="M16" s="47">
        <v>1050</v>
      </c>
      <c r="N16" s="47">
        <v>46</v>
      </c>
      <c r="O16" s="48">
        <v>137</v>
      </c>
      <c r="P16" s="48"/>
      <c r="Q16" s="48"/>
      <c r="R16" s="48">
        <v>129</v>
      </c>
      <c r="S16" s="48">
        <v>170</v>
      </c>
      <c r="T16" s="48">
        <f t="shared" si="6"/>
        <v>1220</v>
      </c>
      <c r="U16" s="49"/>
      <c r="V16" s="49"/>
      <c r="W16" s="49"/>
      <c r="X16" s="35"/>
      <c r="Y16" s="35"/>
      <c r="Z16" s="35"/>
    </row>
    <row r="17" spans="1:26" ht="12.75">
      <c r="A17" s="7" t="s">
        <v>21</v>
      </c>
      <c r="B17" s="44">
        <v>458</v>
      </c>
      <c r="C17" s="45">
        <v>18</v>
      </c>
      <c r="D17" s="46">
        <f t="shared" si="0"/>
        <v>39.53</v>
      </c>
      <c r="E17" s="45">
        <v>0</v>
      </c>
      <c r="F17" s="45">
        <v>2.03</v>
      </c>
      <c r="G17" s="45">
        <v>11.22</v>
      </c>
      <c r="H17" s="45">
        <v>26.28</v>
      </c>
      <c r="I17" s="45">
        <v>4.19</v>
      </c>
      <c r="J17" s="45">
        <v>10.25</v>
      </c>
      <c r="K17" s="46">
        <f t="shared" si="1"/>
        <v>53.97</v>
      </c>
      <c r="L17" s="47"/>
      <c r="M17" s="47">
        <v>639</v>
      </c>
      <c r="N17" s="47"/>
      <c r="O17" s="48"/>
      <c r="P17" s="48">
        <v>3</v>
      </c>
      <c r="Q17" s="48">
        <v>1</v>
      </c>
      <c r="R17" s="48">
        <v>80</v>
      </c>
      <c r="S17" s="48">
        <v>10</v>
      </c>
      <c r="T17" s="48">
        <f t="shared" si="6"/>
        <v>649</v>
      </c>
      <c r="U17" s="49"/>
      <c r="V17" s="49"/>
      <c r="W17" s="49"/>
      <c r="X17" s="35"/>
      <c r="Y17" s="35"/>
      <c r="Z17" s="35"/>
    </row>
    <row r="18" spans="1:26" ht="12.75">
      <c r="A18" s="7" t="s">
        <v>22</v>
      </c>
      <c r="B18" s="44">
        <v>319</v>
      </c>
      <c r="C18" s="45">
        <v>14</v>
      </c>
      <c r="D18" s="46">
        <f t="shared" si="0"/>
        <v>40.3</v>
      </c>
      <c r="E18" s="45">
        <v>0.69</v>
      </c>
      <c r="F18" s="45">
        <v>7.31</v>
      </c>
      <c r="G18" s="45">
        <v>9.87</v>
      </c>
      <c r="H18" s="45">
        <v>22.43</v>
      </c>
      <c r="I18" s="45">
        <v>4.5</v>
      </c>
      <c r="J18" s="45">
        <v>9.7</v>
      </c>
      <c r="K18" s="46">
        <f t="shared" si="1"/>
        <v>54.5</v>
      </c>
      <c r="L18" s="47"/>
      <c r="M18" s="47">
        <v>730</v>
      </c>
      <c r="N18" s="47"/>
      <c r="O18" s="48"/>
      <c r="P18" s="48">
        <v>99</v>
      </c>
      <c r="Q18" s="48">
        <v>7</v>
      </c>
      <c r="R18" s="48">
        <v>80</v>
      </c>
      <c r="S18" s="48">
        <v>29</v>
      </c>
      <c r="T18" s="48">
        <f t="shared" si="6"/>
        <v>759</v>
      </c>
      <c r="U18" s="49"/>
      <c r="V18" s="49"/>
      <c r="W18" s="49"/>
      <c r="X18" s="35"/>
      <c r="Y18" s="35"/>
      <c r="Z18" s="35"/>
    </row>
    <row r="19" spans="1:26" ht="12.75">
      <c r="A19" s="7" t="s">
        <v>23</v>
      </c>
      <c r="B19" s="44">
        <v>575</v>
      </c>
      <c r="C19" s="45">
        <v>18</v>
      </c>
      <c r="D19" s="46">
        <f t="shared" si="0"/>
        <v>53.23</v>
      </c>
      <c r="E19" s="45">
        <v>1.52</v>
      </c>
      <c r="F19" s="45">
        <v>6.23</v>
      </c>
      <c r="G19" s="45">
        <v>5.36</v>
      </c>
      <c r="H19" s="45">
        <v>40.12</v>
      </c>
      <c r="I19" s="45">
        <v>4.25</v>
      </c>
      <c r="J19" s="45">
        <v>10.45</v>
      </c>
      <c r="K19" s="46">
        <f t="shared" si="1"/>
        <v>67.93</v>
      </c>
      <c r="L19" s="47"/>
      <c r="M19" s="47">
        <v>889</v>
      </c>
      <c r="N19" s="47"/>
      <c r="O19" s="48"/>
      <c r="P19" s="48">
        <v>13</v>
      </c>
      <c r="Q19" s="48">
        <v>1</v>
      </c>
      <c r="R19" s="48">
        <v>80</v>
      </c>
      <c r="S19" s="48">
        <v>36</v>
      </c>
      <c r="T19" s="48">
        <f t="shared" si="6"/>
        <v>925</v>
      </c>
      <c r="U19" s="49"/>
      <c r="V19" s="49"/>
      <c r="W19" s="49"/>
      <c r="X19" s="35"/>
      <c r="Y19" s="35"/>
      <c r="Z19" s="35"/>
    </row>
    <row r="20" spans="1:26" ht="12.75">
      <c r="A20" s="7" t="s">
        <v>24</v>
      </c>
      <c r="B20" s="44">
        <v>168</v>
      </c>
      <c r="C20" s="45">
        <v>6</v>
      </c>
      <c r="D20" s="46">
        <f t="shared" si="0"/>
        <v>20.93</v>
      </c>
      <c r="E20" s="45">
        <v>0.85</v>
      </c>
      <c r="F20" s="45">
        <v>3.13</v>
      </c>
      <c r="G20" s="45">
        <v>9.8</v>
      </c>
      <c r="H20" s="45">
        <v>7.15</v>
      </c>
      <c r="I20" s="45">
        <v>1.5</v>
      </c>
      <c r="J20" s="45">
        <v>4.4</v>
      </c>
      <c r="K20" s="46">
        <f t="shared" si="1"/>
        <v>26.83</v>
      </c>
      <c r="L20" s="47"/>
      <c r="M20" s="47">
        <v>290</v>
      </c>
      <c r="N20" s="47"/>
      <c r="O20" s="48"/>
      <c r="P20" s="48">
        <v>8</v>
      </c>
      <c r="Q20" s="48">
        <v>1</v>
      </c>
      <c r="R20" s="48">
        <v>32</v>
      </c>
      <c r="S20" s="48">
        <v>86</v>
      </c>
      <c r="T20" s="48">
        <f t="shared" si="6"/>
        <v>376</v>
      </c>
      <c r="U20" s="49"/>
      <c r="V20" s="49"/>
      <c r="W20" s="49"/>
      <c r="X20" s="35"/>
      <c r="Y20" s="35"/>
      <c r="Z20" s="35"/>
    </row>
    <row r="21" spans="1:26" ht="12.75">
      <c r="A21" s="7" t="s">
        <v>25</v>
      </c>
      <c r="B21" s="44">
        <v>493</v>
      </c>
      <c r="C21" s="45">
        <v>16</v>
      </c>
      <c r="D21" s="46">
        <f t="shared" si="0"/>
        <v>41.92</v>
      </c>
      <c r="E21" s="45">
        <v>1</v>
      </c>
      <c r="F21" s="45">
        <v>6.43</v>
      </c>
      <c r="G21" s="45">
        <v>18.66</v>
      </c>
      <c r="H21" s="45">
        <v>15.83</v>
      </c>
      <c r="I21" s="45">
        <v>3.75</v>
      </c>
      <c r="J21" s="45">
        <v>8.25</v>
      </c>
      <c r="K21" s="46">
        <f t="shared" si="1"/>
        <v>53.92</v>
      </c>
      <c r="L21" s="47"/>
      <c r="M21" s="47">
        <v>854</v>
      </c>
      <c r="N21" s="47"/>
      <c r="O21" s="48"/>
      <c r="P21" s="48">
        <v>61</v>
      </c>
      <c r="Q21" s="48">
        <v>5</v>
      </c>
      <c r="R21" s="48">
        <v>100</v>
      </c>
      <c r="S21" s="48">
        <v>16</v>
      </c>
      <c r="T21" s="48">
        <f t="shared" si="6"/>
        <v>870</v>
      </c>
      <c r="U21" s="49"/>
      <c r="V21" s="49"/>
      <c r="W21" s="49"/>
      <c r="X21" s="35"/>
      <c r="Y21" s="35"/>
      <c r="Z21" s="35"/>
    </row>
    <row r="22" spans="1:26" ht="12.75">
      <c r="A22" s="7" t="s">
        <v>26</v>
      </c>
      <c r="B22" s="44">
        <v>435</v>
      </c>
      <c r="C22" s="45">
        <v>15</v>
      </c>
      <c r="D22" s="46">
        <f t="shared" si="0"/>
        <v>42.39</v>
      </c>
      <c r="E22" s="45">
        <v>2</v>
      </c>
      <c r="F22" s="45">
        <v>12.14</v>
      </c>
      <c r="G22" s="45">
        <v>13.37</v>
      </c>
      <c r="H22" s="45">
        <v>14.88</v>
      </c>
      <c r="I22" s="45">
        <v>4.5</v>
      </c>
      <c r="J22" s="45">
        <v>7.5</v>
      </c>
      <c r="K22" s="46">
        <f t="shared" si="1"/>
        <v>54.39</v>
      </c>
      <c r="L22" s="47"/>
      <c r="M22" s="47">
        <v>745</v>
      </c>
      <c r="N22" s="47"/>
      <c r="O22" s="48"/>
      <c r="P22" s="48">
        <v>24</v>
      </c>
      <c r="Q22" s="48">
        <v>2</v>
      </c>
      <c r="R22" s="48">
        <v>100</v>
      </c>
      <c r="S22" s="48">
        <v>29</v>
      </c>
      <c r="T22" s="48">
        <f t="shared" si="6"/>
        <v>774</v>
      </c>
      <c r="U22" s="49"/>
      <c r="V22" s="49"/>
      <c r="W22" s="49"/>
      <c r="X22" s="35"/>
      <c r="Y22" s="35"/>
      <c r="Z22" s="35"/>
    </row>
    <row r="23" spans="1:26" ht="12.75">
      <c r="A23" s="7" t="s">
        <v>93</v>
      </c>
      <c r="B23" s="44">
        <v>239</v>
      </c>
      <c r="C23" s="45">
        <v>9</v>
      </c>
      <c r="D23" s="46">
        <f t="shared" si="0"/>
        <v>22.23</v>
      </c>
      <c r="E23" s="45">
        <v>0</v>
      </c>
      <c r="F23" s="45">
        <v>2.46</v>
      </c>
      <c r="G23" s="45">
        <v>2.79</v>
      </c>
      <c r="H23" s="45">
        <v>16.98</v>
      </c>
      <c r="I23" s="45">
        <v>3</v>
      </c>
      <c r="J23" s="45">
        <v>5</v>
      </c>
      <c r="K23" s="46">
        <f t="shared" si="1"/>
        <v>30.23</v>
      </c>
      <c r="L23" s="47"/>
      <c r="M23" s="47">
        <v>360</v>
      </c>
      <c r="N23" s="47"/>
      <c r="O23" s="48"/>
      <c r="P23" s="48">
        <v>10</v>
      </c>
      <c r="Q23" s="48">
        <v>2</v>
      </c>
      <c r="R23" s="48">
        <v>45</v>
      </c>
      <c r="S23" s="48">
        <v>8</v>
      </c>
      <c r="T23" s="48">
        <f t="shared" si="6"/>
        <v>368</v>
      </c>
      <c r="U23" s="49"/>
      <c r="V23" s="49"/>
      <c r="W23" s="49"/>
      <c r="X23" s="35"/>
      <c r="Y23" s="35"/>
      <c r="Z23" s="35"/>
    </row>
    <row r="24" spans="1:26" ht="12.75">
      <c r="A24" s="7" t="s">
        <v>28</v>
      </c>
      <c r="B24" s="44">
        <v>268</v>
      </c>
      <c r="C24" s="45">
        <v>13</v>
      </c>
      <c r="D24" s="46">
        <f t="shared" si="0"/>
        <v>48.9</v>
      </c>
      <c r="E24" s="45">
        <v>1.98</v>
      </c>
      <c r="F24" s="45">
        <v>13.51</v>
      </c>
      <c r="G24" s="45">
        <v>16.89</v>
      </c>
      <c r="H24" s="45">
        <v>16.52</v>
      </c>
      <c r="I24" s="45">
        <v>3</v>
      </c>
      <c r="J24" s="45">
        <v>6.62</v>
      </c>
      <c r="K24" s="46">
        <f t="shared" si="1"/>
        <v>58.52</v>
      </c>
      <c r="L24" s="47"/>
      <c r="M24" s="47">
        <v>869</v>
      </c>
      <c r="N24" s="47"/>
      <c r="O24" s="48"/>
      <c r="P24" s="48">
        <v>96</v>
      </c>
      <c r="Q24" s="48">
        <v>21</v>
      </c>
      <c r="R24" s="48">
        <v>53</v>
      </c>
      <c r="S24" s="48">
        <v>0</v>
      </c>
      <c r="T24" s="48">
        <f t="shared" si="6"/>
        <v>869</v>
      </c>
      <c r="U24" s="49"/>
      <c r="V24" s="49"/>
      <c r="W24" s="49"/>
      <c r="X24" s="35"/>
      <c r="Y24" s="35"/>
      <c r="Z24" s="35"/>
    </row>
    <row r="25" spans="1:26" ht="12.75">
      <c r="A25" s="7" t="s">
        <v>29</v>
      </c>
      <c r="B25" s="44">
        <v>503</v>
      </c>
      <c r="C25" s="45">
        <v>18</v>
      </c>
      <c r="D25" s="46">
        <f t="shared" si="0"/>
        <v>51.73</v>
      </c>
      <c r="E25" s="45">
        <v>3.27</v>
      </c>
      <c r="F25" s="45">
        <v>9.74</v>
      </c>
      <c r="G25" s="45">
        <v>13.06</v>
      </c>
      <c r="H25" s="45">
        <v>25.66</v>
      </c>
      <c r="I25" s="45">
        <v>4.75</v>
      </c>
      <c r="J25" s="45">
        <v>10</v>
      </c>
      <c r="K25" s="46">
        <f t="shared" si="1"/>
        <v>66.48</v>
      </c>
      <c r="L25" s="47"/>
      <c r="M25" s="47">
        <v>900</v>
      </c>
      <c r="N25" s="47">
        <v>145</v>
      </c>
      <c r="O25" s="48"/>
      <c r="P25" s="48">
        <v>29</v>
      </c>
      <c r="Q25" s="48">
        <v>3</v>
      </c>
      <c r="R25" s="48">
        <v>60</v>
      </c>
      <c r="S25" s="48">
        <v>36</v>
      </c>
      <c r="T25" s="48">
        <f t="shared" si="6"/>
        <v>936</v>
      </c>
      <c r="U25" s="49"/>
      <c r="V25" s="49"/>
      <c r="W25" s="49"/>
      <c r="X25" s="35"/>
      <c r="Y25" s="35"/>
      <c r="Z25" s="35"/>
    </row>
    <row r="26" spans="1:26" ht="12.75">
      <c r="A26" s="7" t="s">
        <v>30</v>
      </c>
      <c r="B26" s="44">
        <v>336</v>
      </c>
      <c r="C26" s="45">
        <v>11</v>
      </c>
      <c r="D26" s="46">
        <f t="shared" si="0"/>
        <v>10.19</v>
      </c>
      <c r="E26" s="45">
        <v>0</v>
      </c>
      <c r="F26" s="45">
        <v>1.56</v>
      </c>
      <c r="G26" s="45">
        <v>2.18</v>
      </c>
      <c r="H26" s="45">
        <v>6.45</v>
      </c>
      <c r="I26" s="45">
        <v>2.25</v>
      </c>
      <c r="J26" s="45">
        <v>3.75</v>
      </c>
      <c r="K26" s="46">
        <f t="shared" si="1"/>
        <v>16.19</v>
      </c>
      <c r="L26" s="47"/>
      <c r="M26" s="47">
        <v>144</v>
      </c>
      <c r="N26" s="47"/>
      <c r="O26" s="48"/>
      <c r="P26" s="48"/>
      <c r="Q26" s="48"/>
      <c r="R26" s="48">
        <v>15</v>
      </c>
      <c r="S26" s="48">
        <v>0</v>
      </c>
      <c r="T26" s="48">
        <f t="shared" si="6"/>
        <v>144</v>
      </c>
      <c r="U26" s="49"/>
      <c r="V26" s="49"/>
      <c r="W26" s="49"/>
      <c r="X26" s="35"/>
      <c r="Y26" s="35"/>
      <c r="Z26" s="35"/>
    </row>
    <row r="27" spans="1:26" ht="12.75">
      <c r="A27" s="11" t="s">
        <v>31</v>
      </c>
      <c r="B27" s="50">
        <f>SUM(B14:B26)</f>
        <v>5311</v>
      </c>
      <c r="C27" s="50">
        <f>SUM(C14:C26)</f>
        <v>188</v>
      </c>
      <c r="D27" s="46">
        <f t="shared" si="0"/>
        <v>531</v>
      </c>
      <c r="E27" s="50">
        <f aca="true" t="shared" si="7" ref="E27:J27">SUM(E14:E26)</f>
        <v>16.74</v>
      </c>
      <c r="F27" s="50">
        <f t="shared" si="7"/>
        <v>79.77</v>
      </c>
      <c r="G27" s="50">
        <f t="shared" si="7"/>
        <v>151.42</v>
      </c>
      <c r="H27" s="50">
        <f t="shared" si="7"/>
        <v>283.07</v>
      </c>
      <c r="I27" s="50">
        <f t="shared" si="7"/>
        <v>52.95</v>
      </c>
      <c r="J27" s="50">
        <f t="shared" si="7"/>
        <v>112.48</v>
      </c>
      <c r="K27" s="46">
        <f t="shared" si="1"/>
        <v>696.43</v>
      </c>
      <c r="L27" s="51">
        <f aca="true" t="shared" si="8" ref="L27:T27">SUM(L14:L26)</f>
        <v>0</v>
      </c>
      <c r="M27" s="51">
        <f t="shared" si="8"/>
        <v>9043</v>
      </c>
      <c r="N27" s="51">
        <f t="shared" si="8"/>
        <v>241</v>
      </c>
      <c r="O27" s="51">
        <f t="shared" si="8"/>
        <v>137</v>
      </c>
      <c r="P27" s="51">
        <f t="shared" si="8"/>
        <v>368</v>
      </c>
      <c r="Q27" s="51">
        <f t="shared" si="8"/>
        <v>47</v>
      </c>
      <c r="R27" s="51">
        <f t="shared" si="8"/>
        <v>916</v>
      </c>
      <c r="S27" s="51">
        <f t="shared" si="8"/>
        <v>478</v>
      </c>
      <c r="T27" s="51">
        <f t="shared" si="8"/>
        <v>9521</v>
      </c>
      <c r="U27" s="49"/>
      <c r="V27" s="49"/>
      <c r="W27" s="49"/>
      <c r="X27" s="35"/>
      <c r="Y27" s="35"/>
      <c r="Z27" s="35"/>
    </row>
    <row r="28" spans="1:26" ht="12.75">
      <c r="A28" s="7" t="s">
        <v>13</v>
      </c>
      <c r="B28" s="44">
        <v>15</v>
      </c>
      <c r="C28" s="45">
        <v>3</v>
      </c>
      <c r="D28" s="46">
        <f t="shared" si="0"/>
        <v>6.75</v>
      </c>
      <c r="E28" s="45">
        <v>0.02</v>
      </c>
      <c r="F28" s="45">
        <v>0.49</v>
      </c>
      <c r="G28" s="45">
        <v>2.78</v>
      </c>
      <c r="H28" s="45">
        <v>3.46</v>
      </c>
      <c r="I28" s="45">
        <v>0</v>
      </c>
      <c r="J28" s="45">
        <v>0</v>
      </c>
      <c r="K28" s="46">
        <f t="shared" si="1"/>
        <v>6.75</v>
      </c>
      <c r="L28" s="47"/>
      <c r="M28" s="47">
        <v>118</v>
      </c>
      <c r="N28" s="47"/>
      <c r="O28" s="48"/>
      <c r="P28" s="48"/>
      <c r="Q28" s="48"/>
      <c r="R28" s="48"/>
      <c r="S28" s="48">
        <v>7</v>
      </c>
      <c r="T28" s="48">
        <f>M28+S28</f>
        <v>125</v>
      </c>
      <c r="U28" s="49"/>
      <c r="V28" s="49"/>
      <c r="W28" s="49"/>
      <c r="X28" s="35"/>
      <c r="Y28" s="35"/>
      <c r="Z28" s="35"/>
    </row>
    <row r="29" spans="1:26" ht="12.75">
      <c r="A29" s="14" t="s">
        <v>49</v>
      </c>
      <c r="B29" s="44">
        <v>26</v>
      </c>
      <c r="C29" s="45">
        <v>3</v>
      </c>
      <c r="D29" s="46">
        <f t="shared" si="0"/>
        <v>7.88</v>
      </c>
      <c r="E29" s="45">
        <v>0.67</v>
      </c>
      <c r="F29" s="45">
        <v>0.13</v>
      </c>
      <c r="G29" s="45">
        <v>3.34</v>
      </c>
      <c r="H29" s="45">
        <v>3.74</v>
      </c>
      <c r="I29" s="45">
        <v>0</v>
      </c>
      <c r="J29" s="45">
        <v>0</v>
      </c>
      <c r="K29" s="46">
        <f t="shared" si="1"/>
        <v>7.88</v>
      </c>
      <c r="L29" s="47"/>
      <c r="M29" s="47">
        <v>117</v>
      </c>
      <c r="N29" s="47"/>
      <c r="O29" s="48"/>
      <c r="P29" s="48"/>
      <c r="Q29" s="48"/>
      <c r="R29" s="48">
        <v>4</v>
      </c>
      <c r="S29" s="48">
        <v>2</v>
      </c>
      <c r="T29" s="48">
        <f>M29+S29</f>
        <v>119</v>
      </c>
      <c r="U29" s="49"/>
      <c r="V29" s="49"/>
      <c r="W29" s="49"/>
      <c r="X29" s="35"/>
      <c r="Y29" s="35"/>
      <c r="Z29" s="35"/>
    </row>
    <row r="30" spans="1:26" s="60" customFormat="1" ht="27.75" customHeight="1">
      <c r="A30" s="18" t="s">
        <v>33</v>
      </c>
      <c r="B30" s="56">
        <f>SUM(B28:B29)</f>
        <v>41</v>
      </c>
      <c r="C30" s="56">
        <f>SUM(C28:C29)</f>
        <v>6</v>
      </c>
      <c r="D30" s="46">
        <f t="shared" si="0"/>
        <v>14.63</v>
      </c>
      <c r="E30" s="56">
        <f aca="true" t="shared" si="9" ref="E30:J30">SUM(E28:E29)</f>
        <v>0.69</v>
      </c>
      <c r="F30" s="56">
        <f t="shared" si="9"/>
        <v>0.62</v>
      </c>
      <c r="G30" s="56">
        <f t="shared" si="9"/>
        <v>6.12</v>
      </c>
      <c r="H30" s="56">
        <f t="shared" si="9"/>
        <v>7.2</v>
      </c>
      <c r="I30" s="56">
        <f t="shared" si="9"/>
        <v>0</v>
      </c>
      <c r="J30" s="56">
        <f t="shared" si="9"/>
        <v>0</v>
      </c>
      <c r="K30" s="46">
        <f t="shared" si="1"/>
        <v>14.63</v>
      </c>
      <c r="L30" s="57">
        <f aca="true" t="shared" si="10" ref="L30:T30">SUM(L28:L29)</f>
        <v>0</v>
      </c>
      <c r="M30" s="57">
        <f t="shared" si="10"/>
        <v>235</v>
      </c>
      <c r="N30" s="57">
        <f t="shared" si="10"/>
        <v>0</v>
      </c>
      <c r="O30" s="57">
        <f t="shared" si="10"/>
        <v>0</v>
      </c>
      <c r="P30" s="57">
        <f t="shared" si="10"/>
        <v>0</v>
      </c>
      <c r="Q30" s="57">
        <f t="shared" si="10"/>
        <v>0</v>
      </c>
      <c r="R30" s="57">
        <f t="shared" si="10"/>
        <v>4</v>
      </c>
      <c r="S30" s="57">
        <f t="shared" si="10"/>
        <v>9</v>
      </c>
      <c r="T30" s="57">
        <f t="shared" si="10"/>
        <v>244</v>
      </c>
      <c r="U30" s="58"/>
      <c r="V30" s="58"/>
      <c r="W30" s="58"/>
      <c r="X30" s="59"/>
      <c r="Y30" s="59"/>
      <c r="Z30" s="59"/>
    </row>
    <row r="31" spans="1:26" s="63" customFormat="1" ht="12.75">
      <c r="A31" s="7" t="s">
        <v>94</v>
      </c>
      <c r="B31" s="52">
        <v>178</v>
      </c>
      <c r="C31" s="53">
        <v>8</v>
      </c>
      <c r="D31" s="46">
        <f t="shared" si="0"/>
        <v>21.5</v>
      </c>
      <c r="E31" s="45">
        <v>1.1</v>
      </c>
      <c r="F31" s="45">
        <v>2</v>
      </c>
      <c r="G31" s="45">
        <v>4.5</v>
      </c>
      <c r="H31" s="45">
        <v>13.9</v>
      </c>
      <c r="I31" s="45">
        <v>4</v>
      </c>
      <c r="J31" s="45">
        <v>4</v>
      </c>
      <c r="K31" s="46">
        <f t="shared" si="1"/>
        <v>29.5</v>
      </c>
      <c r="L31" s="55"/>
      <c r="M31" s="55">
        <v>339</v>
      </c>
      <c r="N31" s="55"/>
      <c r="O31" s="48"/>
      <c r="P31" s="48">
        <v>6</v>
      </c>
      <c r="Q31" s="48">
        <v>1</v>
      </c>
      <c r="R31" s="48">
        <v>40</v>
      </c>
      <c r="S31" s="48">
        <v>29</v>
      </c>
      <c r="T31" s="48">
        <f>M31+S31</f>
        <v>368</v>
      </c>
      <c r="U31" s="61"/>
      <c r="V31" s="61"/>
      <c r="W31" s="61"/>
      <c r="X31" s="62"/>
      <c r="Y31" s="62"/>
      <c r="Z31" s="62"/>
    </row>
    <row r="32" spans="1:26" s="63" customFormat="1" ht="15.75" customHeight="1">
      <c r="A32" s="11" t="s">
        <v>35</v>
      </c>
      <c r="B32" s="50">
        <f>SUM(B31:B31)</f>
        <v>178</v>
      </c>
      <c r="C32" s="50">
        <f>SUM(C31:C31)</f>
        <v>8</v>
      </c>
      <c r="D32" s="46">
        <f t="shared" si="0"/>
        <v>21.5</v>
      </c>
      <c r="E32" s="50">
        <f aca="true" t="shared" si="11" ref="E32:J32">SUM(E31:E31)</f>
        <v>1.1</v>
      </c>
      <c r="F32" s="50">
        <f t="shared" si="11"/>
        <v>2</v>
      </c>
      <c r="G32" s="50">
        <f t="shared" si="11"/>
        <v>4.5</v>
      </c>
      <c r="H32" s="50">
        <f t="shared" si="11"/>
        <v>13.9</v>
      </c>
      <c r="I32" s="50">
        <f t="shared" si="11"/>
        <v>4</v>
      </c>
      <c r="J32" s="50">
        <f t="shared" si="11"/>
        <v>4</v>
      </c>
      <c r="K32" s="46">
        <f t="shared" si="1"/>
        <v>29.5</v>
      </c>
      <c r="L32" s="51">
        <f aca="true" t="shared" si="12" ref="L32:T32">SUM(L31:L31)</f>
        <v>0</v>
      </c>
      <c r="M32" s="51">
        <f t="shared" si="12"/>
        <v>339</v>
      </c>
      <c r="N32" s="51">
        <f t="shared" si="12"/>
        <v>0</v>
      </c>
      <c r="O32" s="51">
        <f t="shared" si="12"/>
        <v>0</v>
      </c>
      <c r="P32" s="51">
        <f t="shared" si="12"/>
        <v>6</v>
      </c>
      <c r="Q32" s="51">
        <f t="shared" si="12"/>
        <v>1</v>
      </c>
      <c r="R32" s="51">
        <f t="shared" si="12"/>
        <v>40</v>
      </c>
      <c r="S32" s="51">
        <f t="shared" si="12"/>
        <v>29</v>
      </c>
      <c r="T32" s="51">
        <f t="shared" si="12"/>
        <v>368</v>
      </c>
      <c r="U32" s="61"/>
      <c r="V32" s="61"/>
      <c r="W32" s="61"/>
      <c r="X32" s="62"/>
      <c r="Y32" s="62"/>
      <c r="Z32" s="62"/>
    </row>
    <row r="33" spans="1:26" ht="12.75">
      <c r="A33" s="7" t="s">
        <v>36</v>
      </c>
      <c r="B33" s="44">
        <v>439</v>
      </c>
      <c r="C33" s="45">
        <v>19</v>
      </c>
      <c r="D33" s="46">
        <f t="shared" si="0"/>
        <v>54.31</v>
      </c>
      <c r="E33" s="45">
        <v>2.44</v>
      </c>
      <c r="F33" s="45">
        <v>12.86</v>
      </c>
      <c r="G33" s="45">
        <v>17.23</v>
      </c>
      <c r="H33" s="45">
        <v>21.78</v>
      </c>
      <c r="I33" s="45">
        <v>7.19</v>
      </c>
      <c r="J33" s="45">
        <v>12.33</v>
      </c>
      <c r="K33" s="46">
        <f t="shared" si="1"/>
        <v>73.83</v>
      </c>
      <c r="L33" s="47"/>
      <c r="M33" s="47">
        <v>983</v>
      </c>
      <c r="N33" s="47"/>
      <c r="O33" s="48"/>
      <c r="P33" s="48"/>
      <c r="Q33" s="48"/>
      <c r="R33" s="48">
        <v>100</v>
      </c>
      <c r="S33" s="48">
        <v>32</v>
      </c>
      <c r="T33" s="48">
        <f aca="true" t="shared" si="13" ref="T33:T43">M33+S33</f>
        <v>1015</v>
      </c>
      <c r="U33" s="49"/>
      <c r="V33" s="49"/>
      <c r="W33" s="49"/>
      <c r="X33" s="35"/>
      <c r="Y33" s="35"/>
      <c r="Z33" s="35"/>
    </row>
    <row r="34" spans="1:26" ht="12.75">
      <c r="A34" s="7" t="s">
        <v>95</v>
      </c>
      <c r="B34" s="44">
        <v>356</v>
      </c>
      <c r="C34" s="45">
        <v>16</v>
      </c>
      <c r="D34" s="46">
        <f t="shared" si="0"/>
        <v>27.51</v>
      </c>
      <c r="E34" s="45">
        <v>0.35</v>
      </c>
      <c r="F34" s="45">
        <v>6.52</v>
      </c>
      <c r="G34" s="45">
        <v>6.35</v>
      </c>
      <c r="H34" s="45">
        <v>14.29</v>
      </c>
      <c r="I34" s="45">
        <v>5</v>
      </c>
      <c r="J34" s="45">
        <v>9.75</v>
      </c>
      <c r="K34" s="46">
        <f t="shared" si="1"/>
        <v>42.26</v>
      </c>
      <c r="L34" s="47"/>
      <c r="M34" s="47">
        <v>466</v>
      </c>
      <c r="N34" s="47"/>
      <c r="O34" s="48"/>
      <c r="P34" s="48"/>
      <c r="Q34" s="48"/>
      <c r="R34" s="48">
        <v>65</v>
      </c>
      <c r="S34" s="48">
        <v>16</v>
      </c>
      <c r="T34" s="48">
        <f t="shared" si="13"/>
        <v>482</v>
      </c>
      <c r="U34" s="49"/>
      <c r="V34" s="49"/>
      <c r="W34" s="49"/>
      <c r="X34" s="35"/>
      <c r="Y34" s="35"/>
      <c r="Z34" s="35"/>
    </row>
    <row r="35" spans="1:26" ht="12.75">
      <c r="A35" s="7" t="s">
        <v>38</v>
      </c>
      <c r="B35" s="44">
        <v>598</v>
      </c>
      <c r="C35" s="45">
        <v>24</v>
      </c>
      <c r="D35" s="46">
        <f t="shared" si="0"/>
        <v>71.16</v>
      </c>
      <c r="E35" s="45">
        <v>2.39</v>
      </c>
      <c r="F35" s="45">
        <v>11.11</v>
      </c>
      <c r="G35" s="45">
        <v>16.68</v>
      </c>
      <c r="H35" s="45">
        <v>40.98</v>
      </c>
      <c r="I35" s="45">
        <v>5</v>
      </c>
      <c r="J35" s="45">
        <v>15</v>
      </c>
      <c r="K35" s="46">
        <f t="shared" si="1"/>
        <v>91.16</v>
      </c>
      <c r="L35" s="47"/>
      <c r="M35" s="47">
        <v>1242</v>
      </c>
      <c r="N35" s="47"/>
      <c r="O35" s="48"/>
      <c r="P35" s="48">
        <v>16</v>
      </c>
      <c r="Q35" s="48">
        <v>2</v>
      </c>
      <c r="R35" s="48">
        <v>95</v>
      </c>
      <c r="S35" s="48">
        <v>68</v>
      </c>
      <c r="T35" s="48">
        <f t="shared" si="13"/>
        <v>1310</v>
      </c>
      <c r="U35" s="49"/>
      <c r="V35" s="49"/>
      <c r="W35" s="49"/>
      <c r="X35" s="35"/>
      <c r="Y35" s="35"/>
      <c r="Z35" s="35"/>
    </row>
    <row r="36" spans="1:26" ht="12.75">
      <c r="A36" s="7" t="s">
        <v>39</v>
      </c>
      <c r="B36" s="44">
        <v>598</v>
      </c>
      <c r="C36" s="45">
        <v>22</v>
      </c>
      <c r="D36" s="46">
        <f t="shared" si="0"/>
        <v>61.4</v>
      </c>
      <c r="E36" s="45">
        <v>6.6</v>
      </c>
      <c r="F36" s="45">
        <v>14.7</v>
      </c>
      <c r="G36" s="45">
        <v>10.9</v>
      </c>
      <c r="H36" s="45">
        <v>29.2</v>
      </c>
      <c r="I36" s="45">
        <v>10.5</v>
      </c>
      <c r="J36" s="45">
        <v>11.5</v>
      </c>
      <c r="K36" s="46">
        <f t="shared" si="1"/>
        <v>83.4</v>
      </c>
      <c r="L36" s="47"/>
      <c r="M36" s="47">
        <v>1254</v>
      </c>
      <c r="N36" s="47"/>
      <c r="O36" s="48"/>
      <c r="P36" s="48"/>
      <c r="Q36" s="48"/>
      <c r="R36" s="48">
        <v>90</v>
      </c>
      <c r="S36" s="48">
        <v>15</v>
      </c>
      <c r="T36" s="48">
        <f t="shared" si="13"/>
        <v>1269</v>
      </c>
      <c r="U36" s="49"/>
      <c r="V36" s="49"/>
      <c r="W36" s="49"/>
      <c r="X36" s="35"/>
      <c r="Y36" s="35"/>
      <c r="Z36" s="35"/>
    </row>
    <row r="37" spans="1:26" ht="12.75">
      <c r="A37" s="7" t="s">
        <v>40</v>
      </c>
      <c r="B37" s="44">
        <v>608</v>
      </c>
      <c r="C37" s="45">
        <v>18</v>
      </c>
      <c r="D37" s="46">
        <f t="shared" si="0"/>
        <v>47.31</v>
      </c>
      <c r="E37" s="45">
        <v>4.17</v>
      </c>
      <c r="F37" s="45">
        <v>4.39</v>
      </c>
      <c r="G37" s="45">
        <v>21.05</v>
      </c>
      <c r="H37" s="45">
        <v>17.7</v>
      </c>
      <c r="I37" s="45">
        <v>5</v>
      </c>
      <c r="J37" s="45">
        <v>10.22</v>
      </c>
      <c r="K37" s="46">
        <f t="shared" si="1"/>
        <v>62.53</v>
      </c>
      <c r="L37" s="47"/>
      <c r="M37" s="47">
        <v>798</v>
      </c>
      <c r="N37" s="47"/>
      <c r="O37" s="48"/>
      <c r="P37" s="48">
        <v>9</v>
      </c>
      <c r="Q37" s="48">
        <v>2</v>
      </c>
      <c r="R37" s="48">
        <v>49</v>
      </c>
      <c r="S37" s="48">
        <v>13</v>
      </c>
      <c r="T37" s="48">
        <f t="shared" si="13"/>
        <v>811</v>
      </c>
      <c r="U37" s="49"/>
      <c r="V37" s="49"/>
      <c r="W37" s="49"/>
      <c r="X37" s="35"/>
      <c r="Y37" s="35"/>
      <c r="Z37" s="35"/>
    </row>
    <row r="38" spans="1:26" s="63" customFormat="1" ht="12.75">
      <c r="A38" s="7" t="s">
        <v>34</v>
      </c>
      <c r="B38" s="52">
        <v>116</v>
      </c>
      <c r="C38" s="53">
        <v>4</v>
      </c>
      <c r="D38" s="46">
        <f aca="true" t="shared" si="14" ref="D38:D69">E38+F38+G38+H38</f>
        <v>17.2</v>
      </c>
      <c r="E38" s="45">
        <v>0.4</v>
      </c>
      <c r="F38" s="45">
        <v>0.3</v>
      </c>
      <c r="G38" s="45">
        <v>4.5</v>
      </c>
      <c r="H38" s="45">
        <v>12</v>
      </c>
      <c r="I38" s="45">
        <v>3</v>
      </c>
      <c r="J38" s="45">
        <v>4.4</v>
      </c>
      <c r="K38" s="46">
        <f aca="true" t="shared" si="15" ref="K38:K69">J38+I38+D38</f>
        <v>24.6</v>
      </c>
      <c r="L38" s="47"/>
      <c r="M38" s="47">
        <v>270</v>
      </c>
      <c r="N38" s="47"/>
      <c r="O38" s="48"/>
      <c r="P38" s="48"/>
      <c r="Q38" s="48"/>
      <c r="R38" s="48">
        <v>40</v>
      </c>
      <c r="S38" s="48">
        <v>13</v>
      </c>
      <c r="T38" s="48">
        <f t="shared" si="13"/>
        <v>283</v>
      </c>
      <c r="U38" s="61"/>
      <c r="V38" s="61"/>
      <c r="W38" s="61"/>
      <c r="X38" s="62"/>
      <c r="Y38" s="62"/>
      <c r="Z38" s="62"/>
    </row>
    <row r="39" spans="1:26" ht="12.75">
      <c r="A39" s="7" t="s">
        <v>41</v>
      </c>
      <c r="B39" s="44">
        <v>444</v>
      </c>
      <c r="C39" s="45">
        <v>19</v>
      </c>
      <c r="D39" s="46">
        <f t="shared" si="14"/>
        <v>38.54</v>
      </c>
      <c r="E39" s="45">
        <v>0.63</v>
      </c>
      <c r="F39" s="45">
        <v>11.43</v>
      </c>
      <c r="G39" s="45">
        <v>9.05</v>
      </c>
      <c r="H39" s="45">
        <v>17.43</v>
      </c>
      <c r="I39" s="45">
        <v>4.7</v>
      </c>
      <c r="J39" s="45">
        <v>12</v>
      </c>
      <c r="K39" s="46">
        <f t="shared" si="15"/>
        <v>55.24</v>
      </c>
      <c r="L39" s="47"/>
      <c r="M39" s="47">
        <v>654</v>
      </c>
      <c r="N39" s="47"/>
      <c r="O39" s="48"/>
      <c r="P39" s="48"/>
      <c r="Q39" s="48"/>
      <c r="R39" s="48">
        <v>90</v>
      </c>
      <c r="S39" s="48">
        <v>21</v>
      </c>
      <c r="T39" s="48">
        <f t="shared" si="13"/>
        <v>675</v>
      </c>
      <c r="U39" s="49"/>
      <c r="V39" s="49"/>
      <c r="W39" s="49"/>
      <c r="X39" s="35"/>
      <c r="Y39" s="35"/>
      <c r="Z39" s="35"/>
    </row>
    <row r="40" spans="1:26" s="63" customFormat="1" ht="12.75">
      <c r="A40" s="7" t="s">
        <v>42</v>
      </c>
      <c r="B40" s="52">
        <v>265</v>
      </c>
      <c r="C40" s="53">
        <v>10</v>
      </c>
      <c r="D40" s="46">
        <f t="shared" si="14"/>
        <v>22.73</v>
      </c>
      <c r="E40" s="45">
        <v>0.96</v>
      </c>
      <c r="F40" s="45">
        <v>6.11</v>
      </c>
      <c r="G40" s="45">
        <v>6.77</v>
      </c>
      <c r="H40" s="45">
        <v>8.89</v>
      </c>
      <c r="I40" s="45">
        <v>3</v>
      </c>
      <c r="J40" s="45">
        <v>6.83</v>
      </c>
      <c r="K40" s="46">
        <f t="shared" si="15"/>
        <v>32.56</v>
      </c>
      <c r="L40" s="47"/>
      <c r="M40" s="47">
        <v>368</v>
      </c>
      <c r="N40" s="47"/>
      <c r="O40" s="48"/>
      <c r="P40" s="48"/>
      <c r="Q40" s="48"/>
      <c r="R40" s="48">
        <v>85</v>
      </c>
      <c r="S40" s="48">
        <v>6</v>
      </c>
      <c r="T40" s="48">
        <f t="shared" si="13"/>
        <v>374</v>
      </c>
      <c r="U40" s="61"/>
      <c r="V40" s="61"/>
      <c r="W40" s="61"/>
      <c r="X40" s="62"/>
      <c r="Y40" s="62"/>
      <c r="Z40" s="62"/>
    </row>
    <row r="41" spans="1:26" ht="12.75">
      <c r="A41" s="7" t="s">
        <v>43</v>
      </c>
      <c r="B41" s="44">
        <v>310</v>
      </c>
      <c r="C41" s="45">
        <v>14</v>
      </c>
      <c r="D41" s="46">
        <f t="shared" si="14"/>
        <v>31.45</v>
      </c>
      <c r="E41" s="45">
        <v>0.68</v>
      </c>
      <c r="F41" s="45">
        <v>5.61</v>
      </c>
      <c r="G41" s="45">
        <v>12.13</v>
      </c>
      <c r="H41" s="45">
        <v>13.03</v>
      </c>
      <c r="I41" s="45">
        <v>4</v>
      </c>
      <c r="J41" s="45">
        <v>10.29</v>
      </c>
      <c r="K41" s="46">
        <f t="shared" si="15"/>
        <v>45.74</v>
      </c>
      <c r="L41" s="47"/>
      <c r="M41" s="47">
        <v>627</v>
      </c>
      <c r="N41" s="47"/>
      <c r="O41" s="48"/>
      <c r="P41" s="48">
        <v>10</v>
      </c>
      <c r="Q41" s="48">
        <v>1</v>
      </c>
      <c r="R41" s="48">
        <v>47</v>
      </c>
      <c r="S41" s="48">
        <v>4</v>
      </c>
      <c r="T41" s="48">
        <f t="shared" si="13"/>
        <v>631</v>
      </c>
      <c r="U41" s="49"/>
      <c r="V41" s="49"/>
      <c r="W41" s="49"/>
      <c r="X41" s="35"/>
      <c r="Y41" s="35"/>
      <c r="Z41" s="35"/>
    </row>
    <row r="42" spans="1:26" ht="12.75">
      <c r="A42" s="7" t="s">
        <v>30</v>
      </c>
      <c r="B42" s="44">
        <v>148</v>
      </c>
      <c r="C42" s="45">
        <v>6</v>
      </c>
      <c r="D42" s="46">
        <f t="shared" si="14"/>
        <v>6.1</v>
      </c>
      <c r="E42" s="45">
        <v>0</v>
      </c>
      <c r="F42" s="45">
        <v>0.82</v>
      </c>
      <c r="G42" s="45">
        <v>2.28</v>
      </c>
      <c r="H42" s="45">
        <v>3</v>
      </c>
      <c r="I42" s="45">
        <v>2</v>
      </c>
      <c r="J42" s="45">
        <v>4</v>
      </c>
      <c r="K42" s="46">
        <f t="shared" si="15"/>
        <v>12.1</v>
      </c>
      <c r="L42" s="47"/>
      <c r="M42" s="47">
        <v>88</v>
      </c>
      <c r="N42" s="47"/>
      <c r="O42" s="48"/>
      <c r="P42" s="48"/>
      <c r="Q42" s="48"/>
      <c r="R42" s="48">
        <v>15</v>
      </c>
      <c r="S42" s="48">
        <v>0</v>
      </c>
      <c r="T42" s="48">
        <f t="shared" si="13"/>
        <v>88</v>
      </c>
      <c r="U42" s="49"/>
      <c r="V42" s="49"/>
      <c r="W42" s="49"/>
      <c r="X42" s="35"/>
      <c r="Y42" s="35"/>
      <c r="Z42" s="35"/>
    </row>
    <row r="43" spans="1:26" ht="12.75">
      <c r="A43" s="7" t="s">
        <v>44</v>
      </c>
      <c r="B43" s="44">
        <v>453</v>
      </c>
      <c r="C43" s="45">
        <v>16</v>
      </c>
      <c r="D43" s="46">
        <f t="shared" si="14"/>
        <v>44.66</v>
      </c>
      <c r="E43" s="45">
        <v>1.51</v>
      </c>
      <c r="F43" s="45">
        <v>16.27</v>
      </c>
      <c r="G43" s="45">
        <v>10.78</v>
      </c>
      <c r="H43" s="45">
        <v>16.1</v>
      </c>
      <c r="I43" s="45">
        <v>5</v>
      </c>
      <c r="J43" s="45">
        <v>10.46</v>
      </c>
      <c r="K43" s="46">
        <f t="shared" si="15"/>
        <v>60.12</v>
      </c>
      <c r="L43" s="47"/>
      <c r="M43" s="47">
        <v>795</v>
      </c>
      <c r="N43" s="47"/>
      <c r="O43" s="48"/>
      <c r="P43" s="48">
        <v>4</v>
      </c>
      <c r="Q43" s="48">
        <v>1</v>
      </c>
      <c r="R43" s="48">
        <v>85</v>
      </c>
      <c r="S43" s="48">
        <v>2</v>
      </c>
      <c r="T43" s="48">
        <f t="shared" si="13"/>
        <v>797</v>
      </c>
      <c r="U43" s="49"/>
      <c r="V43" s="49"/>
      <c r="W43" s="49"/>
      <c r="X43" s="35"/>
      <c r="Y43" s="35"/>
      <c r="Z43" s="35"/>
    </row>
    <row r="44" spans="1:26" ht="12.75">
      <c r="A44" s="11" t="s">
        <v>45</v>
      </c>
      <c r="B44" s="50">
        <f>SUM(B33:B43)</f>
        <v>4335</v>
      </c>
      <c r="C44" s="50">
        <f>SUM(C33:C43)</f>
        <v>168</v>
      </c>
      <c r="D44" s="46">
        <f t="shared" si="14"/>
        <v>422.37</v>
      </c>
      <c r="E44" s="50">
        <f aca="true" t="shared" si="16" ref="E44:J44">SUM(E33:E43)</f>
        <v>20.13</v>
      </c>
      <c r="F44" s="50">
        <f t="shared" si="16"/>
        <v>90.12</v>
      </c>
      <c r="G44" s="50">
        <f t="shared" si="16"/>
        <v>117.72</v>
      </c>
      <c r="H44" s="50">
        <f t="shared" si="16"/>
        <v>194.4</v>
      </c>
      <c r="I44" s="50">
        <f t="shared" si="16"/>
        <v>54.39</v>
      </c>
      <c r="J44" s="50">
        <f t="shared" si="16"/>
        <v>106.78</v>
      </c>
      <c r="K44" s="46">
        <f t="shared" si="15"/>
        <v>583.54</v>
      </c>
      <c r="L44" s="51">
        <f aca="true" t="shared" si="17" ref="L44:T44">SUM(L33:L43)</f>
        <v>0</v>
      </c>
      <c r="M44" s="51">
        <f t="shared" si="17"/>
        <v>7545</v>
      </c>
      <c r="N44" s="51">
        <f t="shared" si="17"/>
        <v>0</v>
      </c>
      <c r="O44" s="51">
        <f t="shared" si="17"/>
        <v>0</v>
      </c>
      <c r="P44" s="51">
        <f t="shared" si="17"/>
        <v>39</v>
      </c>
      <c r="Q44" s="51">
        <f t="shared" si="17"/>
        <v>6</v>
      </c>
      <c r="R44" s="51">
        <f t="shared" si="17"/>
        <v>761</v>
      </c>
      <c r="S44" s="51">
        <f t="shared" si="17"/>
        <v>190</v>
      </c>
      <c r="T44" s="51">
        <f t="shared" si="17"/>
        <v>7735</v>
      </c>
      <c r="U44" s="49"/>
      <c r="V44" s="49"/>
      <c r="W44" s="49"/>
      <c r="X44" s="35"/>
      <c r="Y44" s="35"/>
      <c r="Z44" s="35"/>
    </row>
    <row r="45" spans="1:26" ht="12.75">
      <c r="A45" s="11" t="s">
        <v>46</v>
      </c>
      <c r="B45" s="64">
        <v>318</v>
      </c>
      <c r="C45" s="46">
        <v>25</v>
      </c>
      <c r="D45" s="46">
        <f t="shared" si="14"/>
        <v>57.24</v>
      </c>
      <c r="E45" s="46">
        <v>1.27</v>
      </c>
      <c r="F45" s="46">
        <v>6.77</v>
      </c>
      <c r="G45" s="46">
        <v>21.93</v>
      </c>
      <c r="H45" s="46">
        <v>27.27</v>
      </c>
      <c r="I45" s="46">
        <v>4</v>
      </c>
      <c r="J45" s="46">
        <v>9.75</v>
      </c>
      <c r="K45" s="46">
        <f t="shared" si="15"/>
        <v>70.99</v>
      </c>
      <c r="L45" s="65"/>
      <c r="M45" s="65">
        <v>984</v>
      </c>
      <c r="N45" s="65"/>
      <c r="O45" s="66"/>
      <c r="P45" s="66"/>
      <c r="Q45" s="66"/>
      <c r="R45" s="66">
        <v>41</v>
      </c>
      <c r="S45" s="66">
        <v>12</v>
      </c>
      <c r="T45" s="66">
        <f>M45+S45</f>
        <v>996</v>
      </c>
      <c r="U45" s="49"/>
      <c r="V45" s="49"/>
      <c r="W45" s="49"/>
      <c r="X45" s="35"/>
      <c r="Y45" s="35"/>
      <c r="Z45" s="35"/>
    </row>
    <row r="46" spans="1:26" ht="12.75">
      <c r="A46" s="14" t="s">
        <v>47</v>
      </c>
      <c r="B46" s="50">
        <v>34</v>
      </c>
      <c r="C46" s="46">
        <v>6</v>
      </c>
      <c r="D46" s="46">
        <f t="shared" si="14"/>
        <v>18.26</v>
      </c>
      <c r="E46" s="46">
        <v>0.09</v>
      </c>
      <c r="F46" s="46">
        <v>1.96</v>
      </c>
      <c r="G46" s="46">
        <v>3.67</v>
      </c>
      <c r="H46" s="46">
        <v>12.54</v>
      </c>
      <c r="I46" s="46">
        <v>0</v>
      </c>
      <c r="J46" s="46">
        <v>0</v>
      </c>
      <c r="K46" s="46">
        <f t="shared" si="15"/>
        <v>18.26</v>
      </c>
      <c r="L46" s="65"/>
      <c r="M46" s="65">
        <v>320</v>
      </c>
      <c r="N46" s="65"/>
      <c r="O46" s="66"/>
      <c r="P46" s="66">
        <v>44</v>
      </c>
      <c r="Q46" s="66">
        <v>4</v>
      </c>
      <c r="R46" s="66">
        <v>29</v>
      </c>
      <c r="S46" s="66">
        <v>4</v>
      </c>
      <c r="T46" s="48">
        <f>M46+S46</f>
        <v>324</v>
      </c>
      <c r="U46" s="49"/>
      <c r="V46" s="49"/>
      <c r="W46" s="49"/>
      <c r="X46" s="35"/>
      <c r="Y46" s="35"/>
      <c r="Z46" s="35"/>
    </row>
    <row r="47" spans="1:26" ht="12.75">
      <c r="A47" s="14" t="s">
        <v>48</v>
      </c>
      <c r="B47" s="50">
        <v>31</v>
      </c>
      <c r="C47" s="46">
        <v>5</v>
      </c>
      <c r="D47" s="46">
        <f t="shared" si="14"/>
        <v>17.42</v>
      </c>
      <c r="E47" s="46">
        <v>0.29</v>
      </c>
      <c r="F47" s="46">
        <v>3.27</v>
      </c>
      <c r="G47" s="46">
        <v>6.03</v>
      </c>
      <c r="H47" s="46">
        <v>7.83</v>
      </c>
      <c r="I47" s="46">
        <v>0.25</v>
      </c>
      <c r="J47" s="46">
        <v>1.5</v>
      </c>
      <c r="K47" s="46">
        <f t="shared" si="15"/>
        <v>19.17</v>
      </c>
      <c r="L47" s="65"/>
      <c r="M47" s="65">
        <v>304</v>
      </c>
      <c r="N47" s="65"/>
      <c r="O47" s="66"/>
      <c r="P47" s="66">
        <v>48</v>
      </c>
      <c r="Q47" s="66">
        <v>5</v>
      </c>
      <c r="R47" s="66">
        <v>10</v>
      </c>
      <c r="S47" s="66">
        <v>0</v>
      </c>
      <c r="T47" s="48">
        <f>M47+S47</f>
        <v>304</v>
      </c>
      <c r="U47" s="49"/>
      <c r="V47" s="49"/>
      <c r="W47" s="49"/>
      <c r="X47" s="35"/>
      <c r="Y47" s="35"/>
      <c r="Z47" s="35"/>
    </row>
    <row r="48" spans="1:26" ht="12.75">
      <c r="A48" s="14" t="s">
        <v>49</v>
      </c>
      <c r="B48" s="50">
        <v>30</v>
      </c>
      <c r="C48" s="46">
        <v>3</v>
      </c>
      <c r="D48" s="46">
        <f t="shared" si="14"/>
        <v>8.34</v>
      </c>
      <c r="E48" s="46">
        <v>0.31</v>
      </c>
      <c r="F48" s="46">
        <v>0.52</v>
      </c>
      <c r="G48" s="46">
        <v>1.25</v>
      </c>
      <c r="H48" s="46">
        <v>6.26</v>
      </c>
      <c r="I48" s="46">
        <v>2.79</v>
      </c>
      <c r="J48" s="46">
        <v>5.75</v>
      </c>
      <c r="K48" s="46">
        <f t="shared" si="15"/>
        <v>16.88</v>
      </c>
      <c r="L48" s="65"/>
      <c r="M48" s="65">
        <v>156</v>
      </c>
      <c r="N48" s="65"/>
      <c r="O48" s="66"/>
      <c r="P48" s="66"/>
      <c r="Q48" s="66"/>
      <c r="R48" s="66">
        <v>30</v>
      </c>
      <c r="S48" s="66">
        <v>2</v>
      </c>
      <c r="T48" s="48">
        <f>M48+S48</f>
        <v>158</v>
      </c>
      <c r="U48" s="49"/>
      <c r="V48" s="49"/>
      <c r="W48" s="49"/>
      <c r="X48" s="35"/>
      <c r="Y48" s="35"/>
      <c r="Z48" s="35"/>
    </row>
    <row r="49" spans="1:26" s="63" customFormat="1" ht="12.75">
      <c r="A49" s="11" t="s">
        <v>50</v>
      </c>
      <c r="B49" s="50">
        <f>SUM(B46:B48)</f>
        <v>95</v>
      </c>
      <c r="C49" s="50">
        <f>SUM(C46:C48)</f>
        <v>14</v>
      </c>
      <c r="D49" s="46">
        <f t="shared" si="14"/>
        <v>44.02</v>
      </c>
      <c r="E49" s="50">
        <f aca="true" t="shared" si="18" ref="E49:J49">SUM(E46:E48)</f>
        <v>0.69</v>
      </c>
      <c r="F49" s="50">
        <f t="shared" si="18"/>
        <v>5.75</v>
      </c>
      <c r="G49" s="50">
        <f t="shared" si="18"/>
        <v>10.95</v>
      </c>
      <c r="H49" s="50">
        <f t="shared" si="18"/>
        <v>26.63</v>
      </c>
      <c r="I49" s="50">
        <f t="shared" si="18"/>
        <v>3.04</v>
      </c>
      <c r="J49" s="50">
        <f t="shared" si="18"/>
        <v>7.25</v>
      </c>
      <c r="K49" s="46">
        <f t="shared" si="15"/>
        <v>54.31</v>
      </c>
      <c r="L49" s="51">
        <f aca="true" t="shared" si="19" ref="L49:T49">SUM(L46:L48)</f>
        <v>0</v>
      </c>
      <c r="M49" s="51">
        <f t="shared" si="19"/>
        <v>780</v>
      </c>
      <c r="N49" s="51">
        <f t="shared" si="19"/>
        <v>0</v>
      </c>
      <c r="O49" s="51">
        <f t="shared" si="19"/>
        <v>0</v>
      </c>
      <c r="P49" s="51">
        <f t="shared" si="19"/>
        <v>92</v>
      </c>
      <c r="Q49" s="51">
        <f t="shared" si="19"/>
        <v>9</v>
      </c>
      <c r="R49" s="51">
        <f t="shared" si="19"/>
        <v>69</v>
      </c>
      <c r="S49" s="51">
        <f t="shared" si="19"/>
        <v>6</v>
      </c>
      <c r="T49" s="51">
        <f t="shared" si="19"/>
        <v>786</v>
      </c>
      <c r="U49" s="61"/>
      <c r="V49" s="61"/>
      <c r="W49" s="61"/>
      <c r="X49" s="62"/>
      <c r="Y49" s="62"/>
      <c r="Z49" s="62"/>
    </row>
    <row r="50" spans="1:26" s="63" customFormat="1" ht="21.75">
      <c r="A50" s="18" t="s">
        <v>51</v>
      </c>
      <c r="B50" s="44">
        <v>0</v>
      </c>
      <c r="C50" s="45">
        <v>0</v>
      </c>
      <c r="D50" s="46">
        <f t="shared" si="14"/>
        <v>1.51</v>
      </c>
      <c r="E50" s="45">
        <v>0</v>
      </c>
      <c r="F50" s="45">
        <v>0.41</v>
      </c>
      <c r="G50" s="45">
        <v>0.55</v>
      </c>
      <c r="H50" s="45">
        <v>0.55</v>
      </c>
      <c r="I50" s="45">
        <v>0</v>
      </c>
      <c r="J50" s="45">
        <v>0</v>
      </c>
      <c r="K50" s="46">
        <f t="shared" si="15"/>
        <v>1.51</v>
      </c>
      <c r="L50" s="47"/>
      <c r="M50" s="47">
        <v>28</v>
      </c>
      <c r="N50" s="47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66">
        <f>M50+S50</f>
        <v>28</v>
      </c>
      <c r="U50" s="61"/>
      <c r="V50" s="61"/>
      <c r="W50" s="61"/>
      <c r="X50" s="62"/>
      <c r="Y50" s="62"/>
      <c r="Z50" s="62"/>
    </row>
    <row r="51" spans="1:26" s="63" customFormat="1" ht="21.75">
      <c r="A51" s="18" t="s">
        <v>52</v>
      </c>
      <c r="B51" s="44">
        <v>0</v>
      </c>
      <c r="C51" s="45">
        <v>0</v>
      </c>
      <c r="D51" s="46">
        <f t="shared" si="14"/>
        <v>8.1</v>
      </c>
      <c r="E51" s="45">
        <v>0</v>
      </c>
      <c r="F51" s="45">
        <v>0</v>
      </c>
      <c r="G51" s="45">
        <v>0</v>
      </c>
      <c r="H51" s="45">
        <v>8.1</v>
      </c>
      <c r="I51" s="45">
        <v>2</v>
      </c>
      <c r="J51" s="45"/>
      <c r="K51" s="46">
        <f t="shared" si="15"/>
        <v>10.1</v>
      </c>
      <c r="L51" s="47"/>
      <c r="M51" s="47">
        <v>0</v>
      </c>
      <c r="N51" s="47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66">
        <f>M51+S51</f>
        <v>0</v>
      </c>
      <c r="U51" s="61"/>
      <c r="V51" s="61"/>
      <c r="W51" s="61"/>
      <c r="X51" s="62"/>
      <c r="Y51" s="62"/>
      <c r="Z51" s="62"/>
    </row>
    <row r="52" spans="1:26" s="63" customFormat="1" ht="21.75">
      <c r="A52" s="18" t="s">
        <v>53</v>
      </c>
      <c r="B52" s="44">
        <v>0</v>
      </c>
      <c r="C52" s="45">
        <v>0</v>
      </c>
      <c r="D52" s="46">
        <f t="shared" si="14"/>
        <v>0</v>
      </c>
      <c r="E52" s="45">
        <v>0</v>
      </c>
      <c r="F52" s="45">
        <v>0</v>
      </c>
      <c r="G52" s="45">
        <v>0</v>
      </c>
      <c r="H52" s="45">
        <v>0</v>
      </c>
      <c r="I52" s="45">
        <v>1</v>
      </c>
      <c r="J52" s="45">
        <v>2</v>
      </c>
      <c r="K52" s="46">
        <f t="shared" si="15"/>
        <v>3</v>
      </c>
      <c r="L52" s="47"/>
      <c r="M52" s="47">
        <v>0</v>
      </c>
      <c r="N52" s="47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66">
        <f>M52+S52</f>
        <v>0</v>
      </c>
      <c r="U52" s="61"/>
      <c r="V52" s="61"/>
      <c r="W52" s="61"/>
      <c r="X52" s="62"/>
      <c r="Y52" s="62"/>
      <c r="Z52" s="62"/>
    </row>
    <row r="53" spans="1:26" s="63" customFormat="1" ht="21.75">
      <c r="A53" s="18" t="s">
        <v>54</v>
      </c>
      <c r="B53" s="44">
        <v>7</v>
      </c>
      <c r="C53" s="45">
        <v>0</v>
      </c>
      <c r="D53" s="46">
        <f t="shared" si="14"/>
        <v>8.92</v>
      </c>
      <c r="E53" s="45">
        <v>4.69</v>
      </c>
      <c r="F53" s="45">
        <v>2.36</v>
      </c>
      <c r="G53" s="45">
        <v>1.25</v>
      </c>
      <c r="H53" s="45">
        <v>0.62</v>
      </c>
      <c r="I53" s="45">
        <v>0</v>
      </c>
      <c r="J53" s="45">
        <v>0</v>
      </c>
      <c r="K53" s="46">
        <f t="shared" si="15"/>
        <v>8.92</v>
      </c>
      <c r="L53" s="47"/>
      <c r="M53" s="47">
        <v>161</v>
      </c>
      <c r="N53" s="47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66">
        <f>M53+S53</f>
        <v>161</v>
      </c>
      <c r="U53" s="61"/>
      <c r="V53" s="61"/>
      <c r="W53" s="61"/>
      <c r="X53" s="62"/>
      <c r="Y53" s="62"/>
      <c r="Z53" s="62"/>
    </row>
    <row r="54" spans="1:26" s="63" customFormat="1" ht="21.75" hidden="1">
      <c r="A54" s="18" t="s">
        <v>55</v>
      </c>
      <c r="B54" s="44"/>
      <c r="C54" s="45"/>
      <c r="D54" s="46">
        <f t="shared" si="14"/>
        <v>0</v>
      </c>
      <c r="E54" s="45"/>
      <c r="F54" s="45"/>
      <c r="G54" s="45"/>
      <c r="H54" s="45"/>
      <c r="I54" s="45"/>
      <c r="J54" s="45"/>
      <c r="K54" s="46">
        <f t="shared" si="15"/>
        <v>0</v>
      </c>
      <c r="L54" s="47"/>
      <c r="M54" s="47">
        <v>0</v>
      </c>
      <c r="N54" s="47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66">
        <f>M54+S54</f>
        <v>0</v>
      </c>
      <c r="U54" s="61"/>
      <c r="V54" s="61"/>
      <c r="W54" s="61"/>
      <c r="X54" s="62"/>
      <c r="Y54" s="62"/>
      <c r="Z54" s="62"/>
    </row>
    <row r="55" spans="1:26" s="71" customFormat="1" ht="14.25">
      <c r="A55" s="18" t="s">
        <v>96</v>
      </c>
      <c r="B55" s="67">
        <f>B9+B13+B27+B30+B32+B44+B45+B49+B50+B51+B52+B53</f>
        <v>10614</v>
      </c>
      <c r="C55" s="67">
        <f>C9+C13+C27+C30+C32+C44+C45+C49+C50+C51+C52+C53</f>
        <v>462</v>
      </c>
      <c r="D55" s="46">
        <f t="shared" si="14"/>
        <v>1240.32</v>
      </c>
      <c r="E55" s="67">
        <f aca="true" t="shared" si="20" ref="E55:J55">E9+E13+E27+E30+E32+E44+E45+E49+E50+E51+E52+E53</f>
        <v>50.5</v>
      </c>
      <c r="F55" s="67">
        <f t="shared" si="20"/>
        <v>214.53</v>
      </c>
      <c r="G55" s="67">
        <f t="shared" si="20"/>
        <v>356.51</v>
      </c>
      <c r="H55" s="67">
        <f t="shared" si="20"/>
        <v>618.78</v>
      </c>
      <c r="I55" s="67">
        <f t="shared" si="20"/>
        <v>130.63</v>
      </c>
      <c r="J55" s="67">
        <f t="shared" si="20"/>
        <v>273.42</v>
      </c>
      <c r="K55" s="46">
        <f t="shared" si="15"/>
        <v>1644.37</v>
      </c>
      <c r="L55" s="68">
        <f aca="true" t="shared" si="21" ref="L55:T55">L9+L13+L27+L30+L32+L44+L45+L49+L50+L51+L52+L53</f>
        <v>0</v>
      </c>
      <c r="M55" s="68">
        <f t="shared" si="21"/>
        <v>21494</v>
      </c>
      <c r="N55" s="68">
        <f t="shared" si="21"/>
        <v>241</v>
      </c>
      <c r="O55" s="68">
        <f t="shared" si="21"/>
        <v>137</v>
      </c>
      <c r="P55" s="68">
        <f t="shared" si="21"/>
        <v>675</v>
      </c>
      <c r="Q55" s="68">
        <f t="shared" si="21"/>
        <v>82</v>
      </c>
      <c r="R55" s="68">
        <f t="shared" si="21"/>
        <v>1965</v>
      </c>
      <c r="S55" s="68">
        <f t="shared" si="21"/>
        <v>757</v>
      </c>
      <c r="T55" s="68">
        <f t="shared" si="21"/>
        <v>22251</v>
      </c>
      <c r="U55" s="69"/>
      <c r="V55" s="69"/>
      <c r="W55" s="69"/>
      <c r="X55" s="70"/>
      <c r="Y55" s="70"/>
      <c r="Z55" s="70"/>
    </row>
    <row r="56" spans="1:26" s="63" customFormat="1" ht="21.75">
      <c r="A56" s="18" t="s">
        <v>55</v>
      </c>
      <c r="B56" s="67">
        <v>100</v>
      </c>
      <c r="C56" s="72">
        <v>0</v>
      </c>
      <c r="D56" s="46">
        <f t="shared" si="14"/>
        <v>3.47</v>
      </c>
      <c r="E56" s="73">
        <v>0.02</v>
      </c>
      <c r="F56" s="73">
        <v>1.49</v>
      </c>
      <c r="G56" s="73">
        <v>0.14</v>
      </c>
      <c r="H56" s="73">
        <v>1.82</v>
      </c>
      <c r="I56" s="73">
        <v>0</v>
      </c>
      <c r="J56" s="73">
        <v>0</v>
      </c>
      <c r="K56" s="46">
        <f t="shared" si="15"/>
        <v>3.47</v>
      </c>
      <c r="L56" s="74"/>
      <c r="M56" s="74">
        <v>74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48">
        <f>M56+S56</f>
        <v>74</v>
      </c>
      <c r="U56" s="61"/>
      <c r="V56" s="61"/>
      <c r="W56" s="61"/>
      <c r="X56" s="62"/>
      <c r="Y56" s="62"/>
      <c r="Z56" s="62"/>
    </row>
    <row r="57" spans="1:26" s="63" customFormat="1" ht="12.75">
      <c r="A57" s="14" t="s">
        <v>56</v>
      </c>
      <c r="B57" s="67">
        <v>10</v>
      </c>
      <c r="C57" s="45">
        <v>2</v>
      </c>
      <c r="D57" s="46">
        <f t="shared" si="14"/>
        <v>4.46</v>
      </c>
      <c r="E57" s="45">
        <v>0</v>
      </c>
      <c r="F57" s="45">
        <v>2.72</v>
      </c>
      <c r="G57" s="45">
        <v>1.74</v>
      </c>
      <c r="H57" s="45">
        <v>0</v>
      </c>
      <c r="I57" s="45">
        <v>1.5</v>
      </c>
      <c r="J57" s="45">
        <v>4.5</v>
      </c>
      <c r="K57" s="46">
        <f t="shared" si="15"/>
        <v>10.46</v>
      </c>
      <c r="L57" s="47"/>
      <c r="M57" s="47">
        <v>93</v>
      </c>
      <c r="N57" s="47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f>M57+S57</f>
        <v>93</v>
      </c>
      <c r="U57" s="61"/>
      <c r="V57" s="61"/>
      <c r="W57" s="61"/>
      <c r="X57" s="62"/>
      <c r="Y57" s="62"/>
      <c r="Z57" s="62"/>
    </row>
    <row r="58" spans="1:26" s="63" customFormat="1" ht="12.75">
      <c r="A58" s="14" t="s">
        <v>32</v>
      </c>
      <c r="B58" s="67">
        <v>14</v>
      </c>
      <c r="C58" s="45">
        <v>1</v>
      </c>
      <c r="D58" s="46">
        <f t="shared" si="14"/>
        <v>5.25</v>
      </c>
      <c r="E58" s="45">
        <v>0.21</v>
      </c>
      <c r="F58" s="45">
        <v>0</v>
      </c>
      <c r="G58" s="45">
        <v>4.04</v>
      </c>
      <c r="H58" s="45">
        <v>1</v>
      </c>
      <c r="I58" s="45">
        <v>1.5</v>
      </c>
      <c r="J58" s="45">
        <v>4.25</v>
      </c>
      <c r="K58" s="46">
        <f t="shared" si="15"/>
        <v>11</v>
      </c>
      <c r="L58" s="47"/>
      <c r="M58" s="47">
        <v>102</v>
      </c>
      <c r="N58" s="47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f>M58+S58</f>
        <v>102</v>
      </c>
      <c r="U58" s="61"/>
      <c r="V58" s="61"/>
      <c r="W58" s="61"/>
      <c r="X58" s="62"/>
      <c r="Y58" s="62"/>
      <c r="Z58" s="62"/>
    </row>
    <row r="59" spans="1:26" s="63" customFormat="1" ht="12.75">
      <c r="A59" s="11" t="s">
        <v>57</v>
      </c>
      <c r="B59" s="56">
        <f>B57+B58</f>
        <v>24</v>
      </c>
      <c r="C59" s="56">
        <f>C57+C58</f>
        <v>3</v>
      </c>
      <c r="D59" s="46">
        <f t="shared" si="14"/>
        <v>9.71</v>
      </c>
      <c r="E59" s="56">
        <f aca="true" t="shared" si="22" ref="E59:J59">E57+E58</f>
        <v>0.21</v>
      </c>
      <c r="F59" s="56">
        <f t="shared" si="22"/>
        <v>2.72</v>
      </c>
      <c r="G59" s="56">
        <f t="shared" si="22"/>
        <v>5.78</v>
      </c>
      <c r="H59" s="56">
        <f t="shared" si="22"/>
        <v>1</v>
      </c>
      <c r="I59" s="56">
        <f t="shared" si="22"/>
        <v>3</v>
      </c>
      <c r="J59" s="56">
        <f t="shared" si="22"/>
        <v>8.75</v>
      </c>
      <c r="K59" s="46">
        <f t="shared" si="15"/>
        <v>21.46</v>
      </c>
      <c r="L59" s="57">
        <f aca="true" t="shared" si="23" ref="L59:T59">L57+L58</f>
        <v>0</v>
      </c>
      <c r="M59" s="57">
        <f t="shared" si="23"/>
        <v>195</v>
      </c>
      <c r="N59" s="57">
        <f t="shared" si="23"/>
        <v>0</v>
      </c>
      <c r="O59" s="57">
        <f t="shared" si="23"/>
        <v>0</v>
      </c>
      <c r="P59" s="57">
        <f t="shared" si="23"/>
        <v>0</v>
      </c>
      <c r="Q59" s="57">
        <f t="shared" si="23"/>
        <v>0</v>
      </c>
      <c r="R59" s="57">
        <f t="shared" si="23"/>
        <v>0</v>
      </c>
      <c r="S59" s="57">
        <f t="shared" si="23"/>
        <v>0</v>
      </c>
      <c r="T59" s="57">
        <f t="shared" si="23"/>
        <v>195</v>
      </c>
      <c r="U59" s="61"/>
      <c r="V59" s="61"/>
      <c r="W59" s="61"/>
      <c r="X59" s="62"/>
      <c r="Y59" s="62"/>
      <c r="Z59" s="62"/>
    </row>
    <row r="60" spans="1:26" s="63" customFormat="1" ht="21.75">
      <c r="A60" s="18" t="s">
        <v>97</v>
      </c>
      <c r="B60" s="67">
        <v>7</v>
      </c>
      <c r="C60" s="56">
        <v>0</v>
      </c>
      <c r="D60" s="46">
        <f t="shared" si="14"/>
        <v>0.61</v>
      </c>
      <c r="E60" s="56">
        <v>0.01</v>
      </c>
      <c r="F60" s="56">
        <v>0.09</v>
      </c>
      <c r="G60" s="56">
        <v>0.07</v>
      </c>
      <c r="H60" s="56">
        <v>0.44</v>
      </c>
      <c r="I60" s="56">
        <v>0</v>
      </c>
      <c r="J60" s="56">
        <v>0</v>
      </c>
      <c r="K60" s="46">
        <f t="shared" si="15"/>
        <v>0.61</v>
      </c>
      <c r="L60" s="57"/>
      <c r="M60" s="57">
        <v>11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66">
        <f>M60+S60</f>
        <v>11</v>
      </c>
      <c r="U60" s="61"/>
      <c r="V60" s="61"/>
      <c r="W60" s="61"/>
      <c r="X60" s="62"/>
      <c r="Y60" s="62"/>
      <c r="Z60" s="62"/>
    </row>
    <row r="61" spans="1:26" s="63" customFormat="1" ht="12.75">
      <c r="A61" s="14" t="s">
        <v>59</v>
      </c>
      <c r="B61" s="67">
        <v>6117</v>
      </c>
      <c r="C61" s="72">
        <v>0</v>
      </c>
      <c r="D61" s="46">
        <f t="shared" si="14"/>
        <v>22.25</v>
      </c>
      <c r="E61" s="72">
        <v>0.92</v>
      </c>
      <c r="F61" s="72">
        <v>4.16</v>
      </c>
      <c r="G61" s="72">
        <v>2.17</v>
      </c>
      <c r="H61" s="72">
        <v>15</v>
      </c>
      <c r="I61" s="72">
        <v>3</v>
      </c>
      <c r="J61" s="72">
        <v>1.85</v>
      </c>
      <c r="K61" s="46">
        <f t="shared" si="15"/>
        <v>27.1</v>
      </c>
      <c r="L61" s="75"/>
      <c r="M61" s="75">
        <v>429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48">
        <f>M61+S61</f>
        <v>429</v>
      </c>
      <c r="U61" s="61"/>
      <c r="V61" s="61"/>
      <c r="W61" s="61"/>
      <c r="X61" s="62"/>
      <c r="Y61" s="62"/>
      <c r="Z61" s="62"/>
    </row>
    <row r="62" spans="1:26" s="63" customFormat="1" ht="12.75">
      <c r="A62" s="14" t="s">
        <v>60</v>
      </c>
      <c r="B62" s="67">
        <v>8180</v>
      </c>
      <c r="C62" s="45">
        <v>0</v>
      </c>
      <c r="D62" s="46">
        <f t="shared" si="14"/>
        <v>18.5</v>
      </c>
      <c r="E62" s="45">
        <v>0</v>
      </c>
      <c r="F62" s="45">
        <v>3.2</v>
      </c>
      <c r="G62" s="45">
        <v>1.33</v>
      </c>
      <c r="H62" s="45">
        <v>13.97</v>
      </c>
      <c r="I62" s="45">
        <v>3</v>
      </c>
      <c r="J62" s="45">
        <v>1.75</v>
      </c>
      <c r="K62" s="46">
        <f t="shared" si="15"/>
        <v>23.25</v>
      </c>
      <c r="L62" s="76"/>
      <c r="M62" s="76">
        <v>354</v>
      </c>
      <c r="N62" s="76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f>M62+S62</f>
        <v>354</v>
      </c>
      <c r="U62" s="61"/>
      <c r="V62" s="61"/>
      <c r="W62" s="61"/>
      <c r="X62" s="62"/>
      <c r="Y62" s="62"/>
      <c r="Z62" s="62"/>
    </row>
    <row r="63" spans="1:26" s="63" customFormat="1" ht="12.75">
      <c r="A63" s="14" t="s">
        <v>61</v>
      </c>
      <c r="B63" s="67">
        <v>4523</v>
      </c>
      <c r="C63" s="77">
        <v>0</v>
      </c>
      <c r="D63" s="46">
        <f t="shared" si="14"/>
        <v>16.65</v>
      </c>
      <c r="E63" s="72">
        <v>0.25</v>
      </c>
      <c r="F63" s="72">
        <v>1.81</v>
      </c>
      <c r="G63" s="72">
        <v>1.75</v>
      </c>
      <c r="H63" s="72">
        <v>12.84</v>
      </c>
      <c r="I63" s="72">
        <v>2.55</v>
      </c>
      <c r="J63" s="72">
        <v>1.18</v>
      </c>
      <c r="K63" s="46">
        <f t="shared" si="15"/>
        <v>20.38</v>
      </c>
      <c r="L63" s="78"/>
      <c r="M63" s="78">
        <v>317</v>
      </c>
      <c r="N63" s="7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f>M63+S63</f>
        <v>317</v>
      </c>
      <c r="U63" s="61"/>
      <c r="V63" s="61"/>
      <c r="W63" s="61"/>
      <c r="X63" s="62"/>
      <c r="Y63" s="62"/>
      <c r="Z63" s="62"/>
    </row>
    <row r="64" spans="1:26" s="63" customFormat="1" ht="12.75">
      <c r="A64" s="11" t="s">
        <v>62</v>
      </c>
      <c r="B64" s="46">
        <f>B61+B62+B63</f>
        <v>18820</v>
      </c>
      <c r="C64" s="46">
        <f>C61+C62+C63</f>
        <v>0</v>
      </c>
      <c r="D64" s="46">
        <f t="shared" si="14"/>
        <v>57.4</v>
      </c>
      <c r="E64" s="46">
        <f aca="true" t="shared" si="24" ref="E64:J64">E61+E62+E63</f>
        <v>1.17</v>
      </c>
      <c r="F64" s="46">
        <f t="shared" si="24"/>
        <v>9.17</v>
      </c>
      <c r="G64" s="46">
        <f t="shared" si="24"/>
        <v>5.25</v>
      </c>
      <c r="H64" s="46">
        <f t="shared" si="24"/>
        <v>41.81</v>
      </c>
      <c r="I64" s="46">
        <f t="shared" si="24"/>
        <v>8.55</v>
      </c>
      <c r="J64" s="46">
        <f t="shared" si="24"/>
        <v>4.78</v>
      </c>
      <c r="K64" s="46">
        <f t="shared" si="15"/>
        <v>70.73</v>
      </c>
      <c r="L64" s="65">
        <f aca="true" t="shared" si="25" ref="L64:T64">L61+L62+L63</f>
        <v>0</v>
      </c>
      <c r="M64" s="65">
        <f t="shared" si="25"/>
        <v>1100</v>
      </c>
      <c r="N64" s="65">
        <f t="shared" si="25"/>
        <v>0</v>
      </c>
      <c r="O64" s="65">
        <f t="shared" si="25"/>
        <v>0</v>
      </c>
      <c r="P64" s="65">
        <f t="shared" si="25"/>
        <v>0</v>
      </c>
      <c r="Q64" s="65">
        <f t="shared" si="25"/>
        <v>0</v>
      </c>
      <c r="R64" s="65">
        <f t="shared" si="25"/>
        <v>0</v>
      </c>
      <c r="S64" s="65">
        <f t="shared" si="25"/>
        <v>0</v>
      </c>
      <c r="T64" s="65">
        <f t="shared" si="25"/>
        <v>1100</v>
      </c>
      <c r="U64" s="61"/>
      <c r="V64" s="61"/>
      <c r="W64" s="61"/>
      <c r="X64" s="62"/>
      <c r="Y64" s="62"/>
      <c r="Z64" s="62"/>
    </row>
    <row r="65" spans="1:26" s="63" customFormat="1" ht="12.75">
      <c r="A65" s="11" t="s">
        <v>63</v>
      </c>
      <c r="B65" s="67">
        <v>1384</v>
      </c>
      <c r="C65" s="46">
        <v>102</v>
      </c>
      <c r="D65" s="46">
        <f t="shared" si="14"/>
        <v>22.01</v>
      </c>
      <c r="E65" s="46">
        <v>1.9</v>
      </c>
      <c r="F65" s="46">
        <v>7.75</v>
      </c>
      <c r="G65" s="46">
        <v>5.22</v>
      </c>
      <c r="H65" s="46">
        <v>7.14</v>
      </c>
      <c r="I65" s="46">
        <v>4</v>
      </c>
      <c r="J65" s="46">
        <v>7.75</v>
      </c>
      <c r="K65" s="46">
        <f t="shared" si="15"/>
        <v>33.76</v>
      </c>
      <c r="L65" s="79"/>
      <c r="M65" s="79">
        <v>316</v>
      </c>
      <c r="N65" s="79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f>M65+S65</f>
        <v>316</v>
      </c>
      <c r="U65" s="61"/>
      <c r="V65" s="61"/>
      <c r="W65" s="61"/>
      <c r="X65" s="62"/>
      <c r="Y65" s="62"/>
      <c r="Z65" s="62"/>
    </row>
    <row r="66" spans="1:23" s="1" customFormat="1" ht="12">
      <c r="A66" s="14" t="s">
        <v>20</v>
      </c>
      <c r="B66" s="67">
        <v>134</v>
      </c>
      <c r="C66" s="16">
        <v>4</v>
      </c>
      <c r="D66" s="46">
        <f t="shared" si="14"/>
        <v>8.75</v>
      </c>
      <c r="E66" s="16">
        <v>0.3</v>
      </c>
      <c r="F66" s="16">
        <v>3.45</v>
      </c>
      <c r="G66" s="16">
        <v>1.64</v>
      </c>
      <c r="H66" s="16">
        <v>3.36</v>
      </c>
      <c r="I66" s="16">
        <v>2.08</v>
      </c>
      <c r="J66" s="16">
        <v>8.96</v>
      </c>
      <c r="K66" s="46">
        <f t="shared" si="15"/>
        <v>19.79</v>
      </c>
      <c r="L66" s="80"/>
      <c r="M66" s="80">
        <v>244</v>
      </c>
      <c r="N66" s="80">
        <v>0</v>
      </c>
      <c r="O66" s="80">
        <v>0</v>
      </c>
      <c r="P66" s="80">
        <v>0</v>
      </c>
      <c r="Q66" s="81">
        <v>0</v>
      </c>
      <c r="R66" s="80">
        <v>0</v>
      </c>
      <c r="S66" s="80">
        <v>0</v>
      </c>
      <c r="T66" s="48">
        <f>M66+S66</f>
        <v>244</v>
      </c>
      <c r="U66" s="34"/>
      <c r="V66" s="34"/>
      <c r="W66" s="34"/>
    </row>
    <row r="67" spans="1:23" s="1" customFormat="1" ht="12">
      <c r="A67" s="14" t="s">
        <v>37</v>
      </c>
      <c r="B67" s="67">
        <v>83</v>
      </c>
      <c r="C67" s="29">
        <v>3</v>
      </c>
      <c r="D67" s="46">
        <f t="shared" si="14"/>
        <v>6.27</v>
      </c>
      <c r="E67" s="10">
        <v>0.15</v>
      </c>
      <c r="F67" s="10">
        <v>2.83</v>
      </c>
      <c r="G67" s="10">
        <v>1.29</v>
      </c>
      <c r="H67" s="10">
        <v>2</v>
      </c>
      <c r="I67" s="10">
        <v>3</v>
      </c>
      <c r="J67" s="10">
        <v>12</v>
      </c>
      <c r="K67" s="46">
        <f t="shared" si="15"/>
        <v>21.27</v>
      </c>
      <c r="L67" s="48"/>
      <c r="M67" s="48">
        <v>160</v>
      </c>
      <c r="N67" s="48"/>
      <c r="O67" s="48"/>
      <c r="P67" s="48"/>
      <c r="Q67" s="48"/>
      <c r="R67" s="48">
        <v>10</v>
      </c>
      <c r="S67" s="48">
        <v>0</v>
      </c>
      <c r="T67" s="48">
        <f>M67+S67</f>
        <v>160</v>
      </c>
      <c r="U67" s="34"/>
      <c r="V67" s="34"/>
      <c r="W67" s="34"/>
    </row>
    <row r="68" spans="1:23" ht="12.75">
      <c r="A68" s="11" t="s">
        <v>64</v>
      </c>
      <c r="B68" s="82">
        <f>SUM(B66:B67)</f>
        <v>217</v>
      </c>
      <c r="C68" s="82">
        <f>SUM(C66:C67)</f>
        <v>7</v>
      </c>
      <c r="D68" s="46">
        <f t="shared" si="14"/>
        <v>15.02</v>
      </c>
      <c r="E68" s="82">
        <f aca="true" t="shared" si="26" ref="E68:J68">SUM(E66:E67)</f>
        <v>0.45</v>
      </c>
      <c r="F68" s="82">
        <f t="shared" si="26"/>
        <v>6.28</v>
      </c>
      <c r="G68" s="82">
        <f t="shared" si="26"/>
        <v>2.93</v>
      </c>
      <c r="H68" s="82">
        <f t="shared" si="26"/>
        <v>5.36</v>
      </c>
      <c r="I68" s="82">
        <f t="shared" si="26"/>
        <v>5.08</v>
      </c>
      <c r="J68" s="82">
        <f t="shared" si="26"/>
        <v>20.96</v>
      </c>
      <c r="K68" s="46">
        <f t="shared" si="15"/>
        <v>41.06</v>
      </c>
      <c r="L68" s="66">
        <f aca="true" t="shared" si="27" ref="L68:T68">SUM(L66:L67)</f>
        <v>0</v>
      </c>
      <c r="M68" s="66">
        <f t="shared" si="27"/>
        <v>404</v>
      </c>
      <c r="N68" s="66">
        <f t="shared" si="27"/>
        <v>0</v>
      </c>
      <c r="O68" s="66">
        <f t="shared" si="27"/>
        <v>0</v>
      </c>
      <c r="P68" s="66">
        <f t="shared" si="27"/>
        <v>0</v>
      </c>
      <c r="Q68" s="66">
        <f t="shared" si="27"/>
        <v>0</v>
      </c>
      <c r="R68" s="66">
        <f t="shared" si="27"/>
        <v>10</v>
      </c>
      <c r="S68" s="66">
        <f t="shared" si="27"/>
        <v>0</v>
      </c>
      <c r="T68" s="66">
        <f t="shared" si="27"/>
        <v>404</v>
      </c>
      <c r="U68" s="49"/>
      <c r="V68" s="49"/>
      <c r="W68" s="49"/>
    </row>
    <row r="69" spans="1:23" ht="21.75">
      <c r="A69" s="18" t="s">
        <v>65</v>
      </c>
      <c r="B69" s="67">
        <v>13119</v>
      </c>
      <c r="C69" s="29">
        <v>0</v>
      </c>
      <c r="D69" s="46">
        <f t="shared" si="14"/>
        <v>1</v>
      </c>
      <c r="E69" s="10">
        <v>0</v>
      </c>
      <c r="F69" s="10">
        <v>0</v>
      </c>
      <c r="G69" s="10">
        <v>0</v>
      </c>
      <c r="H69" s="10">
        <v>1</v>
      </c>
      <c r="I69" s="10">
        <v>5.62</v>
      </c>
      <c r="J69" s="10">
        <v>3.53</v>
      </c>
      <c r="K69" s="46">
        <f t="shared" si="15"/>
        <v>10.15</v>
      </c>
      <c r="L69" s="48"/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f>M69+S69</f>
        <v>0</v>
      </c>
      <c r="U69" s="49"/>
      <c r="V69" s="49"/>
      <c r="W69" s="49"/>
    </row>
    <row r="70" spans="1:23" ht="12.75">
      <c r="A70" s="18" t="s">
        <v>98</v>
      </c>
      <c r="B70" s="67"/>
      <c r="C70" s="67"/>
      <c r="D70" s="46">
        <f>E70+F70+G70+H70</f>
        <v>109.22</v>
      </c>
      <c r="E70" s="67">
        <f aca="true" t="shared" si="28" ref="E70:J70">E56+E59+E60+E64+E65+E68+E69</f>
        <v>3.76</v>
      </c>
      <c r="F70" s="67">
        <f t="shared" si="28"/>
        <v>27.5</v>
      </c>
      <c r="G70" s="67">
        <f t="shared" si="28"/>
        <v>19.39</v>
      </c>
      <c r="H70" s="67">
        <f t="shared" si="28"/>
        <v>58.57</v>
      </c>
      <c r="I70" s="67">
        <f t="shared" si="28"/>
        <v>26.25</v>
      </c>
      <c r="J70" s="67">
        <f t="shared" si="28"/>
        <v>45.77</v>
      </c>
      <c r="K70" s="46">
        <f>J70+I70+D70</f>
        <v>181.24</v>
      </c>
      <c r="L70" s="83">
        <f aca="true" t="shared" si="29" ref="L70:T70">L56+L59+L60+L64+L65+L68+L69</f>
        <v>0</v>
      </c>
      <c r="M70" s="83">
        <f t="shared" si="29"/>
        <v>2100</v>
      </c>
      <c r="N70" s="83">
        <f t="shared" si="29"/>
        <v>0</v>
      </c>
      <c r="O70" s="83">
        <f t="shared" si="29"/>
        <v>0</v>
      </c>
      <c r="P70" s="83">
        <f t="shared" si="29"/>
        <v>0</v>
      </c>
      <c r="Q70" s="83">
        <f t="shared" si="29"/>
        <v>0</v>
      </c>
      <c r="R70" s="83">
        <f t="shared" si="29"/>
        <v>10</v>
      </c>
      <c r="S70" s="83">
        <f t="shared" si="29"/>
        <v>0</v>
      </c>
      <c r="T70" s="83">
        <f t="shared" si="29"/>
        <v>2100</v>
      </c>
      <c r="U70" s="49"/>
      <c r="V70" s="49"/>
      <c r="W70" s="49"/>
    </row>
    <row r="71" spans="1:23" s="87" customFormat="1" ht="12.75">
      <c r="A71" s="11" t="s">
        <v>99</v>
      </c>
      <c r="B71" s="84"/>
      <c r="C71" s="84"/>
      <c r="D71" s="46">
        <f>E71+F71+G71+H71</f>
        <v>1349.54</v>
      </c>
      <c r="E71" s="84">
        <f aca="true" t="shared" si="30" ref="E71:J71">E55+E70</f>
        <v>54.26</v>
      </c>
      <c r="F71" s="84">
        <f t="shared" si="30"/>
        <v>242.03</v>
      </c>
      <c r="G71" s="84">
        <f t="shared" si="30"/>
        <v>375.9</v>
      </c>
      <c r="H71" s="84">
        <f t="shared" si="30"/>
        <v>677.35</v>
      </c>
      <c r="I71" s="84">
        <f t="shared" si="30"/>
        <v>156.88</v>
      </c>
      <c r="J71" s="84">
        <f t="shared" si="30"/>
        <v>319.19</v>
      </c>
      <c r="K71" s="46">
        <f>J71+I71+D71</f>
        <v>1825.61</v>
      </c>
      <c r="L71" s="85">
        <f aca="true" t="shared" si="31" ref="L71:T71">L55+L70</f>
        <v>0</v>
      </c>
      <c r="M71" s="85">
        <f t="shared" si="31"/>
        <v>23594</v>
      </c>
      <c r="N71" s="85">
        <f t="shared" si="31"/>
        <v>241</v>
      </c>
      <c r="O71" s="85">
        <f t="shared" si="31"/>
        <v>137</v>
      </c>
      <c r="P71" s="85">
        <f t="shared" si="31"/>
        <v>675</v>
      </c>
      <c r="Q71" s="85">
        <f t="shared" si="31"/>
        <v>82</v>
      </c>
      <c r="R71" s="85">
        <f t="shared" si="31"/>
        <v>1975</v>
      </c>
      <c r="S71" s="85">
        <f t="shared" si="31"/>
        <v>757</v>
      </c>
      <c r="T71" s="85">
        <f t="shared" si="31"/>
        <v>24351</v>
      </c>
      <c r="U71" s="86"/>
      <c r="V71" s="86"/>
      <c r="W71" s="86"/>
    </row>
    <row r="72" spans="5:23" ht="12.75"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5:23" ht="12.75"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5:23" ht="12.75"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5:23" ht="12.75"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5:23" ht="12.75"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5:23" ht="12.75"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5:23" ht="12.75"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5:23" ht="12.75"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5:23" ht="12.75"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5:23" ht="12.75"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5:23" ht="12.75"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</row>
    <row r="83" spans="5:23" ht="12.75"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5:23" ht="12.75"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5:23" ht="12.75"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5:23" ht="12.75"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5:23" ht="12.75"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5:23" ht="12.75"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5:23" ht="12.75"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5:23" ht="12.75"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5:23" ht="12.75"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5:23" ht="12.75"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5:23" ht="12.75"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</row>
    <row r="94" spans="5:23" ht="12.75"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</row>
    <row r="95" spans="5:23" ht="12.75"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5:23" ht="12.75"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5:23" ht="12.75"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</row>
    <row r="98" spans="5:23" ht="12.75"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</row>
    <row r="99" spans="5:23" ht="12.75"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</row>
    <row r="100" spans="5:23" ht="12.75"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</row>
    <row r="101" spans="5:23" ht="12.75"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</row>
    <row r="102" spans="5:23" ht="12.75"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</row>
    <row r="103" spans="5:23" ht="12.75"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</row>
    <row r="104" spans="5:23" ht="12.75"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</row>
    <row r="105" spans="5:23" ht="12.75"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</row>
    <row r="106" spans="5:23" ht="12.75"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</row>
    <row r="107" spans="5:23" ht="12.75"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</row>
    <row r="108" spans="5:23" ht="12.75"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</row>
    <row r="109" spans="5:23" ht="12.75"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</row>
    <row r="110" spans="5:23" ht="12.75"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</row>
    <row r="111" spans="5:23" ht="12.75"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</row>
    <row r="112" spans="5:23" ht="12.75"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</row>
    <row r="113" spans="5:23" ht="12.75"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</row>
    <row r="114" spans="5:23" ht="12.75"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</row>
    <row r="115" spans="5:23" ht="12.75"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</row>
    <row r="116" spans="5:23" ht="12.75"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</row>
    <row r="117" spans="5:23" ht="12.75"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</row>
    <row r="118" spans="5:23" ht="12.75"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</row>
    <row r="119" spans="5:23" ht="12.75"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</row>
    <row r="120" spans="5:23" ht="12.75"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</row>
    <row r="121" spans="5:23" ht="12.75"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</row>
    <row r="122" spans="5:23" ht="12.75"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</row>
    <row r="123" spans="5:23" ht="12.75"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</row>
    <row r="124" spans="5:23" ht="12.75"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</row>
    <row r="125" spans="5:23" ht="12.75"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</row>
  </sheetData>
  <mergeCells count="7">
    <mergeCell ref="A2:K2"/>
    <mergeCell ref="N3:S3"/>
    <mergeCell ref="M4:R4"/>
    <mergeCell ref="D4:H4"/>
    <mergeCell ref="A3:A5"/>
    <mergeCell ref="B3:B5"/>
    <mergeCell ref="C3:C5"/>
  </mergeCells>
  <printOptions horizontalCentered="1"/>
  <pageMargins left="0.66" right="0.4" top="0.59" bottom="0.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pane ySplit="7" topLeftCell="BM8" activePane="bottomLeft" state="frozen"/>
      <selection pane="topLeft" activeCell="A1" sqref="A1"/>
      <selection pane="bottomLeft" activeCell="N1" sqref="N1"/>
    </sheetView>
  </sheetViews>
  <sheetFormatPr defaultColWidth="9.00390625" defaultRowHeight="12.75"/>
  <cols>
    <col min="1" max="1" width="10.625" style="0" customWidth="1"/>
    <col min="2" max="2" width="7.125" style="0" customWidth="1"/>
    <col min="3" max="3" width="6.875" style="0" customWidth="1"/>
    <col min="4" max="4" width="5.625" style="0" customWidth="1"/>
    <col min="5" max="5" width="6.75390625" style="0" customWidth="1"/>
    <col min="6" max="7" width="5.75390625" style="0" customWidth="1"/>
    <col min="8" max="8" width="5.00390625" style="0" customWidth="1"/>
    <col min="9" max="9" width="5.375" style="0" customWidth="1"/>
    <col min="10" max="10" width="8.75390625" style="159" customWidth="1"/>
    <col min="11" max="11" width="10.625" style="160" customWidth="1"/>
    <col min="12" max="12" width="7.75390625" style="160" customWidth="1"/>
    <col min="13" max="13" width="8.875" style="160" customWidth="1"/>
    <col min="14" max="14" width="7.00390625" style="0" customWidth="1"/>
  </cols>
  <sheetData>
    <row r="1" ht="12.75">
      <c r="N1" s="161" t="s">
        <v>338</v>
      </c>
    </row>
    <row r="2" spans="1:14" s="130" customFormat="1" ht="32.25" customHeight="1">
      <c r="A2" s="188" t="s">
        <v>275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s="130" customFormat="1" ht="18.75" customHeight="1">
      <c r="A3" s="131"/>
      <c r="B3" s="132"/>
      <c r="C3" s="133"/>
      <c r="D3" s="134"/>
      <c r="E3" s="134"/>
      <c r="F3" s="134"/>
      <c r="G3" s="134"/>
      <c r="H3" s="134"/>
      <c r="I3" s="134"/>
      <c r="J3" s="131"/>
      <c r="K3" s="135"/>
      <c r="L3" s="135"/>
      <c r="M3" s="135"/>
      <c r="N3" s="134"/>
    </row>
    <row r="4" spans="1:14" s="136" customFormat="1" ht="12.75" customHeight="1">
      <c r="A4" s="194" t="s">
        <v>276</v>
      </c>
      <c r="B4" s="194" t="s">
        <v>277</v>
      </c>
      <c r="C4" s="194" t="s">
        <v>278</v>
      </c>
      <c r="D4" s="185" t="s">
        <v>279</v>
      </c>
      <c r="E4" s="185" t="s">
        <v>280</v>
      </c>
      <c r="F4" s="185" t="s">
        <v>281</v>
      </c>
      <c r="G4" s="185"/>
      <c r="H4" s="185"/>
      <c r="I4" s="185"/>
      <c r="J4" s="189" t="s">
        <v>282</v>
      </c>
      <c r="K4" s="190"/>
      <c r="L4" s="189" t="s">
        <v>283</v>
      </c>
      <c r="M4" s="190"/>
      <c r="N4" s="185" t="s">
        <v>284</v>
      </c>
    </row>
    <row r="5" spans="1:14" s="136" customFormat="1" ht="13.5" customHeight="1">
      <c r="A5" s="185"/>
      <c r="B5" s="185"/>
      <c r="C5" s="185"/>
      <c r="D5" s="185"/>
      <c r="E5" s="185"/>
      <c r="F5" s="185" t="s">
        <v>285</v>
      </c>
      <c r="G5" s="185" t="s">
        <v>286</v>
      </c>
      <c r="H5" s="185"/>
      <c r="I5" s="185"/>
      <c r="J5" s="191"/>
      <c r="K5" s="192"/>
      <c r="L5" s="191"/>
      <c r="M5" s="192"/>
      <c r="N5" s="185"/>
    </row>
    <row r="6" spans="1:14" s="136" customFormat="1" ht="5.25" customHeight="1">
      <c r="A6" s="185"/>
      <c r="B6" s="185"/>
      <c r="C6" s="185"/>
      <c r="D6" s="185"/>
      <c r="E6" s="185"/>
      <c r="F6" s="185"/>
      <c r="G6" s="186" t="s">
        <v>287</v>
      </c>
      <c r="H6" s="186" t="s">
        <v>288</v>
      </c>
      <c r="I6" s="186" t="s">
        <v>289</v>
      </c>
      <c r="J6" s="193"/>
      <c r="K6" s="162"/>
      <c r="L6" s="193"/>
      <c r="M6" s="162"/>
      <c r="N6" s="185"/>
    </row>
    <row r="7" spans="1:14" s="139" customFormat="1" ht="14.25" customHeight="1">
      <c r="A7" s="185"/>
      <c r="B7" s="185"/>
      <c r="C7" s="185"/>
      <c r="D7" s="185"/>
      <c r="E7" s="185"/>
      <c r="F7" s="185"/>
      <c r="G7" s="187"/>
      <c r="H7" s="187"/>
      <c r="I7" s="187"/>
      <c r="J7" s="137" t="s">
        <v>290</v>
      </c>
      <c r="K7" s="138" t="s">
        <v>291</v>
      </c>
      <c r="L7" s="137" t="s">
        <v>290</v>
      </c>
      <c r="M7" s="138" t="s">
        <v>291</v>
      </c>
      <c r="N7" s="185"/>
    </row>
    <row r="8" spans="1:14" s="145" customFormat="1" ht="12.75" customHeight="1">
      <c r="A8" s="140" t="s">
        <v>292</v>
      </c>
      <c r="B8" s="141">
        <f>'[1]szczegóły'!C7</f>
        <v>74.75</v>
      </c>
      <c r="C8" s="141">
        <f>'[1]szczegóły'!K7</f>
        <v>71</v>
      </c>
      <c r="D8" s="141">
        <f>'[1]szczegóły'!O7</f>
        <v>3</v>
      </c>
      <c r="E8" s="141">
        <f>'[1]szczegóły'!Q7</f>
        <v>68.58</v>
      </c>
      <c r="F8" s="141">
        <f aca="true" t="shared" si="0" ref="F8:F44">SUM(G8:I8)</f>
        <v>15.649999999999999</v>
      </c>
      <c r="G8" s="141">
        <f>'[1]szczegóły'!AC7</f>
        <v>7.6899999999999995</v>
      </c>
      <c r="H8" s="141">
        <f>'[1]szczegóły'!AM7</f>
        <v>1.58</v>
      </c>
      <c r="I8" s="141">
        <f>'[1]szczegóły'!AQ7</f>
        <v>6.38</v>
      </c>
      <c r="J8" s="142">
        <f>'[1]szczegóły'!AW7</f>
        <v>536458</v>
      </c>
      <c r="K8" s="143">
        <f>'[1]szczegóły'!AX7</f>
        <v>536458</v>
      </c>
      <c r="L8" s="144">
        <f>'[1]szczegóły'!BC7</f>
        <v>0</v>
      </c>
      <c r="M8" s="143">
        <f>'[1]szczegóły'!BD7</f>
        <v>0</v>
      </c>
      <c r="N8" s="141">
        <f aca="true" t="shared" si="1" ref="N8:N45">K8/B8/12</f>
        <v>598.0579710144928</v>
      </c>
    </row>
    <row r="9" spans="1:14" s="145" customFormat="1" ht="12.75" customHeight="1">
      <c r="A9" s="140" t="s">
        <v>293</v>
      </c>
      <c r="B9" s="141">
        <f>'[1]szczegóły'!C8</f>
        <v>124</v>
      </c>
      <c r="C9" s="141">
        <f>'[1]szczegóły'!K8</f>
        <v>121</v>
      </c>
      <c r="D9" s="141">
        <f>'[1]szczegóły'!O8</f>
        <v>4</v>
      </c>
      <c r="E9" s="141">
        <f>'[1]szczegóły'!Q8</f>
        <v>116</v>
      </c>
      <c r="F9" s="141">
        <f t="shared" si="0"/>
        <v>19.7</v>
      </c>
      <c r="G9" s="141">
        <f>'[1]szczegóły'!AC8</f>
        <v>9.45</v>
      </c>
      <c r="H9" s="141">
        <f>'[1]szczegóły'!AM8</f>
        <v>1.75</v>
      </c>
      <c r="I9" s="141">
        <f>'[1]szczegóły'!AQ8</f>
        <v>8.5</v>
      </c>
      <c r="J9" s="142">
        <f>'[1]szczegóły'!AW8</f>
        <v>682606</v>
      </c>
      <c r="K9" s="143">
        <f>'[1]szczegóły'!AX8</f>
        <v>682606</v>
      </c>
      <c r="L9" s="144">
        <f>'[1]szczegóły'!BC8</f>
        <v>10000</v>
      </c>
      <c r="M9" s="143">
        <f>'[1]szczegóły'!BD8</f>
        <v>5236</v>
      </c>
      <c r="N9" s="141">
        <f t="shared" si="1"/>
        <v>458.7405913978494</v>
      </c>
    </row>
    <row r="10" spans="1:14" s="145" customFormat="1" ht="12.75" customHeight="1">
      <c r="A10" s="140" t="s">
        <v>294</v>
      </c>
      <c r="B10" s="141">
        <f>'[1]szczegóły'!C9</f>
        <v>147</v>
      </c>
      <c r="C10" s="141">
        <f>'[1]szczegóły'!K9</f>
        <v>145</v>
      </c>
      <c r="D10" s="141">
        <f>'[1]szczegóły'!O9</f>
        <v>5</v>
      </c>
      <c r="E10" s="141">
        <f>'[1]szczegóły'!Q9</f>
        <v>135</v>
      </c>
      <c r="F10" s="141">
        <f t="shared" si="0"/>
        <v>23.97</v>
      </c>
      <c r="G10" s="141">
        <f>'[1]szczegóły'!AC9</f>
        <v>12.39</v>
      </c>
      <c r="H10" s="141">
        <f>'[1]szczegóły'!AM9</f>
        <v>1.79</v>
      </c>
      <c r="I10" s="141">
        <f>'[1]szczegóły'!AQ9</f>
        <v>9.79</v>
      </c>
      <c r="J10" s="142">
        <f>'[1]szczegóły'!AW9</f>
        <v>823526</v>
      </c>
      <c r="K10" s="143">
        <f>'[1]szczegóły'!AX9</f>
        <v>823526</v>
      </c>
      <c r="L10" s="144">
        <f>'[1]szczegóły'!BC9</f>
        <v>0</v>
      </c>
      <c r="M10" s="143">
        <f>'[1]szczegóły'!BD9</f>
        <v>0</v>
      </c>
      <c r="N10" s="141">
        <f t="shared" si="1"/>
        <v>466.85147392290247</v>
      </c>
    </row>
    <row r="11" spans="1:14" s="145" customFormat="1" ht="12.75" customHeight="1">
      <c r="A11" s="140" t="s">
        <v>295</v>
      </c>
      <c r="B11" s="141">
        <f>'[1]szczegóły'!C10</f>
        <v>135</v>
      </c>
      <c r="C11" s="141">
        <f>'[1]szczegóły'!K10</f>
        <v>111</v>
      </c>
      <c r="D11" s="141">
        <f>'[1]szczegóły'!O10</f>
        <v>5</v>
      </c>
      <c r="E11" s="141">
        <f>'[1]szczegóły'!Q10</f>
        <v>120</v>
      </c>
      <c r="F11" s="141">
        <f t="shared" si="0"/>
        <v>22.4</v>
      </c>
      <c r="G11" s="141">
        <f>'[1]szczegóły'!AC10</f>
        <v>10.65</v>
      </c>
      <c r="H11" s="141">
        <f>'[1]szczegóły'!AM10</f>
        <v>2</v>
      </c>
      <c r="I11" s="141">
        <f>'[1]szczegóły'!AQ10</f>
        <v>9.75</v>
      </c>
      <c r="J11" s="142">
        <f>'[1]szczegóły'!AW10</f>
        <v>937660</v>
      </c>
      <c r="K11" s="143">
        <f>'[1]szczegóły'!AX10</f>
        <v>933463.53</v>
      </c>
      <c r="L11" s="144">
        <f>'[1]szczegóły'!BC10</f>
        <v>5978</v>
      </c>
      <c r="M11" s="143">
        <f>'[1]szczegóły'!BD10</f>
        <v>5978</v>
      </c>
      <c r="N11" s="141">
        <f t="shared" si="1"/>
        <v>576.2120555555556</v>
      </c>
    </row>
    <row r="12" spans="1:14" s="145" customFormat="1" ht="12.75" customHeight="1">
      <c r="A12" s="140" t="s">
        <v>296</v>
      </c>
      <c r="B12" s="141">
        <f>'[1]szczegóły'!C11</f>
        <v>103</v>
      </c>
      <c r="C12" s="141">
        <f>'[1]szczegóły'!K11</f>
        <v>95</v>
      </c>
      <c r="D12" s="141">
        <f>'[1]szczegóły'!O11</f>
        <v>4</v>
      </c>
      <c r="E12" s="141">
        <f>'[1]szczegóły'!Q11</f>
        <v>94</v>
      </c>
      <c r="F12" s="141">
        <f t="shared" si="0"/>
        <v>15.87</v>
      </c>
      <c r="G12" s="141">
        <f>'[1]szczegóły'!AC11</f>
        <v>7.93</v>
      </c>
      <c r="H12" s="141">
        <f>'[1]szczegóły'!AM11</f>
        <v>1.92</v>
      </c>
      <c r="I12" s="141">
        <f>'[1]szczegóły'!AQ11</f>
        <v>6.02</v>
      </c>
      <c r="J12" s="142">
        <f>'[1]szczegóły'!AW11</f>
        <v>739149</v>
      </c>
      <c r="K12" s="143">
        <f>'[1]szczegóły'!AX11</f>
        <v>715349</v>
      </c>
      <c r="L12" s="144">
        <f>'[1]szczegóły'!BC11</f>
        <v>0</v>
      </c>
      <c r="M12" s="143">
        <f>'[1]szczegóły'!BD11</f>
        <v>0</v>
      </c>
      <c r="N12" s="141">
        <f t="shared" si="1"/>
        <v>578.7613268608415</v>
      </c>
    </row>
    <row r="13" spans="1:14" s="145" customFormat="1" ht="12.75" customHeight="1">
      <c r="A13" s="140" t="s">
        <v>297</v>
      </c>
      <c r="B13" s="141">
        <f>'[1]szczegóły'!C12</f>
        <v>96</v>
      </c>
      <c r="C13" s="141">
        <f>'[1]szczegóły'!K12</f>
        <v>89</v>
      </c>
      <c r="D13" s="141">
        <f>'[1]szczegóły'!O12</f>
        <v>4</v>
      </c>
      <c r="E13" s="141">
        <f>'[1]szczegóły'!Q12</f>
        <v>82.8</v>
      </c>
      <c r="F13" s="141">
        <f t="shared" si="0"/>
        <v>18.738</v>
      </c>
      <c r="G13" s="141">
        <f>'[1]szczegóły'!AC12</f>
        <v>9.780000000000001</v>
      </c>
      <c r="H13" s="141">
        <f>'[1]szczegóły'!AM12</f>
        <v>1.5</v>
      </c>
      <c r="I13" s="141">
        <f>'[1]szczegóły'!AQ12</f>
        <v>7.458</v>
      </c>
      <c r="J13" s="142">
        <f>'[1]szczegóły'!AW12</f>
        <v>641202</v>
      </c>
      <c r="K13" s="143">
        <f>'[1]szczegóły'!AX12</f>
        <v>641202</v>
      </c>
      <c r="L13" s="144">
        <f>'[1]szczegóły'!BC12</f>
        <v>0</v>
      </c>
      <c r="M13" s="143">
        <f>'[1]szczegóły'!BD12</f>
        <v>0</v>
      </c>
      <c r="N13" s="141">
        <f t="shared" si="1"/>
        <v>556.5989583333334</v>
      </c>
    </row>
    <row r="14" spans="1:14" s="145" customFormat="1" ht="12.75" customHeight="1">
      <c r="A14" s="140" t="s">
        <v>298</v>
      </c>
      <c r="B14" s="141">
        <f>'[1]szczegóły'!C13</f>
        <v>116</v>
      </c>
      <c r="C14" s="141">
        <f>'[1]szczegóły'!K13</f>
        <v>114</v>
      </c>
      <c r="D14" s="141">
        <f>'[1]szczegóły'!O13</f>
        <v>4</v>
      </c>
      <c r="E14" s="141">
        <f>'[1]szczegóły'!Q13</f>
        <v>106</v>
      </c>
      <c r="F14" s="141">
        <f t="shared" si="0"/>
        <v>20.299999999999997</v>
      </c>
      <c r="G14" s="141">
        <f>'[1]szczegóły'!AC13</f>
        <v>10.45</v>
      </c>
      <c r="H14" s="141">
        <f>'[1]szczegóły'!AM13</f>
        <v>1.85</v>
      </c>
      <c r="I14" s="141">
        <f>'[1]szczegóły'!AQ13</f>
        <v>8</v>
      </c>
      <c r="J14" s="142">
        <f>'[1]szczegóły'!AW13</f>
        <v>743998</v>
      </c>
      <c r="K14" s="143">
        <f>'[1]szczegóły'!AX13</f>
        <v>743534</v>
      </c>
      <c r="L14" s="146">
        <f>'[1]szczegóły'!BC13</f>
        <v>4506</v>
      </c>
      <c r="M14" s="143">
        <f>'[1]szczegóły'!BD13</f>
        <v>4506</v>
      </c>
      <c r="N14" s="141">
        <f t="shared" si="1"/>
        <v>534.1479885057471</v>
      </c>
    </row>
    <row r="15" spans="1:14" s="145" customFormat="1" ht="12.75" customHeight="1">
      <c r="A15" s="140" t="s">
        <v>299</v>
      </c>
      <c r="B15" s="141">
        <f>'[1]szczegóły'!C14</f>
        <v>170</v>
      </c>
      <c r="C15" s="141">
        <f>'[1]szczegóły'!K14</f>
        <v>163</v>
      </c>
      <c r="D15" s="141">
        <f>'[1]szczegóły'!O14</f>
        <v>6</v>
      </c>
      <c r="E15" s="141">
        <f>'[1]szczegóły'!Q14</f>
        <v>153</v>
      </c>
      <c r="F15" s="141">
        <f t="shared" si="0"/>
        <v>26.509999999999998</v>
      </c>
      <c r="G15" s="141">
        <f>'[1]szczegóły'!AC14</f>
        <v>12.899999999999999</v>
      </c>
      <c r="H15" s="141">
        <f>'[1]szczegóły'!AM14</f>
        <v>2.19</v>
      </c>
      <c r="I15" s="141">
        <f>'[1]szczegóły'!AQ14</f>
        <v>11.42</v>
      </c>
      <c r="J15" s="142">
        <f>'[1]szczegóły'!AW14</f>
        <v>910600</v>
      </c>
      <c r="K15" s="143">
        <f>'[1]szczegóły'!AX14</f>
        <v>910600</v>
      </c>
      <c r="L15" s="146">
        <f>'[1]szczegóły'!BC14</f>
        <v>0</v>
      </c>
      <c r="M15" s="143">
        <f>'[1]szczegóły'!BD14</f>
        <v>0</v>
      </c>
      <c r="N15" s="141">
        <f t="shared" si="1"/>
        <v>446.3725490196078</v>
      </c>
    </row>
    <row r="16" spans="1:14" s="145" customFormat="1" ht="12.75" customHeight="1">
      <c r="A16" s="140" t="s">
        <v>300</v>
      </c>
      <c r="B16" s="141">
        <f>'[1]szczegóły'!C15</f>
        <v>76</v>
      </c>
      <c r="C16" s="141">
        <f>'[1]szczegóły'!K15</f>
        <v>69</v>
      </c>
      <c r="D16" s="141">
        <f>'[1]szczegóły'!O15</f>
        <v>3</v>
      </c>
      <c r="E16" s="141">
        <f>'[1]szczegóły'!Q15</f>
        <v>68.49</v>
      </c>
      <c r="F16" s="141">
        <f t="shared" si="0"/>
        <v>14.059999999999999</v>
      </c>
      <c r="G16" s="141">
        <f>'[1]szczegóły'!AC15</f>
        <v>6.1899999999999995</v>
      </c>
      <c r="H16" s="141">
        <f>'[1]szczegóły'!AM15</f>
        <v>1.5</v>
      </c>
      <c r="I16" s="141">
        <f>'[1]szczegóły'!AQ15</f>
        <v>6.37</v>
      </c>
      <c r="J16" s="142">
        <f>'[1]szczegóły'!AW15</f>
        <v>543353</v>
      </c>
      <c r="K16" s="143">
        <f>'[1]szczegóły'!AX15</f>
        <v>522333</v>
      </c>
      <c r="L16" s="146">
        <f>'[1]szczegóły'!BC15</f>
        <v>0</v>
      </c>
      <c r="M16" s="143">
        <f>'[1]szczegóły'!BD15</f>
        <v>0</v>
      </c>
      <c r="N16" s="141">
        <f t="shared" si="1"/>
        <v>572.733552631579</v>
      </c>
    </row>
    <row r="17" spans="1:14" s="145" customFormat="1" ht="12.75" customHeight="1">
      <c r="A17" s="140" t="s">
        <v>301</v>
      </c>
      <c r="B17" s="141">
        <f>'[1]szczegóły'!C16</f>
        <v>108</v>
      </c>
      <c r="C17" s="141">
        <f>'[1]szczegóły'!K16</f>
        <v>108</v>
      </c>
      <c r="D17" s="141">
        <f>'[1]szczegóły'!O16</f>
        <v>4</v>
      </c>
      <c r="E17" s="141">
        <f>'[1]szczegóły'!Q16</f>
        <v>64.75</v>
      </c>
      <c r="F17" s="141">
        <f t="shared" si="0"/>
        <v>18.33</v>
      </c>
      <c r="G17" s="141">
        <f>'[1]szczegóły'!AC16</f>
        <v>9.08</v>
      </c>
      <c r="H17" s="141">
        <f>'[1]szczegóły'!AM16</f>
        <v>1.75</v>
      </c>
      <c r="I17" s="141">
        <f>'[1]szczegóły'!AQ16</f>
        <v>7.5</v>
      </c>
      <c r="J17" s="142">
        <f>'[1]szczegóły'!AW16</f>
        <v>761841</v>
      </c>
      <c r="K17" s="143">
        <f>'[1]szczegóły'!AX16</f>
        <v>752215.34</v>
      </c>
      <c r="L17" s="146">
        <f>'[1]szczegóły'!BC16</f>
        <v>0</v>
      </c>
      <c r="M17" s="143">
        <f>'[1]szczegóły'!BD16</f>
        <v>0</v>
      </c>
      <c r="N17" s="141">
        <f t="shared" si="1"/>
        <v>580.4130709876544</v>
      </c>
    </row>
    <row r="18" spans="1:14" s="145" customFormat="1" ht="12.75" customHeight="1">
      <c r="A18" s="140" t="s">
        <v>302</v>
      </c>
      <c r="B18" s="141">
        <f>'[1]szczegóły'!C17</f>
        <v>112</v>
      </c>
      <c r="C18" s="141">
        <f>'[1]szczegóły'!K17</f>
        <v>102</v>
      </c>
      <c r="D18" s="141">
        <f>'[1]szczegóły'!O17</f>
        <v>4</v>
      </c>
      <c r="E18" s="141">
        <f>'[1]szczegóły'!Q17</f>
        <v>103</v>
      </c>
      <c r="F18" s="141">
        <f t="shared" si="0"/>
        <v>18.84</v>
      </c>
      <c r="G18" s="141">
        <f>'[1]szczegóły'!AC17</f>
        <v>9.09</v>
      </c>
      <c r="H18" s="141">
        <f>'[1]szczegóły'!AM17</f>
        <v>1.75</v>
      </c>
      <c r="I18" s="141">
        <f>'[1]szczegóły'!AQ17</f>
        <v>8</v>
      </c>
      <c r="J18" s="142">
        <f>'[1]szczegóły'!AW17</f>
        <v>677984</v>
      </c>
      <c r="K18" s="143">
        <f>'[1]szczegóły'!AX17</f>
        <v>677984</v>
      </c>
      <c r="L18" s="146">
        <f>'[1]szczegóły'!BC17</f>
        <v>0</v>
      </c>
      <c r="M18" s="143">
        <f>'[1]szczegóły'!BD17</f>
        <v>0</v>
      </c>
      <c r="N18" s="141">
        <f t="shared" si="1"/>
        <v>504.45238095238096</v>
      </c>
    </row>
    <row r="19" spans="1:14" s="145" customFormat="1" ht="12.75" customHeight="1">
      <c r="A19" s="140" t="s">
        <v>303</v>
      </c>
      <c r="B19" s="141">
        <f>'[1]szczegóły'!C18</f>
        <v>138</v>
      </c>
      <c r="C19" s="141">
        <f>'[1]szczegóły'!K18</f>
        <v>111</v>
      </c>
      <c r="D19" s="141">
        <f>'[1]szczegóły'!O18</f>
        <v>5</v>
      </c>
      <c r="E19" s="141">
        <f>'[1]szczegóły'!Q18</f>
        <v>125.5</v>
      </c>
      <c r="F19" s="141">
        <f t="shared" si="0"/>
        <v>20.98</v>
      </c>
      <c r="G19" s="141">
        <f>'[1]szczegóły'!AC18</f>
        <v>10.81</v>
      </c>
      <c r="H19" s="141">
        <f>'[1]szczegóły'!AM18</f>
        <v>1.75</v>
      </c>
      <c r="I19" s="141">
        <f>'[1]szczegóły'!AQ18</f>
        <v>8.42</v>
      </c>
      <c r="J19" s="142">
        <f>'[1]szczegóły'!AW18</f>
        <v>890162</v>
      </c>
      <c r="K19" s="143">
        <f>'[1]szczegóły'!AX18</f>
        <v>881616.31</v>
      </c>
      <c r="L19" s="146">
        <f>'[1]szczegóły'!BC18</f>
        <v>0</v>
      </c>
      <c r="M19" s="143">
        <f>'[1]szczegóły'!BD18</f>
        <v>0</v>
      </c>
      <c r="N19" s="141">
        <f t="shared" si="1"/>
        <v>532.3769987922706</v>
      </c>
    </row>
    <row r="20" spans="1:14" s="145" customFormat="1" ht="12.75" customHeight="1">
      <c r="A20" s="140" t="s">
        <v>304</v>
      </c>
      <c r="B20" s="141">
        <f>'[1]szczegóły'!C19</f>
        <v>104</v>
      </c>
      <c r="C20" s="141">
        <f>'[1]szczegóły'!K19</f>
        <v>101</v>
      </c>
      <c r="D20" s="141">
        <f>'[1]szczegóły'!O19</f>
        <v>4</v>
      </c>
      <c r="E20" s="141">
        <f>'[1]szczegóły'!Q19</f>
        <v>95</v>
      </c>
      <c r="F20" s="141">
        <f t="shared" si="0"/>
        <v>19.23</v>
      </c>
      <c r="G20" s="141">
        <f>'[1]szczegóły'!AC19</f>
        <v>8.92</v>
      </c>
      <c r="H20" s="141">
        <f>'[1]szczegóły'!AM19</f>
        <v>1.75</v>
      </c>
      <c r="I20" s="141">
        <f>'[1]szczegóły'!AQ19</f>
        <v>8.56</v>
      </c>
      <c r="J20" s="142">
        <f>'[1]szczegóły'!AW19</f>
        <v>895308</v>
      </c>
      <c r="K20" s="143">
        <f>'[1]szczegóły'!AX19</f>
        <v>859097.63</v>
      </c>
      <c r="L20" s="146">
        <f>'[1]szczegóły'!BC19</f>
        <v>40000</v>
      </c>
      <c r="M20" s="143">
        <f>'[1]szczegóły'!BD19</f>
        <v>39345</v>
      </c>
      <c r="N20" s="141">
        <f t="shared" si="1"/>
        <v>688.3795112179487</v>
      </c>
    </row>
    <row r="21" spans="1:14" s="145" customFormat="1" ht="12.75" customHeight="1">
      <c r="A21" s="140" t="s">
        <v>305</v>
      </c>
      <c r="B21" s="141">
        <f>'[1]szczegóły'!C20</f>
        <v>103</v>
      </c>
      <c r="C21" s="141">
        <f>'[1]szczegóły'!K20</f>
        <v>98</v>
      </c>
      <c r="D21" s="141">
        <f>'[1]szczegóły'!O20</f>
        <v>3.67</v>
      </c>
      <c r="E21" s="141">
        <f>'[1]szczegóły'!Q20</f>
        <v>93.67</v>
      </c>
      <c r="F21" s="141">
        <f t="shared" si="0"/>
        <v>17.84</v>
      </c>
      <c r="G21" s="141">
        <f>'[1]szczegóły'!AC20</f>
        <v>9.17</v>
      </c>
      <c r="H21" s="141">
        <f>'[1]szczegóły'!AM20</f>
        <v>1.67</v>
      </c>
      <c r="I21" s="141">
        <f>'[1]szczegóły'!AQ20</f>
        <v>7</v>
      </c>
      <c r="J21" s="142">
        <f>'[1]szczegóły'!AW20</f>
        <v>632189</v>
      </c>
      <c r="K21" s="143">
        <f>'[1]szczegóły'!AX20</f>
        <v>623370.86</v>
      </c>
      <c r="L21" s="146">
        <f>'[1]szczegóły'!BC20</f>
        <v>0</v>
      </c>
      <c r="M21" s="143">
        <f>'[1]szczegóły'!BD20</f>
        <v>0</v>
      </c>
      <c r="N21" s="141">
        <f t="shared" si="1"/>
        <v>504.345355987055</v>
      </c>
    </row>
    <row r="22" spans="1:14" s="145" customFormat="1" ht="12.75" customHeight="1">
      <c r="A22" s="140" t="s">
        <v>306</v>
      </c>
      <c r="B22" s="141">
        <f>'[1]szczegóły'!C21</f>
        <v>122</v>
      </c>
      <c r="C22" s="141">
        <f>'[1]szczegóły'!K21</f>
        <v>114</v>
      </c>
      <c r="D22" s="141">
        <f>'[1]szczegóły'!O21</f>
        <v>5</v>
      </c>
      <c r="E22" s="141">
        <f>'[1]szczegóły'!Q21</f>
        <v>111.6</v>
      </c>
      <c r="F22" s="141">
        <f t="shared" si="0"/>
        <v>22.09</v>
      </c>
      <c r="G22" s="141">
        <f>'[1]szczegóły'!AC21</f>
        <v>11.84</v>
      </c>
      <c r="H22" s="141">
        <f>'[1]szczegóły'!AM21</f>
        <v>1.75</v>
      </c>
      <c r="I22" s="141">
        <f>'[1]szczegóły'!AQ21</f>
        <v>8.5</v>
      </c>
      <c r="J22" s="142">
        <f>'[1]szczegóły'!AW21</f>
        <v>788553</v>
      </c>
      <c r="K22" s="143">
        <f>'[1]szczegóły'!AX21</f>
        <v>788553</v>
      </c>
      <c r="L22" s="146">
        <f>'[1]szczegóły'!BC21</f>
        <v>0</v>
      </c>
      <c r="M22" s="143">
        <f>'[1]szczegóły'!BD21</f>
        <v>0</v>
      </c>
      <c r="N22" s="141">
        <f t="shared" si="1"/>
        <v>538.6290983606558</v>
      </c>
    </row>
    <row r="23" spans="1:14" s="145" customFormat="1" ht="12.75" customHeight="1">
      <c r="A23" s="140" t="s">
        <v>307</v>
      </c>
      <c r="B23" s="141">
        <f>'[1]szczegóły'!C22</f>
        <v>106</v>
      </c>
      <c r="C23" s="141">
        <f>'[1]szczegóły'!K22</f>
        <v>103</v>
      </c>
      <c r="D23" s="141">
        <f>'[1]szczegóły'!O22</f>
        <v>4</v>
      </c>
      <c r="E23" s="141">
        <f>'[1]szczegóły'!Q22</f>
        <v>91</v>
      </c>
      <c r="F23" s="141">
        <f t="shared" si="0"/>
        <v>18.215</v>
      </c>
      <c r="G23" s="141">
        <f>'[1]szczegóły'!AC22</f>
        <v>9.59</v>
      </c>
      <c r="H23" s="141">
        <f>'[1]szczegóły'!AM22</f>
        <v>1.875</v>
      </c>
      <c r="I23" s="141">
        <f>'[1]szczegóły'!AQ22</f>
        <v>6.75</v>
      </c>
      <c r="J23" s="142">
        <f>'[1]szczegóły'!AW22</f>
        <v>662336</v>
      </c>
      <c r="K23" s="143">
        <f>'[1]szczegóły'!AX22</f>
        <v>662333.59</v>
      </c>
      <c r="L23" s="146">
        <f>'[1]szczegóły'!BC22</f>
        <v>0</v>
      </c>
      <c r="M23" s="143">
        <f>'[1]szczegóły'!BD22</f>
        <v>0</v>
      </c>
      <c r="N23" s="141">
        <f t="shared" si="1"/>
        <v>520.7025078616351</v>
      </c>
    </row>
    <row r="24" spans="1:14" s="145" customFormat="1" ht="12.75" customHeight="1">
      <c r="A24" s="140" t="s">
        <v>308</v>
      </c>
      <c r="B24" s="141">
        <f>'[1]szczegóły'!C23</f>
        <v>132</v>
      </c>
      <c r="C24" s="141">
        <f>'[1]szczegóły'!K23</f>
        <v>129</v>
      </c>
      <c r="D24" s="141">
        <f>'[1]szczegóły'!O23</f>
        <v>5</v>
      </c>
      <c r="E24" s="141">
        <f>'[1]szczegóły'!Q23</f>
        <v>107</v>
      </c>
      <c r="F24" s="141">
        <f t="shared" si="0"/>
        <v>20.04</v>
      </c>
      <c r="G24" s="141">
        <f>'[1]szczegóły'!AC23</f>
        <v>11</v>
      </c>
      <c r="H24" s="141">
        <f>'[1]szczegóły'!AM23</f>
        <v>2</v>
      </c>
      <c r="I24" s="141">
        <f>'[1]szczegóły'!AQ23</f>
        <v>7.04</v>
      </c>
      <c r="J24" s="142">
        <f>'[1]szczegóły'!AW23</f>
        <v>1600171</v>
      </c>
      <c r="K24" s="143">
        <f>'[1]szczegóły'!AX23</f>
        <v>1600079.18</v>
      </c>
      <c r="L24" s="146">
        <f>'[1]szczegóły'!BC23</f>
        <v>790000</v>
      </c>
      <c r="M24" s="143">
        <f>'[1]szczegóły'!BD23</f>
        <v>789908.18</v>
      </c>
      <c r="N24" s="141">
        <f t="shared" si="1"/>
        <v>1010.1509974747474</v>
      </c>
    </row>
    <row r="25" spans="1:14" s="145" customFormat="1" ht="12.75" customHeight="1">
      <c r="A25" s="140" t="s">
        <v>309</v>
      </c>
      <c r="B25" s="141">
        <f>'[1]szczegóły'!C24</f>
        <v>100</v>
      </c>
      <c r="C25" s="141">
        <f>'[1]szczegóły'!K24</f>
        <v>97</v>
      </c>
      <c r="D25" s="141">
        <f>'[1]szczegóły'!O24</f>
        <v>3.66</v>
      </c>
      <c r="E25" s="141">
        <f>'[1]szczegóły'!Q24</f>
        <v>91.66</v>
      </c>
      <c r="F25" s="141">
        <f t="shared" si="0"/>
        <v>18.009999999999998</v>
      </c>
      <c r="G25" s="141">
        <f>'[1]szczegóły'!AC24</f>
        <v>8.42</v>
      </c>
      <c r="H25" s="141">
        <f>'[1]szczegóły'!AM24</f>
        <v>1.84</v>
      </c>
      <c r="I25" s="141">
        <f>'[1]szczegóły'!AQ24</f>
        <v>7.75</v>
      </c>
      <c r="J25" s="142">
        <f>'[1]szczegóły'!AW24</f>
        <v>712322</v>
      </c>
      <c r="K25" s="143">
        <f>'[1]szczegóły'!AX24</f>
        <v>673977.24</v>
      </c>
      <c r="L25" s="146">
        <f>'[1]szczegóły'!BC24</f>
        <v>6000</v>
      </c>
      <c r="M25" s="143">
        <f>'[1]szczegóły'!BD24</f>
        <v>6000</v>
      </c>
      <c r="N25" s="141">
        <f t="shared" si="1"/>
        <v>561.6477</v>
      </c>
    </row>
    <row r="26" spans="1:14" s="145" customFormat="1" ht="12.75" customHeight="1">
      <c r="A26" s="140" t="s">
        <v>310</v>
      </c>
      <c r="B26" s="141">
        <f>'[1]szczegóły'!C25</f>
        <v>143</v>
      </c>
      <c r="C26" s="141">
        <f>'[1]szczegóły'!K25</f>
        <v>116</v>
      </c>
      <c r="D26" s="141">
        <f>'[1]szczegóły'!O25</f>
        <v>6</v>
      </c>
      <c r="E26" s="141">
        <f>'[1]szczegóły'!Q25</f>
        <v>130.25</v>
      </c>
      <c r="F26" s="141">
        <f t="shared" si="0"/>
        <v>22.68</v>
      </c>
      <c r="G26" s="141">
        <f>'[1]szczegóły'!AC25</f>
        <v>11.239999999999998</v>
      </c>
      <c r="H26" s="141">
        <f>'[1]szczegóły'!AM25</f>
        <v>2</v>
      </c>
      <c r="I26" s="141">
        <f>'[1]szczegóły'!AQ25</f>
        <v>9.44</v>
      </c>
      <c r="J26" s="142">
        <f>'[1]szczegóły'!AW25</f>
        <v>893274</v>
      </c>
      <c r="K26" s="143">
        <f>'[1]szczegóły'!AX25</f>
        <v>853340.86</v>
      </c>
      <c r="L26" s="146">
        <f>'[1]szczegóły'!BC25</f>
        <v>0</v>
      </c>
      <c r="M26" s="143">
        <f>'[1]szczegóły'!BD25</f>
        <v>0</v>
      </c>
      <c r="N26" s="141">
        <f t="shared" si="1"/>
        <v>497.2848834498834</v>
      </c>
    </row>
    <row r="27" spans="1:14" s="145" customFormat="1" ht="12.75" customHeight="1">
      <c r="A27" s="140" t="s">
        <v>311</v>
      </c>
      <c r="B27" s="141">
        <f>'[1]szczegóły'!C26</f>
        <v>142</v>
      </c>
      <c r="C27" s="141">
        <f>'[1]szczegóły'!K26</f>
        <v>128</v>
      </c>
      <c r="D27" s="141">
        <f>'[1]szczegóły'!O26</f>
        <v>5</v>
      </c>
      <c r="E27" s="141">
        <f>'[1]szczegóły'!Q26</f>
        <v>128.82999999999998</v>
      </c>
      <c r="F27" s="141">
        <f t="shared" si="0"/>
        <v>25.9</v>
      </c>
      <c r="G27" s="141">
        <f>'[1]szczegóły'!AC26</f>
        <v>14.15</v>
      </c>
      <c r="H27" s="141">
        <f>'[1]szczegóły'!AM26</f>
        <v>1.75</v>
      </c>
      <c r="I27" s="141">
        <f>'[1]szczegóły'!AQ26</f>
        <v>10</v>
      </c>
      <c r="J27" s="142">
        <f>'[1]szczegóły'!AW26</f>
        <v>970203</v>
      </c>
      <c r="K27" s="143">
        <f>'[1]szczegóły'!AX26</f>
        <v>970175.53</v>
      </c>
      <c r="L27" s="146">
        <f>'[1]szczegóły'!BC26</f>
        <v>0</v>
      </c>
      <c r="M27" s="143">
        <f>'[1]szczegóły'!BD26</f>
        <v>0</v>
      </c>
      <c r="N27" s="141">
        <f t="shared" si="1"/>
        <v>569.3518368544601</v>
      </c>
    </row>
    <row r="28" spans="1:14" s="145" customFormat="1" ht="12.75" customHeight="1">
      <c r="A28" s="140" t="s">
        <v>312</v>
      </c>
      <c r="B28" s="141">
        <f>'[1]szczegóły'!C27</f>
        <v>150</v>
      </c>
      <c r="C28" s="141">
        <f>'[1]szczegóły'!K27</f>
        <v>146</v>
      </c>
      <c r="D28" s="141">
        <f>'[1]szczegóły'!O27</f>
        <v>6</v>
      </c>
      <c r="E28" s="141">
        <f>'[1]szczegóły'!Q27</f>
        <v>137</v>
      </c>
      <c r="F28" s="141">
        <f t="shared" si="0"/>
        <v>25.5</v>
      </c>
      <c r="G28" s="141">
        <f>'[1]szczegóły'!AC27</f>
        <v>13.8</v>
      </c>
      <c r="H28" s="141">
        <f>'[1]szczegóły'!AM27</f>
        <v>2</v>
      </c>
      <c r="I28" s="141">
        <f>'[1]szczegóły'!AQ27</f>
        <v>9.7</v>
      </c>
      <c r="J28" s="142">
        <f>'[1]szczegóły'!AW27</f>
        <v>883499</v>
      </c>
      <c r="K28" s="143">
        <f>'[1]szczegóły'!AX27</f>
        <v>883160.57</v>
      </c>
      <c r="L28" s="146">
        <f>'[1]szczegóły'!BC27</f>
        <v>0</v>
      </c>
      <c r="M28" s="143">
        <f>'[1]szczegóły'!BD27</f>
        <v>0</v>
      </c>
      <c r="N28" s="141">
        <f t="shared" si="1"/>
        <v>490.6447611111111</v>
      </c>
    </row>
    <row r="29" spans="1:14" s="145" customFormat="1" ht="12.75" customHeight="1">
      <c r="A29" s="140" t="s">
        <v>313</v>
      </c>
      <c r="B29" s="141">
        <f>'[1]szczegóły'!C28</f>
        <v>135</v>
      </c>
      <c r="C29" s="141">
        <f>'[1]szczegóły'!K28</f>
        <v>112</v>
      </c>
      <c r="D29" s="141">
        <f>'[1]szczegóły'!O28</f>
        <v>5</v>
      </c>
      <c r="E29" s="141">
        <f>'[1]szczegóły'!Q28</f>
        <v>123</v>
      </c>
      <c r="F29" s="141">
        <f t="shared" si="0"/>
        <v>22.200000000000003</v>
      </c>
      <c r="G29" s="141">
        <f>'[1]szczegóły'!AC28</f>
        <v>11.22</v>
      </c>
      <c r="H29" s="141">
        <f>'[1]szczegóły'!AM28</f>
        <v>2</v>
      </c>
      <c r="I29" s="141">
        <f>'[1]szczegóły'!AQ28</f>
        <v>8.98</v>
      </c>
      <c r="J29" s="142">
        <f>'[1]szczegóły'!AW28</f>
        <v>826184</v>
      </c>
      <c r="K29" s="143">
        <f>'[1]szczegóły'!AX28</f>
        <v>819184</v>
      </c>
      <c r="L29" s="146">
        <f>'[1]szczegóły'!BC28</f>
        <v>0</v>
      </c>
      <c r="M29" s="143">
        <f>'[1]szczegóły'!BD28</f>
        <v>0</v>
      </c>
      <c r="N29" s="141">
        <f t="shared" si="1"/>
        <v>505.6691358024691</v>
      </c>
    </row>
    <row r="30" spans="1:14" s="145" customFormat="1" ht="12.75" customHeight="1">
      <c r="A30" s="140" t="s">
        <v>314</v>
      </c>
      <c r="B30" s="141">
        <f>'[1]szczegóły'!C29</f>
        <v>107</v>
      </c>
      <c r="C30" s="141">
        <f>'[1]szczegóły'!K29</f>
        <v>75</v>
      </c>
      <c r="D30" s="141">
        <f>'[1]szczegóły'!O29</f>
        <v>4.33</v>
      </c>
      <c r="E30" s="141">
        <f>'[1]szczegóły'!Q29</f>
        <v>95.76</v>
      </c>
      <c r="F30" s="141">
        <f t="shared" si="0"/>
        <v>19.630000000000003</v>
      </c>
      <c r="G30" s="141">
        <f>'[1]szczegóły'!AC29</f>
        <v>9.55</v>
      </c>
      <c r="H30" s="141">
        <f>'[1]szczegóły'!AM29</f>
        <v>1.75</v>
      </c>
      <c r="I30" s="141">
        <f>'[1]szczegóły'!AQ29</f>
        <v>8.33</v>
      </c>
      <c r="J30" s="142">
        <f>'[1]szczegóły'!AW29</f>
        <v>641209</v>
      </c>
      <c r="K30" s="143">
        <f>'[1]szczegóły'!AX29</f>
        <v>641209</v>
      </c>
      <c r="L30" s="146">
        <f>'[1]szczegóły'!BC29</f>
        <v>6000</v>
      </c>
      <c r="M30" s="143">
        <f>'[1]szczegóły'!BD29</f>
        <v>5270.4</v>
      </c>
      <c r="N30" s="141">
        <f t="shared" si="1"/>
        <v>499.3839563862928</v>
      </c>
    </row>
    <row r="31" spans="1:14" s="145" customFormat="1" ht="12.75" customHeight="1">
      <c r="A31" s="140" t="s">
        <v>315</v>
      </c>
      <c r="B31" s="141">
        <f>'[1]szczegóły'!C30</f>
        <v>126</v>
      </c>
      <c r="C31" s="141">
        <f>'[1]szczegóły'!K30</f>
        <v>124</v>
      </c>
      <c r="D31" s="141">
        <f>'[1]szczegóły'!O30</f>
        <v>4</v>
      </c>
      <c r="E31" s="141">
        <f>'[1]szczegóły'!Q30</f>
        <v>108</v>
      </c>
      <c r="F31" s="141">
        <f t="shared" si="0"/>
        <v>21.12</v>
      </c>
      <c r="G31" s="141">
        <f>'[1]szczegóły'!AC30</f>
        <v>10.120000000000001</v>
      </c>
      <c r="H31" s="141">
        <f>'[1]szczegóły'!AM30</f>
        <v>1.75</v>
      </c>
      <c r="I31" s="141">
        <f>'[1]szczegóły'!AQ30</f>
        <v>9.25</v>
      </c>
      <c r="J31" s="142">
        <f>'[1]szczegóły'!AW30</f>
        <v>824023</v>
      </c>
      <c r="K31" s="143">
        <f>'[1]szczegóły'!AX30</f>
        <v>824023</v>
      </c>
      <c r="L31" s="146">
        <f>'[1]szczegóły'!BC30</f>
        <v>0</v>
      </c>
      <c r="M31" s="143">
        <f>'[1]szczegóły'!BD30</f>
        <v>0</v>
      </c>
      <c r="N31" s="141">
        <f t="shared" si="1"/>
        <v>544.9887566137567</v>
      </c>
    </row>
    <row r="32" spans="1:14" s="145" customFormat="1" ht="12.75" customHeight="1">
      <c r="A32" s="140" t="s">
        <v>316</v>
      </c>
      <c r="B32" s="141">
        <f>'[1]szczegóły'!C31</f>
        <v>139</v>
      </c>
      <c r="C32" s="141">
        <f>'[1]szczegóły'!K31</f>
        <v>136</v>
      </c>
      <c r="D32" s="141">
        <f>'[1]szczegóły'!O31</f>
        <v>5</v>
      </c>
      <c r="E32" s="141">
        <f>'[1]szczegóły'!Q31</f>
        <v>127.58</v>
      </c>
      <c r="F32" s="141">
        <f t="shared" si="0"/>
        <v>26.509999999999998</v>
      </c>
      <c r="G32" s="141">
        <f>'[1]szczegóły'!AC31</f>
        <v>13.95</v>
      </c>
      <c r="H32" s="141">
        <f>'[1]szczegóły'!AM31</f>
        <v>1.87</v>
      </c>
      <c r="I32" s="141">
        <f>'[1]szczegóły'!AQ31</f>
        <v>10.69</v>
      </c>
      <c r="J32" s="142">
        <f>'[1]szczegóły'!AW31</f>
        <v>828706</v>
      </c>
      <c r="K32" s="143">
        <f>'[1]szczegóły'!AX31</f>
        <v>828706</v>
      </c>
      <c r="L32" s="146">
        <f>'[1]szczegóły'!BC31</f>
        <v>0</v>
      </c>
      <c r="M32" s="143">
        <f>'[1]szczegóły'!BD31</f>
        <v>0</v>
      </c>
      <c r="N32" s="141">
        <f t="shared" si="1"/>
        <v>496.826139088729</v>
      </c>
    </row>
    <row r="33" spans="1:14" s="145" customFormat="1" ht="12.75" customHeight="1">
      <c r="A33" s="140" t="s">
        <v>317</v>
      </c>
      <c r="B33" s="141">
        <f>'[1]szczegóły'!C32</f>
        <v>153</v>
      </c>
      <c r="C33" s="141">
        <f>'[1]szczegóły'!K32</f>
        <v>113</v>
      </c>
      <c r="D33" s="141">
        <f>'[1]szczegóły'!O32</f>
        <v>6</v>
      </c>
      <c r="E33" s="141">
        <f>'[1]szczegóły'!Q32</f>
        <v>105.84</v>
      </c>
      <c r="F33" s="141">
        <f t="shared" si="0"/>
        <v>22.5</v>
      </c>
      <c r="G33" s="141">
        <f>'[1]szczegóły'!AC32</f>
        <v>11</v>
      </c>
      <c r="H33" s="141">
        <f>'[1]szczegóły'!AM32</f>
        <v>2</v>
      </c>
      <c r="I33" s="141">
        <f>'[1]szczegóły'!AQ32</f>
        <v>9.5</v>
      </c>
      <c r="J33" s="142">
        <f>'[1]szczegóły'!AW32</f>
        <v>954373</v>
      </c>
      <c r="K33" s="143">
        <f>'[1]szczegóły'!AX32</f>
        <v>954034.37</v>
      </c>
      <c r="L33" s="146">
        <f>'[1]szczegóły'!BC32</f>
        <v>0</v>
      </c>
      <c r="M33" s="143">
        <f>'[1]szczegóły'!BD32</f>
        <v>0</v>
      </c>
      <c r="N33" s="141">
        <f t="shared" si="1"/>
        <v>519.6265631808279</v>
      </c>
    </row>
    <row r="34" spans="1:14" s="145" customFormat="1" ht="12.75" customHeight="1">
      <c r="A34" s="140" t="s">
        <v>318</v>
      </c>
      <c r="B34" s="141">
        <f>'[1]szczegóły'!C33</f>
        <v>100</v>
      </c>
      <c r="C34" s="141">
        <f>'[1]szczegóły'!K33</f>
        <v>95</v>
      </c>
      <c r="D34" s="141">
        <f>'[1]szczegóły'!O33</f>
        <v>4</v>
      </c>
      <c r="E34" s="141">
        <f>'[1]szczegóły'!Q33</f>
        <v>91.5</v>
      </c>
      <c r="F34" s="141">
        <f t="shared" si="0"/>
        <v>16.66</v>
      </c>
      <c r="G34" s="141">
        <f>'[1]szczegóły'!AC33</f>
        <v>8.41</v>
      </c>
      <c r="H34" s="141">
        <f>'[1]szczegóły'!AM33</f>
        <v>1.75</v>
      </c>
      <c r="I34" s="141">
        <f>'[1]szczegóły'!AQ33</f>
        <v>6.5</v>
      </c>
      <c r="J34" s="142">
        <f>'[1]szczegóły'!AW33</f>
        <v>616615</v>
      </c>
      <c r="K34" s="143">
        <f>'[1]szczegóły'!AX33</f>
        <v>616615</v>
      </c>
      <c r="L34" s="146">
        <f>'[1]szczegóły'!BC33</f>
        <v>0</v>
      </c>
      <c r="M34" s="143">
        <f>'[1]szczegóły'!BD33</f>
        <v>0</v>
      </c>
      <c r="N34" s="141">
        <f t="shared" si="1"/>
        <v>513.8458333333333</v>
      </c>
    </row>
    <row r="35" spans="1:14" s="145" customFormat="1" ht="12.75" customHeight="1">
      <c r="A35" s="140" t="s">
        <v>319</v>
      </c>
      <c r="B35" s="141">
        <f>'[1]szczegóły'!C34</f>
        <v>129</v>
      </c>
      <c r="C35" s="141">
        <f>'[1]szczegóły'!K34</f>
        <v>113</v>
      </c>
      <c r="D35" s="141">
        <f>'[1]szczegóły'!O34</f>
        <v>5</v>
      </c>
      <c r="E35" s="141">
        <f>'[1]szczegóły'!Q34</f>
        <v>117</v>
      </c>
      <c r="F35" s="141">
        <f t="shared" si="0"/>
        <v>20.53</v>
      </c>
      <c r="G35" s="141">
        <f>'[1]szczegóły'!AC34</f>
        <v>10.049999999999999</v>
      </c>
      <c r="H35" s="141">
        <f>'[1]szczegóły'!AM34</f>
        <v>2</v>
      </c>
      <c r="I35" s="141">
        <f>'[1]szczegóły'!AQ34</f>
        <v>8.48</v>
      </c>
      <c r="J35" s="142">
        <f>'[1]szczegóły'!AW34</f>
        <v>805894</v>
      </c>
      <c r="K35" s="143">
        <f>'[1]szczegóły'!AX34</f>
        <v>751452.6</v>
      </c>
      <c r="L35" s="146">
        <f>'[1]szczegóły'!BC34</f>
        <v>0</v>
      </c>
      <c r="M35" s="143">
        <f>'[1]szczegóły'!BD34</f>
        <v>0</v>
      </c>
      <c r="N35" s="141">
        <f t="shared" si="1"/>
        <v>485.434496124031</v>
      </c>
    </row>
    <row r="36" spans="1:14" s="145" customFormat="1" ht="12.75" customHeight="1">
      <c r="A36" s="140" t="s">
        <v>320</v>
      </c>
      <c r="B36" s="141">
        <f>'[1]szczegóły'!C35</f>
        <v>123</v>
      </c>
      <c r="C36" s="141">
        <f>'[1]szczegóły'!K35</f>
        <v>98</v>
      </c>
      <c r="D36" s="141">
        <f>'[1]szczegóły'!O35</f>
        <v>5</v>
      </c>
      <c r="E36" s="141">
        <f>'[1]szczegóły'!Q35</f>
        <v>105</v>
      </c>
      <c r="F36" s="141">
        <f t="shared" si="0"/>
        <v>22.520000000000003</v>
      </c>
      <c r="G36" s="141">
        <f>'[1]szczegóły'!AC35</f>
        <v>11.670000000000002</v>
      </c>
      <c r="H36" s="141">
        <f>'[1]szczegóły'!AM35</f>
        <v>2</v>
      </c>
      <c r="I36" s="141">
        <f>'[1]szczegóły'!AQ35</f>
        <v>8.85</v>
      </c>
      <c r="J36" s="142">
        <f>'[1]szczegóły'!AW35</f>
        <v>1069337</v>
      </c>
      <c r="K36" s="143">
        <f>'[1]szczegóły'!AX35</f>
        <v>1061301.99</v>
      </c>
      <c r="L36" s="146">
        <f>'[1]szczegóły'!BC35</f>
        <v>5359</v>
      </c>
      <c r="M36" s="143">
        <f>'[1]szczegóły'!BD35</f>
        <v>5359</v>
      </c>
      <c r="N36" s="141">
        <f t="shared" si="1"/>
        <v>719.0392886178862</v>
      </c>
    </row>
    <row r="37" spans="1:14" s="145" customFormat="1" ht="12.75" customHeight="1">
      <c r="A37" s="140" t="s">
        <v>321</v>
      </c>
      <c r="B37" s="141">
        <f>'[1]szczegóły'!C36</f>
        <v>217</v>
      </c>
      <c r="C37" s="141">
        <f>'[1]szczegóły'!K36</f>
        <v>213</v>
      </c>
      <c r="D37" s="141">
        <f>'[1]szczegóły'!O36</f>
        <v>8</v>
      </c>
      <c r="E37" s="141">
        <f>'[1]szczegóły'!Q36</f>
        <v>198.3</v>
      </c>
      <c r="F37" s="141">
        <f t="shared" si="0"/>
        <v>34.45</v>
      </c>
      <c r="G37" s="141">
        <f>'[1]szczegóły'!AC36</f>
        <v>18.04</v>
      </c>
      <c r="H37" s="141">
        <f>'[1]szczegóły'!AM36</f>
        <v>2.75</v>
      </c>
      <c r="I37" s="141">
        <f>'[1]szczegóły'!AQ36</f>
        <v>13.66</v>
      </c>
      <c r="J37" s="142">
        <f>'[1]szczegóły'!AW36</f>
        <v>1296476</v>
      </c>
      <c r="K37" s="143">
        <f>'[1]szczegóły'!AX36</f>
        <v>1296476</v>
      </c>
      <c r="L37" s="146">
        <f>'[1]szczegóły'!BC36</f>
        <v>0</v>
      </c>
      <c r="M37" s="143">
        <f>'[1]szczegóły'!BD36</f>
        <v>0</v>
      </c>
      <c r="N37" s="141">
        <f t="shared" si="1"/>
        <v>497.87864823348696</v>
      </c>
    </row>
    <row r="38" spans="1:14" s="145" customFormat="1" ht="12.75" customHeight="1">
      <c r="A38" s="140" t="s">
        <v>322</v>
      </c>
      <c r="B38" s="141">
        <f>'[1]szczegóły'!C37</f>
        <v>216</v>
      </c>
      <c r="C38" s="141">
        <f>'[1]szczegóły'!K37</f>
        <v>160</v>
      </c>
      <c r="D38" s="141">
        <f>'[1]szczegóły'!O37</f>
        <v>8</v>
      </c>
      <c r="E38" s="141">
        <f>'[1]szczegóły'!Q37</f>
        <v>195.82999999999998</v>
      </c>
      <c r="F38" s="141">
        <f t="shared" si="0"/>
        <v>31.79</v>
      </c>
      <c r="G38" s="141">
        <f>'[1]szczegóły'!AC37</f>
        <v>15.780000000000001</v>
      </c>
      <c r="H38" s="141">
        <f>'[1]szczegóły'!AM37</f>
        <v>2.5</v>
      </c>
      <c r="I38" s="141">
        <f>'[1]szczegóły'!AQ37</f>
        <v>13.51</v>
      </c>
      <c r="J38" s="142">
        <f>'[1]szczegóły'!AW37</f>
        <v>1232893</v>
      </c>
      <c r="K38" s="143">
        <f>'[1]szczegóły'!AX37</f>
        <v>1232893</v>
      </c>
      <c r="L38" s="146">
        <f>'[1]szczegóły'!BC37</f>
        <v>0</v>
      </c>
      <c r="M38" s="143">
        <f>'[1]szczegóły'!BD37</f>
        <v>0</v>
      </c>
      <c r="N38" s="141">
        <f t="shared" si="1"/>
        <v>475.6531635802469</v>
      </c>
    </row>
    <row r="39" spans="1:14" s="145" customFormat="1" ht="12.75" customHeight="1">
      <c r="A39" s="140" t="s">
        <v>323</v>
      </c>
      <c r="B39" s="141">
        <f>'[1]szczegóły'!C38</f>
        <v>108</v>
      </c>
      <c r="C39" s="141">
        <f>'[1]szczegóły'!K38</f>
        <v>95</v>
      </c>
      <c r="D39" s="141">
        <f>'[1]szczegóły'!O38</f>
        <v>4</v>
      </c>
      <c r="E39" s="141">
        <f>'[1]szczegóły'!Q38</f>
        <v>97</v>
      </c>
      <c r="F39" s="141">
        <f t="shared" si="0"/>
        <v>18.79</v>
      </c>
      <c r="G39" s="141">
        <f>'[1]szczegóły'!AC38</f>
        <v>9.04</v>
      </c>
      <c r="H39" s="141">
        <f>'[1]szczegóły'!AM38</f>
        <v>1.75</v>
      </c>
      <c r="I39" s="141">
        <f>'[1]szczegóły'!AQ38</f>
        <v>8</v>
      </c>
      <c r="J39" s="142">
        <f>'[1]szczegóły'!AW38</f>
        <v>739969</v>
      </c>
      <c r="K39" s="143">
        <f>'[1]szczegóły'!AX38</f>
        <v>673717.65</v>
      </c>
      <c r="L39" s="146">
        <f>'[1]szczegóły'!BC38</f>
        <v>0</v>
      </c>
      <c r="M39" s="143">
        <f>'[1]szczegóły'!BD38</f>
        <v>0</v>
      </c>
      <c r="N39" s="141">
        <f t="shared" si="1"/>
        <v>519.8438657407407</v>
      </c>
    </row>
    <row r="40" spans="1:14" s="145" customFormat="1" ht="12.75" customHeight="1">
      <c r="A40" s="140" t="s">
        <v>324</v>
      </c>
      <c r="B40" s="141">
        <f>'[1]szczegóły'!C39</f>
        <v>191</v>
      </c>
      <c r="C40" s="141">
        <f>'[1]szczegóły'!K39</f>
        <v>183</v>
      </c>
      <c r="D40" s="141">
        <f>'[1]szczegóły'!O39</f>
        <v>7</v>
      </c>
      <c r="E40" s="141">
        <f>'[1]szczegóły'!Q39</f>
        <v>178</v>
      </c>
      <c r="F40" s="141">
        <f t="shared" si="0"/>
        <v>31.07</v>
      </c>
      <c r="G40" s="141">
        <f>'[1]szczegóły'!AC39</f>
        <v>15.82</v>
      </c>
      <c r="H40" s="141">
        <f>'[1]szczegóły'!AM39</f>
        <v>2.25</v>
      </c>
      <c r="I40" s="141">
        <f>'[1]szczegóły'!AQ39</f>
        <v>13</v>
      </c>
      <c r="J40" s="142">
        <f>'[1]szczegóły'!AW39</f>
        <v>1182842</v>
      </c>
      <c r="K40" s="143">
        <f>'[1]szczegóły'!AX39</f>
        <v>1178926.42</v>
      </c>
      <c r="L40" s="146">
        <f>'[1]szczegóły'!BC39</f>
        <v>0</v>
      </c>
      <c r="M40" s="143">
        <f>'[1]szczegóły'!BD39</f>
        <v>0</v>
      </c>
      <c r="N40" s="141">
        <f t="shared" si="1"/>
        <v>514.3658027923211</v>
      </c>
    </row>
    <row r="41" spans="1:14" s="145" customFormat="1" ht="12.75" customHeight="1">
      <c r="A41" s="140" t="s">
        <v>325</v>
      </c>
      <c r="B41" s="141">
        <f>'[1]szczegóły'!C40</f>
        <v>134</v>
      </c>
      <c r="C41" s="141">
        <f>'[1]szczegóły'!K40</f>
        <v>125</v>
      </c>
      <c r="D41" s="141">
        <f>'[1]szczegóły'!O40</f>
        <v>5</v>
      </c>
      <c r="E41" s="141">
        <f>'[1]szczegóły'!Q40</f>
        <v>123</v>
      </c>
      <c r="F41" s="141">
        <f t="shared" si="0"/>
        <v>24.009999999999998</v>
      </c>
      <c r="G41" s="141">
        <f>'[1]szczegóły'!AC40</f>
        <v>11.2</v>
      </c>
      <c r="H41" s="141">
        <f>'[1]szczegóły'!AM40</f>
        <v>1.83</v>
      </c>
      <c r="I41" s="141">
        <f>'[1]szczegóły'!AQ40</f>
        <v>10.98</v>
      </c>
      <c r="J41" s="142">
        <f>'[1]szczegóły'!AW40</f>
        <v>829052</v>
      </c>
      <c r="K41" s="143">
        <f>'[1]szczegóły'!AX40</f>
        <v>829051.99</v>
      </c>
      <c r="L41" s="146">
        <f>'[1]szczegóły'!BC40</f>
        <v>6000</v>
      </c>
      <c r="M41" s="143">
        <f>'[1]szczegóły'!BD40</f>
        <v>4099.2</v>
      </c>
      <c r="N41" s="141">
        <f t="shared" si="1"/>
        <v>515.5795957711442</v>
      </c>
    </row>
    <row r="42" spans="1:14" s="145" customFormat="1" ht="12.75" customHeight="1">
      <c r="A42" s="140" t="s">
        <v>326</v>
      </c>
      <c r="B42" s="141">
        <f>'[1]szczegóły'!C41</f>
        <v>222</v>
      </c>
      <c r="C42" s="141">
        <f>'[1]szczegóły'!K41</f>
        <v>212</v>
      </c>
      <c r="D42" s="141">
        <f>'[1]szczegóły'!O41</f>
        <v>7.67</v>
      </c>
      <c r="E42" s="141">
        <f>'[1]szczegóły'!Q41</f>
        <v>203.32999999999998</v>
      </c>
      <c r="F42" s="141">
        <f t="shared" si="0"/>
        <v>34.75</v>
      </c>
      <c r="G42" s="141">
        <f>'[1]szczegóły'!AC41</f>
        <v>15.75</v>
      </c>
      <c r="H42" s="141">
        <f>'[1]szczegóły'!AM41</f>
        <v>3</v>
      </c>
      <c r="I42" s="141">
        <f>'[1]szczegóły'!AQ41</f>
        <v>16</v>
      </c>
      <c r="J42" s="142">
        <f>'[1]szczegóły'!AW41</f>
        <v>1371485</v>
      </c>
      <c r="K42" s="143">
        <f>'[1]szczegóły'!AX41</f>
        <v>1316647.79</v>
      </c>
      <c r="L42" s="146">
        <f>'[1]szczegóły'!BC41</f>
        <v>0</v>
      </c>
      <c r="M42" s="143">
        <f>'[1]szczegóły'!BD41</f>
        <v>0</v>
      </c>
      <c r="N42" s="141">
        <f t="shared" si="1"/>
        <v>494.23715840840845</v>
      </c>
    </row>
    <row r="43" spans="1:14" s="145" customFormat="1" ht="12.75" customHeight="1">
      <c r="A43" s="140" t="s">
        <v>327</v>
      </c>
      <c r="B43" s="141">
        <f>'[1]szczegóły'!C42</f>
        <v>98</v>
      </c>
      <c r="C43" s="141">
        <f>'[1]szczegóły'!K42</f>
        <v>90</v>
      </c>
      <c r="D43" s="141">
        <f>'[1]szczegóły'!O42</f>
        <v>4</v>
      </c>
      <c r="E43" s="141">
        <f>'[1]szczegóły'!Q42</f>
        <v>88</v>
      </c>
      <c r="F43" s="141">
        <f t="shared" si="0"/>
        <v>19.28</v>
      </c>
      <c r="G43" s="141">
        <f>'[1]szczegóły'!AC42</f>
        <v>9.2</v>
      </c>
      <c r="H43" s="141">
        <f>'[1]szczegóły'!AM42</f>
        <v>1.75</v>
      </c>
      <c r="I43" s="141">
        <f>'[1]szczegóły'!AQ42</f>
        <v>8.33</v>
      </c>
      <c r="J43" s="142">
        <f>'[1]szczegóły'!AW42</f>
        <v>660726</v>
      </c>
      <c r="K43" s="143">
        <f>'[1]szczegóły'!AX42</f>
        <v>657546.13</v>
      </c>
      <c r="L43" s="146">
        <f>'[1]szczegóły'!BC42</f>
        <v>0</v>
      </c>
      <c r="M43" s="143">
        <f>'[1]szczegóły'!BD42</f>
        <v>0</v>
      </c>
      <c r="N43" s="141">
        <f t="shared" si="1"/>
        <v>559.1378656462585</v>
      </c>
    </row>
    <row r="44" spans="1:14" s="145" customFormat="1" ht="12.75" customHeight="1">
      <c r="A44" s="140" t="s">
        <v>328</v>
      </c>
      <c r="B44" s="141">
        <f>'[1]szczegóły'!C43</f>
        <v>105</v>
      </c>
      <c r="C44" s="141">
        <f>'[1]szczegóły'!K43</f>
        <v>99</v>
      </c>
      <c r="D44" s="141">
        <f>'[1]szczegóły'!O43</f>
        <v>4</v>
      </c>
      <c r="E44" s="141">
        <f>'[1]szczegóły'!Q43</f>
        <v>96</v>
      </c>
      <c r="F44" s="141">
        <f t="shared" si="0"/>
        <v>18.04</v>
      </c>
      <c r="G44" s="141">
        <f>'[1]szczegóły'!AC43</f>
        <v>8.29</v>
      </c>
      <c r="H44" s="141">
        <f>'[1]szczegóły'!AM43</f>
        <v>1.75</v>
      </c>
      <c r="I44" s="141">
        <f>'[1]szczegóły'!AQ43</f>
        <v>8</v>
      </c>
      <c r="J44" s="142">
        <f>'[1]szczegóły'!AW43</f>
        <v>707391</v>
      </c>
      <c r="K44" s="143">
        <f>'[1]szczegóły'!AX43</f>
        <v>703411.5</v>
      </c>
      <c r="L44" s="146">
        <f>'[1]szczegóły'!BC43</f>
        <v>0</v>
      </c>
      <c r="M44" s="143">
        <f>'[1]szczegóły'!BD43</f>
        <v>0</v>
      </c>
      <c r="N44" s="141">
        <f t="shared" si="1"/>
        <v>558.2630952380953</v>
      </c>
    </row>
    <row r="45" spans="1:14" s="145" customFormat="1" ht="18.75" customHeight="1">
      <c r="A45" s="147" t="s">
        <v>329</v>
      </c>
      <c r="B45" s="148">
        <f aca="true" t="shared" si="2" ref="B45:M45">SUM(B8:B44)</f>
        <v>4804.75</v>
      </c>
      <c r="C45" s="148">
        <f t="shared" si="2"/>
        <v>4374</v>
      </c>
      <c r="D45" s="148">
        <f t="shared" si="2"/>
        <v>179.32999999999998</v>
      </c>
      <c r="E45" s="148">
        <f t="shared" si="2"/>
        <v>4276.27</v>
      </c>
      <c r="F45" s="148">
        <f t="shared" si="2"/>
        <v>808.7029999999997</v>
      </c>
      <c r="G45" s="148">
        <f t="shared" si="2"/>
        <v>403.63000000000017</v>
      </c>
      <c r="H45" s="148">
        <f t="shared" si="2"/>
        <v>70.665</v>
      </c>
      <c r="I45" s="148">
        <f t="shared" si="2"/>
        <v>334.40799999999996</v>
      </c>
      <c r="J45" s="149">
        <f t="shared" si="2"/>
        <v>31513569</v>
      </c>
      <c r="K45" s="148">
        <f t="shared" si="2"/>
        <v>31120172.08</v>
      </c>
      <c r="L45" s="149">
        <f t="shared" si="2"/>
        <v>873843</v>
      </c>
      <c r="M45" s="148">
        <f t="shared" si="2"/>
        <v>865701.78</v>
      </c>
      <c r="N45" s="150">
        <f t="shared" si="1"/>
        <v>539.7466409976238</v>
      </c>
    </row>
    <row r="46" spans="1:14" s="145" customFormat="1" ht="15" customHeight="1">
      <c r="A46" s="151" t="s">
        <v>330</v>
      </c>
      <c r="B46" s="141"/>
      <c r="C46" s="141"/>
      <c r="D46" s="141"/>
      <c r="E46" s="141"/>
      <c r="F46" s="141"/>
      <c r="G46" s="141"/>
      <c r="H46" s="141"/>
      <c r="I46" s="141"/>
      <c r="J46" s="152">
        <v>0</v>
      </c>
      <c r="K46" s="153">
        <v>0</v>
      </c>
      <c r="L46" s="152">
        <v>0</v>
      </c>
      <c r="M46" s="153">
        <v>0</v>
      </c>
      <c r="N46" s="141"/>
    </row>
    <row r="47" spans="1:14" s="156" customFormat="1" ht="18.75" customHeight="1">
      <c r="A47" s="154" t="s">
        <v>329</v>
      </c>
      <c r="B47" s="150">
        <f aca="true" t="shared" si="3" ref="B47:N47">B45+B46</f>
        <v>4804.75</v>
      </c>
      <c r="C47" s="150">
        <f t="shared" si="3"/>
        <v>4374</v>
      </c>
      <c r="D47" s="150">
        <f t="shared" si="3"/>
        <v>179.32999999999998</v>
      </c>
      <c r="E47" s="150">
        <f t="shared" si="3"/>
        <v>4276.27</v>
      </c>
      <c r="F47" s="150">
        <f t="shared" si="3"/>
        <v>808.7029999999997</v>
      </c>
      <c r="G47" s="150">
        <f t="shared" si="3"/>
        <v>403.63000000000017</v>
      </c>
      <c r="H47" s="150">
        <f t="shared" si="3"/>
        <v>70.665</v>
      </c>
      <c r="I47" s="150">
        <f t="shared" si="3"/>
        <v>334.40799999999996</v>
      </c>
      <c r="J47" s="155">
        <f t="shared" si="3"/>
        <v>31513569</v>
      </c>
      <c r="K47" s="150">
        <f t="shared" si="3"/>
        <v>31120172.08</v>
      </c>
      <c r="L47" s="155">
        <f t="shared" si="3"/>
        <v>873843</v>
      </c>
      <c r="M47" s="150">
        <f t="shared" si="3"/>
        <v>865701.78</v>
      </c>
      <c r="N47" s="150">
        <f t="shared" si="3"/>
        <v>539.7466409976238</v>
      </c>
    </row>
    <row r="48" spans="2:14" s="130" customFormat="1" ht="12.75">
      <c r="B48" s="157"/>
      <c r="C48" s="157"/>
      <c r="D48" s="157"/>
      <c r="E48" s="157"/>
      <c r="F48" s="157"/>
      <c r="G48" s="157"/>
      <c r="H48" s="157"/>
      <c r="I48" s="157"/>
      <c r="J48" s="158"/>
      <c r="K48" s="157"/>
      <c r="L48" s="157"/>
      <c r="M48" s="157"/>
      <c r="N48" s="157"/>
    </row>
    <row r="49" spans="2:14" s="130" customFormat="1" ht="12.75">
      <c r="B49" s="157"/>
      <c r="C49" s="157"/>
      <c r="D49" s="157"/>
      <c r="E49" s="157"/>
      <c r="F49" s="157"/>
      <c r="G49" s="157"/>
      <c r="H49" s="157"/>
      <c r="I49" s="157"/>
      <c r="J49" s="158"/>
      <c r="K49" s="157"/>
      <c r="L49" s="157"/>
      <c r="M49" s="157"/>
      <c r="N49" s="157"/>
    </row>
    <row r="50" spans="2:14" s="130" customFormat="1" ht="12.75">
      <c r="B50" s="157"/>
      <c r="C50" s="157"/>
      <c r="D50" s="157"/>
      <c r="E50" s="157"/>
      <c r="F50" s="157"/>
      <c r="G50" s="157"/>
      <c r="H50" s="157"/>
      <c r="I50" s="157"/>
      <c r="J50" s="158"/>
      <c r="K50" s="157"/>
      <c r="L50" s="157"/>
      <c r="M50" s="157"/>
      <c r="N50" s="157"/>
    </row>
    <row r="51" spans="10:13" s="130" customFormat="1" ht="12.75">
      <c r="J51" s="158"/>
      <c r="K51" s="157"/>
      <c r="L51" s="157"/>
      <c r="M51" s="157"/>
    </row>
    <row r="52" spans="10:13" s="130" customFormat="1" ht="12.75">
      <c r="J52" s="158"/>
      <c r="K52" s="157"/>
      <c r="L52" s="157"/>
      <c r="M52" s="157"/>
    </row>
    <row r="53" spans="10:13" s="130" customFormat="1" ht="12.75">
      <c r="J53" s="158"/>
      <c r="K53" s="157"/>
      <c r="L53" s="157"/>
      <c r="M53" s="157"/>
    </row>
    <row r="54" spans="10:13" s="130" customFormat="1" ht="12.75">
      <c r="J54" s="158"/>
      <c r="K54" s="157"/>
      <c r="L54" s="157"/>
      <c r="M54" s="157"/>
    </row>
    <row r="55" spans="10:13" s="130" customFormat="1" ht="12.75">
      <c r="J55" s="158"/>
      <c r="K55" s="157"/>
      <c r="L55" s="157"/>
      <c r="M55" s="157"/>
    </row>
    <row r="56" spans="10:13" s="130" customFormat="1" ht="12.75">
      <c r="J56" s="158"/>
      <c r="K56" s="157"/>
      <c r="L56" s="157"/>
      <c r="M56" s="157"/>
    </row>
    <row r="57" spans="10:13" s="130" customFormat="1" ht="12.75">
      <c r="J57" s="158"/>
      <c r="K57" s="157"/>
      <c r="L57" s="157"/>
      <c r="M57" s="157"/>
    </row>
    <row r="58" spans="10:13" s="130" customFormat="1" ht="12.75">
      <c r="J58" s="158"/>
      <c r="K58" s="157"/>
      <c r="L58" s="157"/>
      <c r="M58" s="157"/>
    </row>
    <row r="59" spans="10:13" s="130" customFormat="1" ht="12.75">
      <c r="J59" s="158"/>
      <c r="K59" s="157"/>
      <c r="L59" s="157"/>
      <c r="M59" s="157"/>
    </row>
    <row r="60" spans="10:13" s="130" customFormat="1" ht="12.75">
      <c r="J60" s="158"/>
      <c r="K60" s="157"/>
      <c r="L60" s="157"/>
      <c r="M60" s="157"/>
    </row>
    <row r="61" spans="10:13" s="130" customFormat="1" ht="12.75">
      <c r="J61" s="158"/>
      <c r="K61" s="157"/>
      <c r="L61" s="157"/>
      <c r="M61" s="157"/>
    </row>
    <row r="62" spans="10:13" s="130" customFormat="1" ht="12.75">
      <c r="J62" s="158"/>
      <c r="K62" s="157"/>
      <c r="L62" s="157"/>
      <c r="M62" s="157"/>
    </row>
    <row r="63" spans="10:13" s="130" customFormat="1" ht="12.75">
      <c r="J63" s="158"/>
      <c r="K63" s="157"/>
      <c r="L63" s="157"/>
      <c r="M63" s="157"/>
    </row>
    <row r="64" spans="10:13" s="130" customFormat="1" ht="12.75">
      <c r="J64" s="158"/>
      <c r="K64" s="157"/>
      <c r="L64" s="157"/>
      <c r="M64" s="157"/>
    </row>
    <row r="65" spans="10:13" s="130" customFormat="1" ht="12.75">
      <c r="J65" s="158"/>
      <c r="K65" s="157"/>
      <c r="L65" s="157"/>
      <c r="M65" s="157"/>
    </row>
    <row r="66" spans="10:13" s="130" customFormat="1" ht="12.75">
      <c r="J66" s="158"/>
      <c r="K66" s="157"/>
      <c r="L66" s="157"/>
      <c r="M66" s="157"/>
    </row>
    <row r="67" spans="10:13" s="130" customFormat="1" ht="12.75">
      <c r="J67" s="158"/>
      <c r="K67" s="157"/>
      <c r="L67" s="157"/>
      <c r="M67" s="157"/>
    </row>
    <row r="68" spans="10:13" s="130" customFormat="1" ht="12.75">
      <c r="J68" s="158"/>
      <c r="K68" s="157"/>
      <c r="L68" s="157"/>
      <c r="M68" s="157"/>
    </row>
    <row r="69" spans="10:13" s="130" customFormat="1" ht="12.75">
      <c r="J69" s="158"/>
      <c r="K69" s="157"/>
      <c r="L69" s="157"/>
      <c r="M69" s="157"/>
    </row>
    <row r="70" spans="10:13" s="130" customFormat="1" ht="12.75">
      <c r="J70" s="158"/>
      <c r="K70" s="157"/>
      <c r="L70" s="157"/>
      <c r="M70" s="157"/>
    </row>
    <row r="71" spans="10:13" s="130" customFormat="1" ht="12.75">
      <c r="J71" s="158"/>
      <c r="K71" s="157"/>
      <c r="L71" s="157"/>
      <c r="M71" s="157"/>
    </row>
    <row r="72" spans="10:13" s="130" customFormat="1" ht="12.75">
      <c r="J72" s="158"/>
      <c r="K72" s="157"/>
      <c r="L72" s="157"/>
      <c r="M72" s="157"/>
    </row>
    <row r="73" spans="10:13" s="130" customFormat="1" ht="12.75">
      <c r="J73" s="158"/>
      <c r="K73" s="157"/>
      <c r="L73" s="157"/>
      <c r="M73" s="157"/>
    </row>
  </sheetData>
  <sheetProtection/>
  <mergeCells count="15">
    <mergeCell ref="A2:N2"/>
    <mergeCell ref="E4:E7"/>
    <mergeCell ref="I6:I7"/>
    <mergeCell ref="H6:H7"/>
    <mergeCell ref="J4:K6"/>
    <mergeCell ref="L4:M6"/>
    <mergeCell ref="A4:A7"/>
    <mergeCell ref="B4:B7"/>
    <mergeCell ref="N4:N7"/>
    <mergeCell ref="C4:C7"/>
    <mergeCell ref="D4:D7"/>
    <mergeCell ref="F4:I4"/>
    <mergeCell ref="F5:F7"/>
    <mergeCell ref="G5:I5"/>
    <mergeCell ref="G6:G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2011-03-28T12:02:21Z</cp:lastPrinted>
  <dcterms:created xsi:type="dcterms:W3CDTF">2011-03-28T10:51:00Z</dcterms:created>
  <dcterms:modified xsi:type="dcterms:W3CDTF">2011-03-28T12:02:49Z</dcterms:modified>
  <cp:category/>
  <cp:version/>
  <cp:contentType/>
  <cp:contentStatus/>
</cp:coreProperties>
</file>