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załącznik nr 9" sheetId="1" r:id="rId1"/>
  </sheets>
  <definedNames>
    <definedName name="_xlnm.Print_Titles" localSheetId="0">'załącznik nr 9'!$3:$4</definedName>
  </definedNames>
  <calcPr calcMode="manual" fullCalcOnLoad="1"/>
</workbook>
</file>

<file path=xl/sharedStrings.xml><?xml version="1.0" encoding="utf-8"?>
<sst xmlns="http://schemas.openxmlformats.org/spreadsheetml/2006/main" count="222" uniqueCount="164">
  <si>
    <t>Lp.</t>
  </si>
  <si>
    <t>Placówka</t>
  </si>
  <si>
    <t>Dochody</t>
  </si>
  <si>
    <t>Wydatki</t>
  </si>
  <si>
    <t>Rozdz. 80101 - szkoły podstawowe</t>
  </si>
  <si>
    <t>Szkoła Podstawowa Nr 6</t>
  </si>
  <si>
    <t>Zespół Szkół Nr  5</t>
  </si>
  <si>
    <t>Szkoła Podstawowa Nr 10</t>
  </si>
  <si>
    <t>Zespół Szkół Nr  6</t>
  </si>
  <si>
    <t>Zespół Szkół Nr  7</t>
  </si>
  <si>
    <t>Szkoła Podstawowa Nr 13</t>
  </si>
  <si>
    <t>Zespół Sportowych Szkół Ogólnokształcących</t>
  </si>
  <si>
    <t>Szkoła Podstawowa Nr 16</t>
  </si>
  <si>
    <t>Szkoła Podstawowa Nr 17</t>
  </si>
  <si>
    <t>Szkoła Podstawowa Nr 18</t>
  </si>
  <si>
    <t>Szkoła Podstawowa Nr 20</t>
  </si>
  <si>
    <t>Szkoła Podstawowa Nr 21</t>
  </si>
  <si>
    <t>Szkoła Podstawowa Nr 23</t>
  </si>
  <si>
    <t>Szkoła Podstawowa Nr 26</t>
  </si>
  <si>
    <t>Szkoła Podstawowa Nr 28</t>
  </si>
  <si>
    <t>Szkoła Podstawowa Nr 29</t>
  </si>
  <si>
    <t>Zespół Szkół Nr 9</t>
  </si>
  <si>
    <t>Szkoła Podstawowa Nr 33</t>
  </si>
  <si>
    <t>Szkoła Podstawowa Nr 34</t>
  </si>
  <si>
    <t>Szkoła Podstawowa Nr 35</t>
  </si>
  <si>
    <t>Szkoła Podstawowa Nr 37</t>
  </si>
  <si>
    <t>Szkoła Podstawowa Nr 39</t>
  </si>
  <si>
    <t>Szkoła Podstawowa Nr 40</t>
  </si>
  <si>
    <t>Zespół Szkół Nr 10</t>
  </si>
  <si>
    <t>Zespół Szkół Nr 11</t>
  </si>
  <si>
    <t>Zespół Szkół Nr 12</t>
  </si>
  <si>
    <t>Zespół Wczesnej Edukacji nr 1</t>
  </si>
  <si>
    <t>Zespół Szkół Nr 13</t>
  </si>
  <si>
    <t>Zesp.Szk.Nr 14</t>
  </si>
  <si>
    <t>Zesp.Szk.Nr 15</t>
  </si>
  <si>
    <t>Rozdz. 80102 - szkoły podstawowe specjalne</t>
  </si>
  <si>
    <t>Zespół Szkół Specjalnych Nr 17</t>
  </si>
  <si>
    <t>Rozdz. 80104 - przedszkola</t>
  </si>
  <si>
    <t>Przedszkola 80104</t>
  </si>
  <si>
    <t>Przedszkole Samorządowe Nr 25</t>
  </si>
  <si>
    <t>Rozdz. 80110 - gimnazja</t>
  </si>
  <si>
    <t>Gimnazjum nr 1</t>
  </si>
  <si>
    <t>Gimnazjum nr 2</t>
  </si>
  <si>
    <t>Gimnazjum nr 3</t>
  </si>
  <si>
    <t>Gimnazjum nr 4</t>
  </si>
  <si>
    <t>Zespół Szkół Ogólnokształcących nr 6</t>
  </si>
  <si>
    <t>Gimnazjum nr 11</t>
  </si>
  <si>
    <t>Zespół Szkół Ogólnokształcących nr 5</t>
  </si>
  <si>
    <t>Zespół Szkół Ogólnokształcących nr 4</t>
  </si>
  <si>
    <t>Rozdz. 80120 - licea ogólnokształcące</t>
  </si>
  <si>
    <t xml:space="preserve">I Akademickie Liceum Ogólnokształcące </t>
  </si>
  <si>
    <t>Zespół Szkół Ogólnokształcących Nr 1</t>
  </si>
  <si>
    <t>Zespół Szkół Ogólnokształcących Nr 2</t>
  </si>
  <si>
    <t xml:space="preserve">IV Liceum Ogólnokształcące </t>
  </si>
  <si>
    <t xml:space="preserve">V Liceum Ogólnokształcące </t>
  </si>
  <si>
    <t xml:space="preserve">VI Liceum Ogólnokształcące </t>
  </si>
  <si>
    <t xml:space="preserve">IX Liceum Ogólnokształcące </t>
  </si>
  <si>
    <t xml:space="preserve">X Liceum Ogólnokształcące </t>
  </si>
  <si>
    <t>Zespół Szkół Ogólnokształcących Nr 5</t>
  </si>
  <si>
    <t>Kolegium Miejskie</t>
  </si>
  <si>
    <t>Rozdz. 80130 - szkoły zawodowe</t>
  </si>
  <si>
    <t>Zespół Szkół Administracyjno - Ekonomicznych</t>
  </si>
  <si>
    <t>Zespół Szkół Budowlanych</t>
  </si>
  <si>
    <t>Zespół Szkół Chłodniczych i Elektronicznych</t>
  </si>
  <si>
    <t>Zespół Szkół Hotelarsko - Gastronomicznych</t>
  </si>
  <si>
    <t>Zespół Szkół Mechanicznych</t>
  </si>
  <si>
    <t>Zespół Szkół Usługowych</t>
  </si>
  <si>
    <t>Zespół Szkół Technicznych</t>
  </si>
  <si>
    <t>Zespół Szkół Rzemiosła i Handlu</t>
  </si>
  <si>
    <t>Zespół Szkół Ekologicznych</t>
  </si>
  <si>
    <t>Technikum Transportowe</t>
  </si>
  <si>
    <t>Rozdz. 80132 - szkoły artystyczne</t>
  </si>
  <si>
    <t>Szkoła Muzyczna</t>
  </si>
  <si>
    <t>Rozdz. 80141 - zakłady kształcenia nauczycieli</t>
  </si>
  <si>
    <t>Gdyński Ośrodek Doskonalenia Nauczycieli</t>
  </si>
  <si>
    <t>Rozdz. 80148 - stołówki szkolne</t>
  </si>
  <si>
    <t>Gimnazjum Nr 2</t>
  </si>
  <si>
    <t>Gimnazjum Nr 3</t>
  </si>
  <si>
    <t>Szkoła Podstawowa nr 6</t>
  </si>
  <si>
    <t>Gimnazjum Nr 4</t>
  </si>
  <si>
    <t>Zespół Szkół Nr 5</t>
  </si>
  <si>
    <t>Szkoła Podstawowa nr 10</t>
  </si>
  <si>
    <t>Zespół Szkół Nr 6</t>
  </si>
  <si>
    <t>Zespół Szkół Nr 7</t>
  </si>
  <si>
    <t>Szkoła Podstawowa nr 13</t>
  </si>
  <si>
    <t>Zespół Sportowych Szkół Ogółnokształcących</t>
  </si>
  <si>
    <t>Szkoła Podstawowa nr 16</t>
  </si>
  <si>
    <t>Szkoła Podstawowa nr 17</t>
  </si>
  <si>
    <t>Szkoła Podstawowa nr 18</t>
  </si>
  <si>
    <t>Zespół Szkół Ogółnokształcących Nr 6</t>
  </si>
  <si>
    <t>Szkoła Podstawowa nr 20</t>
  </si>
  <si>
    <t>Szkoła Podstawowa nr 21</t>
  </si>
  <si>
    <t>Szkoła Podstawowa nr 23</t>
  </si>
  <si>
    <t>Szkoła Podstawowa nr 26</t>
  </si>
  <si>
    <t>Gimnazjum Nr 11</t>
  </si>
  <si>
    <t>Szkoła Podstawowa nr 28</t>
  </si>
  <si>
    <t>Szkoła Podstawowa nr 29</t>
  </si>
  <si>
    <t>Szkoła Podstawowa nr 33</t>
  </si>
  <si>
    <t>Szkoła Podstawowa nr 34</t>
  </si>
  <si>
    <t>Szkoła Podstawowa nr 35</t>
  </si>
  <si>
    <t>Zespół Szkół Ogółnokształcących Nr 5</t>
  </si>
  <si>
    <t>Szkoła Podstawowa nr 39</t>
  </si>
  <si>
    <t>Szkoła Podstawowa nr 40</t>
  </si>
  <si>
    <t>Zespół Szkół Ogółnokształcących Nr 4</t>
  </si>
  <si>
    <t>Zespół Szkół Nr 14</t>
  </si>
  <si>
    <t>Zespół Szkół Nr 15</t>
  </si>
  <si>
    <t>Rozdz. 80195 - pozostała działalność</t>
  </si>
  <si>
    <t>Rozdz. 85403 - specjalne ośrodki szkolno - wychowawcze</t>
  </si>
  <si>
    <t>Specjalny Ośrodek Szkolno - Wychowawczy Nr 1</t>
  </si>
  <si>
    <t>Specjalny Ośrodek Szkolno - Wychowawczy Nr 2</t>
  </si>
  <si>
    <t>Rozdz. 85406 - poradnie psychologiczno - pedagogiczne</t>
  </si>
  <si>
    <t>Poradnia Psychologiczno - Pedagogiczna nr 1</t>
  </si>
  <si>
    <t>Poradnia Psychologiczno - Pedagogiczna nr 2</t>
  </si>
  <si>
    <t>Poradnia Psychologiczno - Pedagogiczna nr 3</t>
  </si>
  <si>
    <t>Rozdz. 85407 - placówki wychowania pozaszkolnego</t>
  </si>
  <si>
    <t>Młodzieżowy Dom Kultury</t>
  </si>
  <si>
    <t>Rozdz. 85410 - internaty i bursy szkolne</t>
  </si>
  <si>
    <t>Rozdz. 85412 - kolonie i obozy oraz inne formy wypoczynku</t>
  </si>
  <si>
    <t>Rozdz. 85417 - szkolne schroniska młodzieżowe</t>
  </si>
  <si>
    <t>Szkolne Schronisko Młodzieżowe</t>
  </si>
  <si>
    <t>Rozdz. 92601 - obiekty sportowe</t>
  </si>
  <si>
    <t>OGÓŁEM</t>
  </si>
  <si>
    <t>Plan</t>
  </si>
  <si>
    <t>Wykonanie</t>
  </si>
  <si>
    <t>Przedszkole Nr 4</t>
  </si>
  <si>
    <t>Przedszkole  Nr 5</t>
  </si>
  <si>
    <t>Przedszkole  Nr 6</t>
  </si>
  <si>
    <t>Przedszkole  Nr 7</t>
  </si>
  <si>
    <t>Przedszkole  Nr 8</t>
  </si>
  <si>
    <t>Przedszkole  Nr 11</t>
  </si>
  <si>
    <t>Przedszkole  Nr 14</t>
  </si>
  <si>
    <t>Przedszkole  Nr 15</t>
  </si>
  <si>
    <t>Przedszkole  Nr 16</t>
  </si>
  <si>
    <t>Przedszkole  Nr 18</t>
  </si>
  <si>
    <t>Przedszkole  Nr 19</t>
  </si>
  <si>
    <t>Przedszkole  Nr 21</t>
  </si>
  <si>
    <t>Przedszkole  Nr 22</t>
  </si>
  <si>
    <t>Przedszkole  Nr 23</t>
  </si>
  <si>
    <t>Przedszkole  Nr 24</t>
  </si>
  <si>
    <t>Przedszkole  Nr 26</t>
  </si>
  <si>
    <t>Przedszkole  Nr 28</t>
  </si>
  <si>
    <t>Przedszkole  Nr 29</t>
  </si>
  <si>
    <t>Przedszkole  Nr 31</t>
  </si>
  <si>
    <t>Przedszkole  Nr 35</t>
  </si>
  <si>
    <t>Przedszkole  Nr 36</t>
  </si>
  <si>
    <t>Przedszkole  Nr 42</t>
  </si>
  <si>
    <t>Przedszkole  Nr 43</t>
  </si>
  <si>
    <t>Przedszkole  Nr 44</t>
  </si>
  <si>
    <t>Przedszkole  Nr 46</t>
  </si>
  <si>
    <t>Przedszkole  Nr 47</t>
  </si>
  <si>
    <t>Przedszkole  Nr 48</t>
  </si>
  <si>
    <t>Przedszkole  Nr 52</t>
  </si>
  <si>
    <t>Przedszkole  Nr 4</t>
  </si>
  <si>
    <t>Przedszkole  Nr 9</t>
  </si>
  <si>
    <t>Przedszkole  Nr 13</t>
  </si>
  <si>
    <t>Przedszkole  Nr 25</t>
  </si>
  <si>
    <t>Przedszkole  Nr 27</t>
  </si>
  <si>
    <t>Przedszkole  Nr 30</t>
  </si>
  <si>
    <t>Przedszkole  Nr 32</t>
  </si>
  <si>
    <t>Przedszkole  Nr 49</t>
  </si>
  <si>
    <t>Przedszkole  Nr 50</t>
  </si>
  <si>
    <t>Przedszkole  Nr 51</t>
  </si>
  <si>
    <t>Informacja z wykonania planu dochodów i wydatków rachunków dochodów jednostek, o których mowa w art. 223 ust. 1 uofp, oraz wydatków nimi sfinansowanych na 2011 rok.</t>
  </si>
  <si>
    <t>załacznik nr 9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</si>
</sst>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sz val="9"/>
      <name val="Arial Narrow"/>
      <family val="2"/>
    </font>
    <font>
      <b/>
      <i/>
      <sz val="9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10"/>
      <name val="Arial CE"/>
      <family val="2"/>
    </font>
    <font>
      <b/>
      <sz val="10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i/>
      <sz val="8"/>
      <color indexed="10"/>
      <name val="Arial CE"/>
      <family val="2"/>
    </font>
    <font>
      <sz val="11"/>
      <color indexed="10"/>
      <name val="Arial CE"/>
      <family val="2"/>
    </font>
    <font>
      <i/>
      <sz val="10"/>
      <color indexed="10"/>
      <name val="Arial CE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5" fillId="0" borderId="0" xfId="0" applyNumberFormat="1" applyFont="1" applyAlignment="1">
      <alignment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3" fontId="19" fillId="0" borderId="9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20" fillId="0" borderId="27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3" fontId="19" fillId="0" borderId="31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5" fillId="0" borderId="37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38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3.375" style="68" customWidth="1"/>
    <col min="2" max="2" width="32.75390625" style="83" customWidth="1"/>
    <col min="3" max="4" width="13.375" style="1" customWidth="1"/>
    <col min="5" max="6" width="13.625" style="96" customWidth="1"/>
    <col min="7" max="7" width="13.00390625" style="96" customWidth="1"/>
    <col min="8" max="8" width="10.875" style="96" customWidth="1"/>
    <col min="9" max="11" width="9.125" style="1" customWidth="1"/>
    <col min="12" max="12" width="10.25390625" style="1" customWidth="1"/>
    <col min="13" max="13" width="9.125" style="1" customWidth="1"/>
    <col min="14" max="14" width="10.125" style="1" customWidth="1"/>
    <col min="15" max="40" width="9.125" style="1" customWidth="1"/>
    <col min="41" max="41" width="15.75390625" style="1" customWidth="1"/>
    <col min="42" max="42" width="10.125" style="1" bestFit="1" customWidth="1"/>
    <col min="43" max="16384" width="9.125" style="1" customWidth="1"/>
  </cols>
  <sheetData>
    <row r="1" ht="15">
      <c r="F1" s="109" t="s">
        <v>163</v>
      </c>
    </row>
    <row r="2" spans="1:8" ht="44.25" customHeight="1">
      <c r="A2" s="110" t="s">
        <v>162</v>
      </c>
      <c r="B2" s="110"/>
      <c r="C2" s="110"/>
      <c r="D2" s="110"/>
      <c r="E2" s="110"/>
      <c r="F2" s="110"/>
      <c r="G2" s="2"/>
      <c r="H2" s="2"/>
    </row>
    <row r="3" spans="1:13" s="5" customFormat="1" ht="13.5" customHeight="1">
      <c r="A3" s="112" t="s">
        <v>0</v>
      </c>
      <c r="B3" s="111" t="s">
        <v>1</v>
      </c>
      <c r="C3" s="111" t="s">
        <v>2</v>
      </c>
      <c r="D3" s="111" t="s">
        <v>3</v>
      </c>
      <c r="E3" s="111" t="s">
        <v>3</v>
      </c>
      <c r="F3" s="111"/>
      <c r="G3" s="4"/>
      <c r="H3" s="4"/>
      <c r="I3" s="3"/>
      <c r="J3" s="3"/>
      <c r="K3" s="3"/>
      <c r="L3" s="3"/>
      <c r="M3" s="3"/>
    </row>
    <row r="4" spans="1:13" s="5" customFormat="1" ht="15.75" customHeight="1">
      <c r="A4" s="112"/>
      <c r="B4" s="111"/>
      <c r="C4" s="108" t="s">
        <v>122</v>
      </c>
      <c r="D4" s="108" t="s">
        <v>123</v>
      </c>
      <c r="E4" s="108" t="s">
        <v>122</v>
      </c>
      <c r="F4" s="108" t="s">
        <v>123</v>
      </c>
      <c r="G4" s="4"/>
      <c r="H4" s="4"/>
      <c r="I4" s="3"/>
      <c r="J4" s="3"/>
      <c r="K4" s="3"/>
      <c r="L4" s="3"/>
      <c r="M4" s="3"/>
    </row>
    <row r="5" spans="1:13" s="10" customFormat="1" ht="17.25" customHeight="1">
      <c r="A5" s="115" t="s">
        <v>4</v>
      </c>
      <c r="B5" s="116"/>
      <c r="C5" s="6">
        <f>SUM(C6:C35)</f>
        <v>2883720</v>
      </c>
      <c r="D5" s="97">
        <f>SUM(D6:D35)</f>
        <v>1120774.19</v>
      </c>
      <c r="E5" s="7">
        <f>SUM(E6:E35)</f>
        <v>2873110</v>
      </c>
      <c r="F5" s="7">
        <f>SUM(F6:F35)</f>
        <v>578162.91</v>
      </c>
      <c r="G5" s="8"/>
      <c r="H5" s="8"/>
      <c r="I5" s="9"/>
      <c r="J5" s="9"/>
      <c r="K5" s="9"/>
      <c r="L5" s="9"/>
      <c r="M5" s="9"/>
    </row>
    <row r="6" spans="1:13" s="18" customFormat="1" ht="12">
      <c r="A6" s="11">
        <v>1</v>
      </c>
      <c r="B6" s="12" t="s">
        <v>5</v>
      </c>
      <c r="C6" s="13">
        <v>101700</v>
      </c>
      <c r="D6" s="98">
        <f>205+19372.04+4685.53+394.31+19165</f>
        <v>43821.880000000005</v>
      </c>
      <c r="E6" s="14">
        <f>126900-25200</f>
        <v>101700</v>
      </c>
      <c r="F6" s="14">
        <f>100.8+16.35+667.47+19720.66+3319.43+178.8+5949.47+175.44+2159.5+840+560</f>
        <v>33687.92</v>
      </c>
      <c r="G6" s="15"/>
      <c r="H6" s="15"/>
      <c r="I6" s="15"/>
      <c r="J6" s="16"/>
      <c r="K6" s="17"/>
      <c r="L6" s="17"/>
      <c r="M6" s="17"/>
    </row>
    <row r="7" spans="1:13" s="18" customFormat="1" ht="12">
      <c r="A7" s="11">
        <v>2</v>
      </c>
      <c r="B7" s="12" t="s">
        <v>6</v>
      </c>
      <c r="C7" s="13">
        <v>42500</v>
      </c>
      <c r="D7" s="98">
        <f>267+13696.89+328.9</f>
        <v>14292.789999999999</v>
      </c>
      <c r="E7" s="14">
        <v>40000</v>
      </c>
      <c r="F7" s="14">
        <f>1839.51+5910.06+1424.04</f>
        <v>9173.61</v>
      </c>
      <c r="G7" s="15"/>
      <c r="H7" s="15"/>
      <c r="I7" s="19"/>
      <c r="J7" s="20"/>
      <c r="K7" s="17"/>
      <c r="L7" s="17"/>
      <c r="M7" s="17"/>
    </row>
    <row r="8" spans="1:13" s="18" customFormat="1" ht="12">
      <c r="A8" s="11">
        <v>3</v>
      </c>
      <c r="B8" s="12" t="s">
        <v>7</v>
      </c>
      <c r="C8" s="13">
        <v>49800</v>
      </c>
      <c r="D8" s="98">
        <f>188+8048.33+262.53+1271.72</f>
        <v>9770.58</v>
      </c>
      <c r="E8" s="14">
        <f>49750+50</f>
        <v>49800</v>
      </c>
      <c r="F8" s="14">
        <f>4792.87+284.42+236</f>
        <v>5313.29</v>
      </c>
      <c r="G8" s="15"/>
      <c r="H8" s="15"/>
      <c r="I8" s="19"/>
      <c r="J8" s="20"/>
      <c r="K8" s="17"/>
      <c r="L8" s="17"/>
      <c r="M8" s="17"/>
    </row>
    <row r="9" spans="1:13" s="18" customFormat="1" ht="12">
      <c r="A9" s="11">
        <v>4</v>
      </c>
      <c r="B9" s="12" t="s">
        <v>8</v>
      </c>
      <c r="C9" s="13">
        <f>19900+220</f>
        <v>20120</v>
      </c>
      <c r="D9" s="98">
        <f>204+9704.26+131.05+1810</f>
        <v>11849.31</v>
      </c>
      <c r="E9" s="14">
        <v>20120</v>
      </c>
      <c r="F9" s="14">
        <f>7082.99+650+1526.38+55</f>
        <v>9314.369999999999</v>
      </c>
      <c r="G9" s="15"/>
      <c r="H9" s="15"/>
      <c r="I9" s="19"/>
      <c r="J9" s="20"/>
      <c r="K9" s="17"/>
      <c r="L9" s="17"/>
      <c r="M9" s="17"/>
    </row>
    <row r="10" spans="1:13" s="18" customFormat="1" ht="12">
      <c r="A10" s="11">
        <v>5</v>
      </c>
      <c r="B10" s="12" t="s">
        <v>9</v>
      </c>
      <c r="C10" s="13">
        <v>115000</v>
      </c>
      <c r="D10" s="98">
        <f>312+7845.37+5763.9+649.26+37855.72</f>
        <v>52426.25</v>
      </c>
      <c r="E10" s="14">
        <v>115000</v>
      </c>
      <c r="F10" s="14">
        <f>50+6043.27+6472.27+14202.32+1632.8</f>
        <v>28400.66</v>
      </c>
      <c r="G10" s="15"/>
      <c r="H10" s="15"/>
      <c r="I10" s="19"/>
      <c r="J10" s="20"/>
      <c r="K10" s="17"/>
      <c r="L10" s="17"/>
      <c r="M10" s="17"/>
    </row>
    <row r="11" spans="1:13" s="18" customFormat="1" ht="12">
      <c r="A11" s="11">
        <v>6</v>
      </c>
      <c r="B11" s="12" t="s">
        <v>10</v>
      </c>
      <c r="C11" s="13">
        <v>43500</v>
      </c>
      <c r="D11" s="98">
        <f>26503.76+172.71+52</f>
        <v>26728.469999999998</v>
      </c>
      <c r="E11" s="14">
        <v>43000</v>
      </c>
      <c r="F11" s="14">
        <f>3977.84+11197.38+8523.9+1694.08+97.8</f>
        <v>25490.999999999996</v>
      </c>
      <c r="G11" s="15"/>
      <c r="H11" s="15"/>
      <c r="I11" s="19"/>
      <c r="J11" s="20"/>
      <c r="K11" s="17"/>
      <c r="L11" s="17"/>
      <c r="M11" s="17"/>
    </row>
    <row r="12" spans="1:13" s="18" customFormat="1" ht="12">
      <c r="A12" s="11">
        <v>7</v>
      </c>
      <c r="B12" s="12" t="s">
        <v>11</v>
      </c>
      <c r="C12" s="13">
        <f>158000+14000</f>
        <v>172000</v>
      </c>
      <c r="D12" s="98">
        <f>82966.7+306.37+181</f>
        <v>83454.06999999999</v>
      </c>
      <c r="E12" s="14">
        <v>172000</v>
      </c>
      <c r="F12" s="14">
        <f>8513.99+12687.03</f>
        <v>21201.02</v>
      </c>
      <c r="G12" s="15"/>
      <c r="H12" s="15"/>
      <c r="I12" s="19"/>
      <c r="J12" s="20"/>
      <c r="K12" s="17"/>
      <c r="L12" s="17"/>
      <c r="M12" s="17"/>
    </row>
    <row r="13" spans="1:13" s="18" customFormat="1" ht="12">
      <c r="A13" s="11">
        <v>8</v>
      </c>
      <c r="B13" s="12" t="s">
        <v>12</v>
      </c>
      <c r="C13" s="13">
        <v>31300</v>
      </c>
      <c r="D13" s="98">
        <f>13703.11+94.8+132.23+1066.02</f>
        <v>14996.16</v>
      </c>
      <c r="E13" s="14">
        <v>31200</v>
      </c>
      <c r="F13" s="14">
        <f>393+8075.1+597+3690+82.8</f>
        <v>12837.9</v>
      </c>
      <c r="G13" s="15"/>
      <c r="H13" s="15"/>
      <c r="I13" s="19"/>
      <c r="J13" s="20"/>
      <c r="K13" s="17"/>
      <c r="L13" s="17"/>
      <c r="M13" s="17"/>
    </row>
    <row r="14" spans="1:13" s="18" customFormat="1" ht="12">
      <c r="A14" s="11">
        <v>9</v>
      </c>
      <c r="B14" s="12" t="s">
        <v>13</v>
      </c>
      <c r="C14" s="13">
        <v>41000</v>
      </c>
      <c r="D14" s="98">
        <f>259+22161.73+263.9+142.5</f>
        <v>22827.13</v>
      </c>
      <c r="E14" s="14">
        <v>41000</v>
      </c>
      <c r="F14" s="14">
        <f>5268.79+3899.92+121.77+1153.5+1224</f>
        <v>11667.98</v>
      </c>
      <c r="G14" s="15"/>
      <c r="H14" s="15"/>
      <c r="I14" s="19"/>
      <c r="J14" s="20"/>
      <c r="K14" s="17"/>
      <c r="L14" s="17"/>
      <c r="M14" s="17"/>
    </row>
    <row r="15" spans="1:13" s="18" customFormat="1" ht="12">
      <c r="A15" s="11">
        <v>10</v>
      </c>
      <c r="B15" s="12" t="s">
        <v>14</v>
      </c>
      <c r="C15" s="13">
        <v>304000</v>
      </c>
      <c r="D15" s="98">
        <f>396+39212.3+555+891.39+105937.3</f>
        <v>146991.99</v>
      </c>
      <c r="E15" s="14">
        <v>302150</v>
      </c>
      <c r="F15" s="14">
        <f>13342.8+1835.73+268.46+27749.65+9472.22+305+7715.75+446.7+337+289.1</f>
        <v>61762.409999999996</v>
      </c>
      <c r="G15" s="15"/>
      <c r="H15" s="15"/>
      <c r="I15" s="19"/>
      <c r="J15" s="20"/>
      <c r="K15" s="17"/>
      <c r="L15" s="17"/>
      <c r="M15" s="17"/>
    </row>
    <row r="16" spans="1:13" s="18" customFormat="1" ht="12">
      <c r="A16" s="11">
        <v>11</v>
      </c>
      <c r="B16" s="12" t="s">
        <v>15</v>
      </c>
      <c r="C16" s="13">
        <v>28000</v>
      </c>
      <c r="D16" s="98">
        <f>117+13419.25+176.47</f>
        <v>13712.72</v>
      </c>
      <c r="E16" s="14">
        <f>36146-8146</f>
        <v>28000</v>
      </c>
      <c r="F16" s="14">
        <f>778.63+2359.42+393.6+786.23+0.91</f>
        <v>4318.79</v>
      </c>
      <c r="G16" s="15"/>
      <c r="H16" s="15"/>
      <c r="I16" s="19"/>
      <c r="J16" s="20"/>
      <c r="K16" s="17"/>
      <c r="L16" s="17"/>
      <c r="M16" s="17"/>
    </row>
    <row r="17" spans="1:13" s="18" customFormat="1" ht="12">
      <c r="A17" s="11">
        <v>12</v>
      </c>
      <c r="B17" s="12" t="s">
        <v>16</v>
      </c>
      <c r="C17" s="13">
        <v>130000</v>
      </c>
      <c r="D17" s="98">
        <f>9+40948.71+3396.71</f>
        <v>44354.42</v>
      </c>
      <c r="E17" s="14">
        <v>130000</v>
      </c>
      <c r="F17" s="14">
        <f>796.73+12061.55+449.28+147.6+5316.72+22</f>
        <v>18793.88</v>
      </c>
      <c r="G17" s="15"/>
      <c r="H17" s="15"/>
      <c r="I17" s="19"/>
      <c r="J17" s="20"/>
      <c r="K17" s="17"/>
      <c r="L17" s="17"/>
      <c r="M17" s="17"/>
    </row>
    <row r="18" spans="1:13" s="18" customFormat="1" ht="12">
      <c r="A18" s="11">
        <v>13</v>
      </c>
      <c r="B18" s="12" t="s">
        <v>17</v>
      </c>
      <c r="C18" s="13">
        <v>129000</v>
      </c>
      <c r="D18" s="98">
        <f>106+49307.66+251.71</f>
        <v>49665.37</v>
      </c>
      <c r="E18" s="14">
        <f>133000-4000</f>
        <v>129000</v>
      </c>
      <c r="F18" s="14">
        <f>3326.44+12.92+7813+5384.32+788+493+246</f>
        <v>18063.68</v>
      </c>
      <c r="G18" s="15"/>
      <c r="H18" s="15"/>
      <c r="I18" s="19"/>
      <c r="J18" s="20"/>
      <c r="K18" s="17"/>
      <c r="L18" s="17"/>
      <c r="M18" s="17"/>
    </row>
    <row r="19" spans="1:13" s="18" customFormat="1" ht="12">
      <c r="A19" s="11">
        <v>14</v>
      </c>
      <c r="B19" s="12" t="s">
        <v>18</v>
      </c>
      <c r="C19" s="13">
        <v>43800</v>
      </c>
      <c r="D19" s="98">
        <f>85+6006.93+257.81+1225+10472.08</f>
        <v>18046.82</v>
      </c>
      <c r="E19" s="14">
        <f>47244-3444</f>
        <v>43800</v>
      </c>
      <c r="F19" s="14">
        <f>507.75+10472.08+106.6+83.4+83.5+60</f>
        <v>11313.33</v>
      </c>
      <c r="G19" s="15"/>
      <c r="H19" s="15"/>
      <c r="I19" s="19"/>
      <c r="J19" s="20"/>
      <c r="K19" s="17"/>
      <c r="L19" s="17"/>
      <c r="M19" s="17"/>
    </row>
    <row r="20" spans="1:13" s="18" customFormat="1" ht="12">
      <c r="A20" s="11">
        <v>15</v>
      </c>
      <c r="B20" s="12" t="s">
        <v>19</v>
      </c>
      <c r="C20" s="13">
        <f>82500+2000</f>
        <v>84500</v>
      </c>
      <c r="D20" s="98">
        <f>31+67280.31+126.92+3709.63</f>
        <v>71147.86</v>
      </c>
      <c r="E20" s="14">
        <f>83000+1500</f>
        <v>84500</v>
      </c>
      <c r="F20" s="14">
        <f>1074.45+12274.22+28571.12+13505.45</f>
        <v>55425.240000000005</v>
      </c>
      <c r="G20" s="15"/>
      <c r="H20" s="15"/>
      <c r="I20" s="19"/>
      <c r="J20" s="20"/>
      <c r="K20" s="17"/>
      <c r="L20" s="17"/>
      <c r="M20" s="17"/>
    </row>
    <row r="21" spans="1:13" s="18" customFormat="1" ht="12">
      <c r="A21" s="11">
        <v>16</v>
      </c>
      <c r="B21" s="12" t="s">
        <v>20</v>
      </c>
      <c r="C21" s="13">
        <v>43000</v>
      </c>
      <c r="D21" s="98">
        <f>143+8440.86+5533.08+160.31</f>
        <v>14277.25</v>
      </c>
      <c r="E21" s="14">
        <v>43000</v>
      </c>
      <c r="F21" s="14">
        <f>519.23+1952.99+1850.87+147.6+768+368.6</f>
        <v>5607.290000000001</v>
      </c>
      <c r="G21" s="15"/>
      <c r="H21" s="15"/>
      <c r="I21" s="19"/>
      <c r="J21" s="20"/>
      <c r="K21" s="17"/>
      <c r="L21" s="17"/>
      <c r="M21" s="17"/>
    </row>
    <row r="22" spans="1:13" s="18" customFormat="1" ht="12">
      <c r="A22" s="11">
        <v>17</v>
      </c>
      <c r="B22" s="12" t="s">
        <v>21</v>
      </c>
      <c r="C22" s="13">
        <v>104000</v>
      </c>
      <c r="D22" s="98">
        <f>474.9+32356.32+325.62</f>
        <v>33156.840000000004</v>
      </c>
      <c r="E22" s="14">
        <v>104000</v>
      </c>
      <c r="F22" s="14">
        <f>13569.18+123+6964.15+656.82+1405+2311.6</f>
        <v>25029.75</v>
      </c>
      <c r="G22" s="15"/>
      <c r="H22" s="15"/>
      <c r="I22" s="19"/>
      <c r="J22" s="20"/>
      <c r="K22" s="17"/>
      <c r="L22" s="17"/>
      <c r="M22" s="17"/>
    </row>
    <row r="23" spans="1:13" s="18" customFormat="1" ht="12">
      <c r="A23" s="11">
        <v>18</v>
      </c>
      <c r="B23" s="12" t="s">
        <v>22</v>
      </c>
      <c r="C23" s="13">
        <f>14800+11200</f>
        <v>26000</v>
      </c>
      <c r="D23" s="98">
        <f>72+6122.99+175.47+528</f>
        <v>6898.46</v>
      </c>
      <c r="E23" s="14">
        <v>26000</v>
      </c>
      <c r="F23" s="14">
        <f>458.96+1107+4503.01</f>
        <v>6068.97</v>
      </c>
      <c r="G23" s="15"/>
      <c r="H23" s="15"/>
      <c r="I23" s="19"/>
      <c r="J23" s="20"/>
      <c r="K23" s="17"/>
      <c r="L23" s="17"/>
      <c r="M23" s="17"/>
    </row>
    <row r="24" spans="1:13" s="18" customFormat="1" ht="12">
      <c r="A24" s="11">
        <v>19</v>
      </c>
      <c r="B24" s="12" t="s">
        <v>23</v>
      </c>
      <c r="C24" s="13">
        <f>105000+7000</f>
        <v>112000</v>
      </c>
      <c r="D24" s="98">
        <f>53+7900.63+295.5+1716.33</f>
        <v>9965.460000000001</v>
      </c>
      <c r="E24" s="14">
        <v>112000</v>
      </c>
      <c r="F24" s="14">
        <f>3974.78+179.7</f>
        <v>4154.4800000000005</v>
      </c>
      <c r="G24" s="15"/>
      <c r="H24" s="15"/>
      <c r="I24" s="19"/>
      <c r="J24" s="20"/>
      <c r="K24" s="17"/>
      <c r="L24" s="17"/>
      <c r="M24" s="17"/>
    </row>
    <row r="25" spans="1:13" s="18" customFormat="1" ht="12">
      <c r="A25" s="11">
        <v>20</v>
      </c>
      <c r="B25" s="12" t="s">
        <v>24</v>
      </c>
      <c r="C25" s="13">
        <v>49800</v>
      </c>
      <c r="D25" s="98">
        <f>19480+279.02+500</f>
        <v>20259.02</v>
      </c>
      <c r="E25" s="14">
        <v>49500</v>
      </c>
      <c r="F25" s="14">
        <f>96.38+2247.45</f>
        <v>2343.83</v>
      </c>
      <c r="G25" s="15"/>
      <c r="H25" s="15"/>
      <c r="I25" s="19"/>
      <c r="J25" s="20"/>
      <c r="K25" s="17"/>
      <c r="L25" s="17"/>
      <c r="M25" s="17"/>
    </row>
    <row r="26" spans="1:13" s="18" customFormat="1" ht="12">
      <c r="A26" s="11">
        <v>21</v>
      </c>
      <c r="B26" s="12" t="s">
        <v>25</v>
      </c>
      <c r="C26" s="13">
        <v>32900</v>
      </c>
      <c r="D26" s="98">
        <f>18+9387.5+3135+72.93</f>
        <v>12613.43</v>
      </c>
      <c r="E26" s="14">
        <v>27540</v>
      </c>
      <c r="F26" s="14">
        <v>4119.6</v>
      </c>
      <c r="G26" s="15"/>
      <c r="H26" s="15"/>
      <c r="I26" s="19"/>
      <c r="J26" s="20"/>
      <c r="K26" s="17"/>
      <c r="L26" s="17"/>
      <c r="M26" s="17"/>
    </row>
    <row r="27" spans="1:13" s="18" customFormat="1" ht="12">
      <c r="A27" s="11">
        <v>22</v>
      </c>
      <c r="B27" s="12" t="s">
        <v>26</v>
      </c>
      <c r="C27" s="13">
        <v>83000</v>
      </c>
      <c r="D27" s="98">
        <f>19+37495.1+2096.93</f>
        <v>39611.03</v>
      </c>
      <c r="E27" s="14">
        <v>83000</v>
      </c>
      <c r="F27" s="14">
        <f>256.23+2162.98+19+108</f>
        <v>2546.21</v>
      </c>
      <c r="G27" s="15"/>
      <c r="H27" s="15"/>
      <c r="I27" s="19"/>
      <c r="J27" s="20"/>
      <c r="K27" s="17"/>
      <c r="L27" s="17"/>
      <c r="M27" s="17"/>
    </row>
    <row r="28" spans="1:13" s="18" customFormat="1" ht="12.75" customHeight="1">
      <c r="A28" s="11">
        <v>23</v>
      </c>
      <c r="B28" s="12" t="s">
        <v>27</v>
      </c>
      <c r="C28" s="13">
        <v>185500</v>
      </c>
      <c r="D28" s="98">
        <f>247+77500.1+604.09</f>
        <v>78351.19</v>
      </c>
      <c r="E28" s="14">
        <v>185500</v>
      </c>
      <c r="F28" s="14">
        <f>909.77+584+28252.54+1067+3830.22+6289.19+76.5+1393.1</f>
        <v>42402.32</v>
      </c>
      <c r="G28" s="15"/>
      <c r="H28" s="15"/>
      <c r="I28" s="19"/>
      <c r="J28" s="20"/>
      <c r="K28" s="17"/>
      <c r="L28" s="17"/>
      <c r="M28" s="17"/>
    </row>
    <row r="29" spans="1:13" s="18" customFormat="1" ht="12.75" customHeight="1">
      <c r="A29" s="11">
        <v>24</v>
      </c>
      <c r="B29" s="12" t="s">
        <v>28</v>
      </c>
      <c r="C29" s="13">
        <v>299600</v>
      </c>
      <c r="D29" s="98">
        <f>171+90341.29+1430+1213.57+13640</f>
        <v>106795.86</v>
      </c>
      <c r="E29" s="14">
        <v>299600</v>
      </c>
      <c r="F29" s="14">
        <f>22797.79+10370+7900.14</f>
        <v>41067.93</v>
      </c>
      <c r="G29" s="15"/>
      <c r="H29" s="15"/>
      <c r="I29" s="19"/>
      <c r="J29" s="20"/>
      <c r="K29" s="17"/>
      <c r="L29" s="17"/>
      <c r="M29" s="17"/>
    </row>
    <row r="30" spans="1:13" s="18" customFormat="1" ht="12.75" customHeight="1">
      <c r="A30" s="11">
        <v>25</v>
      </c>
      <c r="B30" s="12" t="s">
        <v>29</v>
      </c>
      <c r="C30" s="13">
        <v>219000</v>
      </c>
      <c r="D30" s="98">
        <f>197+29999.37+185.9+3294.21+2340.96</f>
        <v>36017.44</v>
      </c>
      <c r="E30" s="14">
        <v>219000</v>
      </c>
      <c r="F30" s="14">
        <f>289.78+15986.91+394+678.02+3959.35+492</f>
        <v>21800.06</v>
      </c>
      <c r="G30" s="15"/>
      <c r="H30" s="15"/>
      <c r="I30" s="19"/>
      <c r="J30" s="20"/>
      <c r="K30" s="17"/>
      <c r="L30" s="17"/>
      <c r="M30" s="17"/>
    </row>
    <row r="31" spans="1:13" s="18" customFormat="1" ht="13.5" customHeight="1">
      <c r="A31" s="11">
        <v>26</v>
      </c>
      <c r="B31" s="12" t="s">
        <v>30</v>
      </c>
      <c r="C31" s="13">
        <f>36300+5000</f>
        <v>41300</v>
      </c>
      <c r="D31" s="98">
        <f>433+18688.99+195.77</f>
        <v>19317.760000000002</v>
      </c>
      <c r="E31" s="14">
        <v>41300</v>
      </c>
      <c r="F31" s="14">
        <f>6174.78+2590.4+2881.35+140</f>
        <v>11786.53</v>
      </c>
      <c r="G31" s="15"/>
      <c r="H31" s="15"/>
      <c r="I31" s="19"/>
      <c r="J31" s="20"/>
      <c r="K31" s="17"/>
      <c r="L31" s="17"/>
      <c r="M31" s="17"/>
    </row>
    <row r="32" spans="1:13" s="18" customFormat="1" ht="14.25" customHeight="1">
      <c r="A32" s="11">
        <v>27</v>
      </c>
      <c r="B32" s="12" t="s">
        <v>31</v>
      </c>
      <c r="C32" s="13">
        <v>9900</v>
      </c>
      <c r="D32" s="98">
        <f>81+3682+180.31</f>
        <v>3943.31</v>
      </c>
      <c r="E32" s="14">
        <v>9900</v>
      </c>
      <c r="F32" s="14">
        <v>79.8</v>
      </c>
      <c r="G32" s="15"/>
      <c r="H32" s="15"/>
      <c r="I32" s="19"/>
      <c r="J32" s="20"/>
      <c r="K32" s="17"/>
      <c r="L32" s="17"/>
      <c r="M32" s="17"/>
    </row>
    <row r="33" spans="1:13" s="18" customFormat="1" ht="13.5" customHeight="1">
      <c r="A33" s="11">
        <v>28</v>
      </c>
      <c r="B33" s="12" t="s">
        <v>32</v>
      </c>
      <c r="C33" s="13">
        <v>77700</v>
      </c>
      <c r="D33" s="98">
        <f>225+32236.39+172.4+2283</f>
        <v>34916.79</v>
      </c>
      <c r="E33" s="14">
        <v>77700</v>
      </c>
      <c r="F33" s="14">
        <f>7924.04+3000+135.3+12921.93+257.73+2094</f>
        <v>26333</v>
      </c>
      <c r="G33" s="15"/>
      <c r="H33" s="15"/>
      <c r="I33" s="19"/>
      <c r="J33" s="20"/>
      <c r="K33" s="17"/>
      <c r="L33" s="17"/>
      <c r="M33" s="17"/>
    </row>
    <row r="34" spans="1:13" s="18" customFormat="1" ht="15.75" customHeight="1">
      <c r="A34" s="11">
        <v>29</v>
      </c>
      <c r="B34" s="12" t="s">
        <v>33</v>
      </c>
      <c r="C34" s="13">
        <v>113800</v>
      </c>
      <c r="D34" s="98">
        <f>369+49322.84+208.98</f>
        <v>49900.82</v>
      </c>
      <c r="E34" s="14">
        <v>113800</v>
      </c>
      <c r="F34" s="14">
        <f>2697+16217.03+1064.05+6433.54+10637.42+523.22+1134+2970+499.67</f>
        <v>42175.93</v>
      </c>
      <c r="G34" s="15"/>
      <c r="H34" s="15"/>
      <c r="I34" s="19"/>
      <c r="J34" s="20"/>
      <c r="K34" s="17"/>
      <c r="L34" s="17"/>
      <c r="M34" s="17"/>
    </row>
    <row r="35" spans="1:13" s="18" customFormat="1" ht="12">
      <c r="A35" s="11">
        <v>30</v>
      </c>
      <c r="B35" s="21" t="s">
        <v>34</v>
      </c>
      <c r="C35" s="22">
        <v>150000</v>
      </c>
      <c r="D35" s="99">
        <f>90+23095.95+130.11+7347.65</f>
        <v>30663.71</v>
      </c>
      <c r="E35" s="23">
        <v>150000</v>
      </c>
      <c r="F35" s="23">
        <f>8416.39+450+5878.82+1136.92</f>
        <v>15882.13</v>
      </c>
      <c r="G35" s="15"/>
      <c r="H35" s="15"/>
      <c r="I35" s="19"/>
      <c r="J35" s="20"/>
      <c r="K35" s="17"/>
      <c r="L35" s="17"/>
      <c r="M35" s="17"/>
    </row>
    <row r="36" spans="1:13" s="29" customFormat="1" ht="24.75" customHeight="1">
      <c r="A36" s="117" t="s">
        <v>35</v>
      </c>
      <c r="B36" s="118"/>
      <c r="C36" s="24">
        <f>SUM(C37:C37)</f>
        <v>96960</v>
      </c>
      <c r="D36" s="100">
        <f>SUM(D37:D37)</f>
        <v>43997.4</v>
      </c>
      <c r="E36" s="7">
        <f>SUM(E37:E37)</f>
        <v>94960</v>
      </c>
      <c r="F36" s="7">
        <f>SUM(F37:F37)</f>
        <v>24278.45</v>
      </c>
      <c r="G36" s="25"/>
      <c r="H36" s="25"/>
      <c r="I36" s="26"/>
      <c r="J36" s="27"/>
      <c r="K36" s="27"/>
      <c r="L36" s="26"/>
      <c r="M36" s="28"/>
    </row>
    <row r="37" spans="1:13" s="35" customFormat="1" ht="15" customHeight="1">
      <c r="A37" s="30">
        <v>1</v>
      </c>
      <c r="B37" s="31" t="s">
        <v>36</v>
      </c>
      <c r="C37" s="13">
        <v>96960</v>
      </c>
      <c r="D37" s="101">
        <v>43997.4</v>
      </c>
      <c r="E37" s="32">
        <v>94960</v>
      </c>
      <c r="F37" s="32">
        <v>24278.45</v>
      </c>
      <c r="G37" s="8"/>
      <c r="H37" s="8"/>
      <c r="I37" s="33"/>
      <c r="J37" s="33"/>
      <c r="K37" s="33"/>
      <c r="L37" s="33"/>
      <c r="M37" s="34"/>
    </row>
    <row r="38" spans="1:6" s="36" customFormat="1" ht="17.25" customHeight="1">
      <c r="A38" s="117" t="s">
        <v>37</v>
      </c>
      <c r="B38" s="118" t="s">
        <v>38</v>
      </c>
      <c r="C38" s="24">
        <f>SUM(C39:C67)</f>
        <v>184520</v>
      </c>
      <c r="D38" s="100">
        <f>SUM(D39:D67)</f>
        <v>65188.03999999999</v>
      </c>
      <c r="E38" s="7">
        <f>SUM(E39:E67)</f>
        <v>184020</v>
      </c>
      <c r="F38" s="7">
        <f>SUM(F39:F67)</f>
        <v>10206.579999999998</v>
      </c>
    </row>
    <row r="39" spans="1:6" s="36" customFormat="1" ht="13.5" customHeight="1">
      <c r="A39" s="11">
        <v>1</v>
      </c>
      <c r="B39" s="12" t="s">
        <v>124</v>
      </c>
      <c r="C39" s="37">
        <v>100</v>
      </c>
      <c r="D39" s="101">
        <v>47</v>
      </c>
      <c r="E39" s="32">
        <v>100</v>
      </c>
      <c r="F39" s="32">
        <v>37</v>
      </c>
    </row>
    <row r="40" spans="1:6" s="36" customFormat="1" ht="13.5">
      <c r="A40" s="11">
        <v>2</v>
      </c>
      <c r="B40" s="12" t="s">
        <v>125</v>
      </c>
      <c r="C40" s="13">
        <v>8100</v>
      </c>
      <c r="D40" s="101">
        <f>1902.5+103.9</f>
        <v>2006.4</v>
      </c>
      <c r="E40" s="32">
        <v>8100</v>
      </c>
      <c r="F40" s="32">
        <v>65</v>
      </c>
    </row>
    <row r="41" spans="1:6" s="36" customFormat="1" ht="13.5">
      <c r="A41" s="11">
        <v>3</v>
      </c>
      <c r="B41" s="12" t="s">
        <v>126</v>
      </c>
      <c r="C41" s="13">
        <v>17054</v>
      </c>
      <c r="D41" s="101">
        <f>3800+4326.21+0.74</f>
        <v>8126.95</v>
      </c>
      <c r="E41" s="32">
        <v>17054</v>
      </c>
      <c r="F41" s="32">
        <f>6.12+228</f>
        <v>234.12</v>
      </c>
    </row>
    <row r="42" spans="1:6" s="36" customFormat="1" ht="13.5">
      <c r="A42" s="11">
        <v>4</v>
      </c>
      <c r="B42" s="12" t="s">
        <v>127</v>
      </c>
      <c r="C42" s="13">
        <v>2460</v>
      </c>
      <c r="D42" s="101">
        <f>40.63+3650.09</f>
        <v>3690.7200000000003</v>
      </c>
      <c r="E42" s="32">
        <v>2460</v>
      </c>
      <c r="F42" s="32">
        <v>0</v>
      </c>
    </row>
    <row r="43" spans="1:6" s="36" customFormat="1" ht="13.5">
      <c r="A43" s="11">
        <v>5</v>
      </c>
      <c r="B43" s="12" t="s">
        <v>128</v>
      </c>
      <c r="C43" s="13">
        <v>5954</v>
      </c>
      <c r="D43" s="101">
        <f>491.42+33.33+2880</f>
        <v>3404.75</v>
      </c>
      <c r="E43" s="32">
        <f>6984-1030</f>
        <v>5954</v>
      </c>
      <c r="F43" s="32">
        <f>2770</f>
        <v>2770</v>
      </c>
    </row>
    <row r="44" spans="1:6" s="36" customFormat="1" ht="13.5">
      <c r="A44" s="11">
        <v>6</v>
      </c>
      <c r="B44" s="12" t="s">
        <v>129</v>
      </c>
      <c r="C44" s="13">
        <v>1986</v>
      </c>
      <c r="D44" s="101">
        <v>994</v>
      </c>
      <c r="E44" s="32">
        <v>1986</v>
      </c>
      <c r="F44" s="32">
        <v>0</v>
      </c>
    </row>
    <row r="45" spans="1:6" s="36" customFormat="1" ht="13.5">
      <c r="A45" s="11">
        <v>7</v>
      </c>
      <c r="B45" s="12" t="s">
        <v>130</v>
      </c>
      <c r="C45" s="13">
        <v>700</v>
      </c>
      <c r="D45" s="101">
        <v>0</v>
      </c>
      <c r="E45" s="32">
        <v>700</v>
      </c>
      <c r="F45" s="32">
        <v>0</v>
      </c>
    </row>
    <row r="46" spans="1:6" s="36" customFormat="1" ht="13.5">
      <c r="A46" s="11">
        <v>8</v>
      </c>
      <c r="B46" s="12" t="s">
        <v>131</v>
      </c>
      <c r="C46" s="13">
        <v>800</v>
      </c>
      <c r="D46" s="101">
        <v>1093</v>
      </c>
      <c r="E46" s="32">
        <v>800</v>
      </c>
      <c r="F46" s="32">
        <v>76.2</v>
      </c>
    </row>
    <row r="47" spans="1:6" s="36" customFormat="1" ht="15" customHeight="1">
      <c r="A47" s="11">
        <v>9</v>
      </c>
      <c r="B47" s="12" t="s">
        <v>132</v>
      </c>
      <c r="C47" s="13">
        <v>1314</v>
      </c>
      <c r="D47" s="101">
        <v>714</v>
      </c>
      <c r="E47" s="32">
        <v>1314</v>
      </c>
      <c r="F47" s="32">
        <v>0</v>
      </c>
    </row>
    <row r="48" spans="1:6" s="36" customFormat="1" ht="13.5">
      <c r="A48" s="11">
        <v>10</v>
      </c>
      <c r="B48" s="12" t="s">
        <v>133</v>
      </c>
      <c r="C48" s="13">
        <v>3000</v>
      </c>
      <c r="D48" s="101">
        <v>0</v>
      </c>
      <c r="E48" s="32">
        <v>3000</v>
      </c>
      <c r="F48" s="32">
        <v>0</v>
      </c>
    </row>
    <row r="49" spans="1:6" s="36" customFormat="1" ht="13.5">
      <c r="A49" s="11">
        <v>11</v>
      </c>
      <c r="B49" s="12" t="s">
        <v>134</v>
      </c>
      <c r="C49" s="13">
        <v>6000</v>
      </c>
      <c r="D49" s="101">
        <f>1552+106.3</f>
        <v>1658.3</v>
      </c>
      <c r="E49" s="32">
        <v>6000</v>
      </c>
      <c r="F49" s="32">
        <v>59</v>
      </c>
    </row>
    <row r="50" spans="1:6" s="36" customFormat="1" ht="13.5" customHeight="1">
      <c r="A50" s="11">
        <v>12</v>
      </c>
      <c r="B50" s="12" t="s">
        <v>135</v>
      </c>
      <c r="C50" s="13">
        <v>1000</v>
      </c>
      <c r="D50" s="101">
        <v>625</v>
      </c>
      <c r="E50" s="32">
        <v>1000</v>
      </c>
      <c r="F50" s="32">
        <v>132.7</v>
      </c>
    </row>
    <row r="51" spans="1:6" s="36" customFormat="1" ht="13.5">
      <c r="A51" s="11">
        <v>13</v>
      </c>
      <c r="B51" s="12" t="s">
        <v>136</v>
      </c>
      <c r="C51" s="13">
        <v>3000</v>
      </c>
      <c r="D51" s="101">
        <v>0</v>
      </c>
      <c r="E51" s="32">
        <v>3000</v>
      </c>
      <c r="F51" s="32">
        <v>0</v>
      </c>
    </row>
    <row r="52" spans="1:6" s="36" customFormat="1" ht="13.5">
      <c r="A52" s="11">
        <v>14</v>
      </c>
      <c r="B52" s="12" t="s">
        <v>137</v>
      </c>
      <c r="C52" s="13">
        <v>5804</v>
      </c>
      <c r="D52" s="101">
        <v>93.3</v>
      </c>
      <c r="E52" s="32">
        <v>5804</v>
      </c>
      <c r="F52" s="32">
        <v>50.4</v>
      </c>
    </row>
    <row r="53" spans="1:6" s="36" customFormat="1" ht="13.5">
      <c r="A53" s="11">
        <v>15</v>
      </c>
      <c r="B53" s="12" t="s">
        <v>138</v>
      </c>
      <c r="C53" s="13">
        <v>1000</v>
      </c>
      <c r="D53" s="101">
        <v>0</v>
      </c>
      <c r="E53" s="32">
        <v>1000</v>
      </c>
      <c r="F53" s="32">
        <v>0</v>
      </c>
    </row>
    <row r="54" spans="1:6" s="36" customFormat="1" ht="13.5" hidden="1">
      <c r="A54" s="11">
        <v>15</v>
      </c>
      <c r="B54" s="12" t="s">
        <v>39</v>
      </c>
      <c r="C54" s="13">
        <f>7875-7875</f>
        <v>0</v>
      </c>
      <c r="D54" s="101"/>
      <c r="E54" s="32">
        <v>0</v>
      </c>
      <c r="F54" s="32"/>
    </row>
    <row r="55" spans="1:6" s="36" customFormat="1" ht="13.5">
      <c r="A55" s="11">
        <v>16</v>
      </c>
      <c r="B55" s="12" t="s">
        <v>139</v>
      </c>
      <c r="C55" s="13">
        <f>500+9166</f>
        <v>9666</v>
      </c>
      <c r="D55" s="101">
        <f>147.24+3650+2315.46</f>
        <v>6112.7</v>
      </c>
      <c r="E55" s="32">
        <v>9666</v>
      </c>
      <c r="F55" s="32">
        <f>3506</f>
        <v>3506</v>
      </c>
    </row>
    <row r="56" spans="1:6" s="36" customFormat="1" ht="13.5">
      <c r="A56" s="11">
        <v>17</v>
      </c>
      <c r="B56" s="12" t="s">
        <v>140</v>
      </c>
      <c r="C56" s="13">
        <f>12500+15000</f>
        <v>27500</v>
      </c>
      <c r="D56" s="101">
        <f>4180+104.9+9164.86</f>
        <v>13449.76</v>
      </c>
      <c r="E56" s="32">
        <f>12000+15000</f>
        <v>27000</v>
      </c>
      <c r="F56" s="32">
        <f>2.4</f>
        <v>2.4</v>
      </c>
    </row>
    <row r="57" spans="1:6" s="36" customFormat="1" ht="14.25" customHeight="1">
      <c r="A57" s="11">
        <v>18</v>
      </c>
      <c r="B57" s="12" t="s">
        <v>141</v>
      </c>
      <c r="C57" s="13">
        <v>2000</v>
      </c>
      <c r="D57" s="101">
        <f>656+0.26</f>
        <v>656.26</v>
      </c>
      <c r="E57" s="32">
        <v>2000</v>
      </c>
      <c r="F57" s="32">
        <v>0</v>
      </c>
    </row>
    <row r="58" spans="1:6" s="36" customFormat="1" ht="13.5" customHeight="1">
      <c r="A58" s="11">
        <v>19</v>
      </c>
      <c r="B58" s="12" t="s">
        <v>142</v>
      </c>
      <c r="C58" s="38">
        <v>34136</v>
      </c>
      <c r="D58" s="102">
        <f>4370.14+105.1</f>
        <v>4475.240000000001</v>
      </c>
      <c r="E58" s="23">
        <f>35736-1600</f>
        <v>34136</v>
      </c>
      <c r="F58" s="23">
        <v>98.4</v>
      </c>
    </row>
    <row r="59" spans="1:6" s="36" customFormat="1" ht="12.75" customHeight="1">
      <c r="A59" s="11">
        <v>20</v>
      </c>
      <c r="B59" s="12" t="s">
        <v>143</v>
      </c>
      <c r="C59" s="38">
        <v>2360</v>
      </c>
      <c r="D59" s="102">
        <f>886+149.27</f>
        <v>1035.27</v>
      </c>
      <c r="E59" s="23">
        <v>2360</v>
      </c>
      <c r="F59" s="23">
        <f>260.16+58.2</f>
        <v>318.36</v>
      </c>
    </row>
    <row r="60" spans="1:6" s="36" customFormat="1" ht="13.5">
      <c r="A60" s="11">
        <v>21</v>
      </c>
      <c r="B60" s="12" t="s">
        <v>144</v>
      </c>
      <c r="C60" s="13">
        <v>3700</v>
      </c>
      <c r="D60" s="101">
        <f>193.5+0.63</f>
        <v>194.13</v>
      </c>
      <c r="E60" s="32">
        <f>3800-100</f>
        <v>3700</v>
      </c>
      <c r="F60" s="32">
        <v>0</v>
      </c>
    </row>
    <row r="61" spans="1:6" s="36" customFormat="1" ht="13.5">
      <c r="A61" s="11">
        <v>22</v>
      </c>
      <c r="B61" s="12" t="s">
        <v>145</v>
      </c>
      <c r="C61" s="13">
        <v>12000</v>
      </c>
      <c r="D61" s="101">
        <f>280+3367.28+163.97+2.54</f>
        <v>3813.79</v>
      </c>
      <c r="E61" s="32">
        <v>12000</v>
      </c>
      <c r="F61" s="32">
        <f>351.74+318</f>
        <v>669.74</v>
      </c>
    </row>
    <row r="62" spans="1:6" s="36" customFormat="1" ht="13.5" customHeight="1">
      <c r="A62" s="11">
        <v>23</v>
      </c>
      <c r="B62" s="12" t="s">
        <v>146</v>
      </c>
      <c r="C62" s="13">
        <v>5000</v>
      </c>
      <c r="D62" s="101">
        <v>130.79</v>
      </c>
      <c r="E62" s="32">
        <v>5000</v>
      </c>
      <c r="F62" s="32">
        <v>0</v>
      </c>
    </row>
    <row r="63" spans="1:6" s="36" customFormat="1" ht="13.5" customHeight="1">
      <c r="A63" s="11">
        <v>24</v>
      </c>
      <c r="B63" s="12" t="s">
        <v>147</v>
      </c>
      <c r="C63" s="13">
        <v>6565</v>
      </c>
      <c r="D63" s="101">
        <f>0.6+2372.2+8.67</f>
        <v>2381.47</v>
      </c>
      <c r="E63" s="32">
        <v>6565</v>
      </c>
      <c r="F63" s="32">
        <v>3</v>
      </c>
    </row>
    <row r="64" spans="1:6" s="36" customFormat="1" ht="13.5" customHeight="1">
      <c r="A64" s="11">
        <v>25</v>
      </c>
      <c r="B64" s="12" t="s">
        <v>148</v>
      </c>
      <c r="C64" s="13">
        <v>10500</v>
      </c>
      <c r="D64" s="101">
        <f>2757.27+188.73</f>
        <v>2946</v>
      </c>
      <c r="E64" s="32">
        <f>10530-30</f>
        <v>10500</v>
      </c>
      <c r="F64" s="32">
        <v>0</v>
      </c>
    </row>
    <row r="65" spans="1:6" s="36" customFormat="1" ht="12.75" customHeight="1">
      <c r="A65" s="11">
        <v>26</v>
      </c>
      <c r="B65" s="12" t="s">
        <v>149</v>
      </c>
      <c r="C65" s="13">
        <v>1507</v>
      </c>
      <c r="D65" s="101">
        <v>2770.52</v>
      </c>
      <c r="E65" s="32">
        <v>1507</v>
      </c>
      <c r="F65" s="32">
        <f>1007+174.21</f>
        <v>1181.21</v>
      </c>
    </row>
    <row r="66" spans="1:6" s="36" customFormat="1" ht="12.75" customHeight="1">
      <c r="A66" s="11">
        <v>27</v>
      </c>
      <c r="B66" s="12" t="s">
        <v>150</v>
      </c>
      <c r="C66" s="39">
        <v>6314</v>
      </c>
      <c r="D66" s="103">
        <f>857.87</f>
        <v>857.87</v>
      </c>
      <c r="E66" s="32">
        <v>6314</v>
      </c>
      <c r="F66" s="32">
        <v>0</v>
      </c>
    </row>
    <row r="67" spans="1:6" s="36" customFormat="1" ht="12" customHeight="1">
      <c r="A67" s="11">
        <v>28</v>
      </c>
      <c r="B67" s="12" t="s">
        <v>151</v>
      </c>
      <c r="C67" s="40">
        <v>5000</v>
      </c>
      <c r="D67" s="103">
        <f>2862+46.32+1002.5</f>
        <v>3910.82</v>
      </c>
      <c r="E67" s="32">
        <f>4500+500</f>
        <v>5000</v>
      </c>
      <c r="F67" s="32">
        <v>1003.05</v>
      </c>
    </row>
    <row r="68" spans="1:13" s="45" customFormat="1" ht="17.25" customHeight="1">
      <c r="A68" s="41" t="s">
        <v>40</v>
      </c>
      <c r="B68" s="42"/>
      <c r="C68" s="24">
        <f>SUM(C69:C76)</f>
        <v>916931</v>
      </c>
      <c r="D68" s="100">
        <f>SUM(D69:D76)</f>
        <v>311108.88999999996</v>
      </c>
      <c r="E68" s="7">
        <f>SUM(E69:E76)</f>
        <v>916931</v>
      </c>
      <c r="F68" s="7">
        <f>SUM(F69:F76)</f>
        <v>109545.31999999999</v>
      </c>
      <c r="G68" s="43"/>
      <c r="H68" s="43"/>
      <c r="I68" s="44"/>
      <c r="J68" s="44"/>
      <c r="K68" s="44"/>
      <c r="L68" s="44"/>
      <c r="M68" s="44"/>
    </row>
    <row r="69" spans="1:8" s="35" customFormat="1" ht="14.25" customHeight="1">
      <c r="A69" s="46">
        <v>1</v>
      </c>
      <c r="B69" s="47" t="s">
        <v>41</v>
      </c>
      <c r="C69" s="37">
        <v>253650</v>
      </c>
      <c r="D69" s="104">
        <v>118775.59</v>
      </c>
      <c r="E69" s="48">
        <v>253650</v>
      </c>
      <c r="F69" s="48">
        <v>20701.02</v>
      </c>
      <c r="G69" s="8"/>
      <c r="H69" s="8"/>
    </row>
    <row r="70" spans="1:8" s="35" customFormat="1" ht="14.25" customHeight="1">
      <c r="A70" s="11">
        <v>2</v>
      </c>
      <c r="B70" s="49" t="s">
        <v>42</v>
      </c>
      <c r="C70" s="13">
        <v>46500</v>
      </c>
      <c r="D70" s="101">
        <f>153+3316.6+145.46+2804+9</f>
        <v>6428.0599999999995</v>
      </c>
      <c r="E70" s="32">
        <f>51500-5000</f>
        <v>46500</v>
      </c>
      <c r="F70" s="32">
        <f>1833.17+495.42+56</f>
        <v>2384.59</v>
      </c>
      <c r="G70" s="8"/>
      <c r="H70" s="8"/>
    </row>
    <row r="71" spans="1:8" s="35" customFormat="1" ht="14.25" customHeight="1">
      <c r="A71" s="11">
        <v>3</v>
      </c>
      <c r="B71" s="49" t="s">
        <v>43</v>
      </c>
      <c r="C71" s="38">
        <v>29780</v>
      </c>
      <c r="D71" s="102">
        <f>170+13560.48+83.3</f>
        <v>13813.779999999999</v>
      </c>
      <c r="E71" s="23">
        <v>29780</v>
      </c>
      <c r="F71" s="23">
        <f>394.83+3267.29</f>
        <v>3662.12</v>
      </c>
      <c r="G71" s="8"/>
      <c r="H71" s="8"/>
    </row>
    <row r="72" spans="1:8" s="35" customFormat="1" ht="14.25" customHeight="1">
      <c r="A72" s="11">
        <v>4</v>
      </c>
      <c r="B72" s="49" t="s">
        <v>44</v>
      </c>
      <c r="C72" s="38">
        <v>89000</v>
      </c>
      <c r="D72" s="102">
        <f>307+29427.86+252.5</f>
        <v>29987.36</v>
      </c>
      <c r="E72" s="23">
        <v>89000</v>
      </c>
      <c r="F72" s="23">
        <f>9868.21+58.2+2287.8+6803.99+66</f>
        <v>19084.199999999997</v>
      </c>
      <c r="G72" s="8"/>
      <c r="H72" s="8"/>
    </row>
    <row r="73" spans="1:8" s="35" customFormat="1" ht="12.75">
      <c r="A73" s="11">
        <v>5</v>
      </c>
      <c r="B73" s="50" t="s">
        <v>45</v>
      </c>
      <c r="C73" s="38">
        <v>55000</v>
      </c>
      <c r="D73" s="102">
        <v>16392.54</v>
      </c>
      <c r="E73" s="23">
        <v>55000</v>
      </c>
      <c r="F73" s="23">
        <v>11385.1</v>
      </c>
      <c r="G73" s="8"/>
      <c r="H73" s="8"/>
    </row>
    <row r="74" spans="1:8" s="35" customFormat="1" ht="14.25" customHeight="1">
      <c r="A74" s="11">
        <v>6</v>
      </c>
      <c r="B74" s="49" t="s">
        <v>46</v>
      </c>
      <c r="C74" s="38">
        <v>300000</v>
      </c>
      <c r="D74" s="102">
        <f>66882.08+245.01</f>
        <v>67127.09</v>
      </c>
      <c r="E74" s="23">
        <v>300000</v>
      </c>
      <c r="F74" s="23">
        <f>16486.19+2785.56+1054+9278.08+105+1338+2992.24</f>
        <v>34039.07</v>
      </c>
      <c r="G74" s="8"/>
      <c r="H74" s="8"/>
    </row>
    <row r="75" spans="1:8" s="35" customFormat="1" ht="12.75">
      <c r="A75" s="11">
        <v>7</v>
      </c>
      <c r="B75" s="50" t="s">
        <v>47</v>
      </c>
      <c r="C75" s="38">
        <v>48001</v>
      </c>
      <c r="D75" s="102">
        <f>1069.19+7536.74+331.71+19961.13+0.16</f>
        <v>28898.93</v>
      </c>
      <c r="E75" s="23">
        <f>61697-13696</f>
        <v>48001</v>
      </c>
      <c r="F75" s="23">
        <f>8587.05+425.44+1984.26+17.9+90+1710.8</f>
        <v>12815.449999999999</v>
      </c>
      <c r="G75" s="8"/>
      <c r="H75" s="8"/>
    </row>
    <row r="76" spans="1:8" s="35" customFormat="1" ht="12.75">
      <c r="A76" s="51">
        <v>8</v>
      </c>
      <c r="B76" s="50" t="s">
        <v>48</v>
      </c>
      <c r="C76" s="22">
        <v>95000</v>
      </c>
      <c r="D76" s="105">
        <f>1049.84+28570+65.7</f>
        <v>29685.54</v>
      </c>
      <c r="E76" s="52">
        <f>112000-17000</f>
        <v>95000</v>
      </c>
      <c r="F76" s="52">
        <f>323.98+3742.79+1407</f>
        <v>5473.77</v>
      </c>
      <c r="G76" s="8"/>
      <c r="H76" s="8"/>
    </row>
    <row r="77" spans="1:41" s="54" customFormat="1" ht="15.75" customHeight="1">
      <c r="A77" s="41" t="s">
        <v>49</v>
      </c>
      <c r="B77" s="42"/>
      <c r="C77" s="24">
        <f>SUM(C78:C87)</f>
        <v>1171000</v>
      </c>
      <c r="D77" s="100">
        <f>SUM(D78:D87)</f>
        <v>444889.73999999993</v>
      </c>
      <c r="E77" s="7">
        <f>SUM(E78:E87)</f>
        <v>1171000</v>
      </c>
      <c r="F77" s="7">
        <f>SUM(F78:F87)</f>
        <v>170497.82</v>
      </c>
      <c r="G77" s="53"/>
      <c r="H77" s="53"/>
      <c r="AO77" s="45"/>
    </row>
    <row r="78" spans="1:8" s="56" customFormat="1" ht="12.75">
      <c r="A78" s="46">
        <v>1</v>
      </c>
      <c r="B78" s="55" t="s">
        <v>50</v>
      </c>
      <c r="C78" s="13">
        <v>102000</v>
      </c>
      <c r="D78" s="101">
        <v>42211.53</v>
      </c>
      <c r="E78" s="48">
        <f>110000-8000</f>
        <v>102000</v>
      </c>
      <c r="F78" s="48">
        <v>29482.76</v>
      </c>
      <c r="G78" s="25"/>
      <c r="H78" s="25"/>
    </row>
    <row r="79" spans="1:8" s="56" customFormat="1" ht="12.75">
      <c r="A79" s="11">
        <v>2</v>
      </c>
      <c r="B79" s="49" t="s">
        <v>51</v>
      </c>
      <c r="C79" s="38">
        <f>750000+5000-5000</f>
        <v>750000</v>
      </c>
      <c r="D79" s="102">
        <v>256557.21</v>
      </c>
      <c r="E79" s="23">
        <f>1030000+5000-285000</f>
        <v>750000</v>
      </c>
      <c r="F79" s="23">
        <v>73423.38</v>
      </c>
      <c r="G79" s="25"/>
      <c r="H79" s="25"/>
    </row>
    <row r="80" spans="1:8" s="56" customFormat="1" ht="12.75">
      <c r="A80" s="11">
        <v>3</v>
      </c>
      <c r="B80" s="49" t="s">
        <v>52</v>
      </c>
      <c r="C80" s="38">
        <v>60000</v>
      </c>
      <c r="D80" s="102">
        <v>21882.13</v>
      </c>
      <c r="E80" s="23">
        <f>80000-20000</f>
        <v>60000</v>
      </c>
      <c r="F80" s="23">
        <v>8979.49</v>
      </c>
      <c r="G80" s="25"/>
      <c r="H80" s="25"/>
    </row>
    <row r="81" spans="1:8" s="56" customFormat="1" ht="12.75">
      <c r="A81" s="11">
        <v>4</v>
      </c>
      <c r="B81" s="49" t="s">
        <v>53</v>
      </c>
      <c r="C81" s="38">
        <v>7900</v>
      </c>
      <c r="D81" s="102">
        <v>8526.73</v>
      </c>
      <c r="E81" s="23">
        <v>7900</v>
      </c>
      <c r="F81" s="23">
        <v>1801.32</v>
      </c>
      <c r="G81" s="25"/>
      <c r="H81" s="25"/>
    </row>
    <row r="82" spans="1:8" s="56" customFormat="1" ht="12.75">
      <c r="A82" s="11">
        <v>5</v>
      </c>
      <c r="B82" s="49" t="s">
        <v>54</v>
      </c>
      <c r="C82" s="38">
        <v>16800</v>
      </c>
      <c r="D82" s="102">
        <v>12342.8</v>
      </c>
      <c r="E82" s="23">
        <f>17100-300</f>
        <v>16800</v>
      </c>
      <c r="F82" s="23">
        <v>257</v>
      </c>
      <c r="G82" s="25"/>
      <c r="H82" s="25"/>
    </row>
    <row r="83" spans="1:8" s="56" customFormat="1" ht="12.75">
      <c r="A83" s="11">
        <v>6</v>
      </c>
      <c r="B83" s="49" t="s">
        <v>55</v>
      </c>
      <c r="C83" s="38">
        <v>38900</v>
      </c>
      <c r="D83" s="102">
        <v>32085.93</v>
      </c>
      <c r="E83" s="23">
        <v>38900</v>
      </c>
      <c r="F83" s="23">
        <v>15436.61</v>
      </c>
      <c r="G83" s="25"/>
      <c r="H83" s="25"/>
    </row>
    <row r="84" spans="1:8" s="56" customFormat="1" ht="12.75">
      <c r="A84" s="11">
        <v>7</v>
      </c>
      <c r="B84" s="49" t="s">
        <v>56</v>
      </c>
      <c r="C84" s="38">
        <v>60000</v>
      </c>
      <c r="D84" s="102">
        <v>15908.18</v>
      </c>
      <c r="E84" s="23">
        <v>60000</v>
      </c>
      <c r="F84" s="23">
        <v>8562.65</v>
      </c>
      <c r="G84" s="8"/>
      <c r="H84" s="8"/>
    </row>
    <row r="85" spans="1:8" s="56" customFormat="1" ht="12.75">
      <c r="A85" s="11">
        <v>8</v>
      </c>
      <c r="B85" s="49" t="s">
        <v>57</v>
      </c>
      <c r="C85" s="38">
        <f>51000+44000</f>
        <v>95000</v>
      </c>
      <c r="D85" s="102">
        <v>39524.41</v>
      </c>
      <c r="E85" s="23">
        <f>62727+32273</f>
        <v>95000</v>
      </c>
      <c r="F85" s="23">
        <v>22019.61</v>
      </c>
      <c r="G85" s="25"/>
      <c r="H85" s="25"/>
    </row>
    <row r="86" spans="1:8" s="56" customFormat="1" ht="12.75">
      <c r="A86" s="11">
        <v>9</v>
      </c>
      <c r="B86" s="50" t="s">
        <v>58</v>
      </c>
      <c r="C86" s="57">
        <v>30400</v>
      </c>
      <c r="D86" s="99">
        <v>15229.82</v>
      </c>
      <c r="E86" s="58">
        <f>44814-14414</f>
        <v>30400</v>
      </c>
      <c r="F86" s="58">
        <v>10535</v>
      </c>
      <c r="G86" s="25"/>
      <c r="H86" s="25"/>
    </row>
    <row r="87" spans="1:8" s="56" customFormat="1" ht="12.75">
      <c r="A87" s="11">
        <v>10</v>
      </c>
      <c r="B87" s="21" t="s">
        <v>59</v>
      </c>
      <c r="C87" s="57">
        <v>10000</v>
      </c>
      <c r="D87" s="99">
        <v>621</v>
      </c>
      <c r="E87" s="52">
        <v>10000</v>
      </c>
      <c r="F87" s="52">
        <v>0</v>
      </c>
      <c r="G87" s="25"/>
      <c r="H87" s="25"/>
    </row>
    <row r="88" spans="1:8" s="54" customFormat="1" ht="15.75" customHeight="1">
      <c r="A88" s="113" t="s">
        <v>60</v>
      </c>
      <c r="B88" s="114"/>
      <c r="C88" s="24">
        <f>SUM(C89:C98)</f>
        <v>587500</v>
      </c>
      <c r="D88" s="100">
        <f>SUM(D89:D98)</f>
        <v>282008.63</v>
      </c>
      <c r="E88" s="7">
        <f>SUM(E89:E98)</f>
        <v>587500</v>
      </c>
      <c r="F88" s="7">
        <f>SUM(F89:F98)</f>
        <v>89778.76000000001</v>
      </c>
      <c r="G88" s="53"/>
      <c r="H88" s="53"/>
    </row>
    <row r="89" spans="1:8" s="56" customFormat="1" ht="12.75">
      <c r="A89" s="46">
        <v>1</v>
      </c>
      <c r="B89" s="55" t="s">
        <v>61</v>
      </c>
      <c r="C89" s="13">
        <v>44500</v>
      </c>
      <c r="D89" s="101">
        <v>23221.58</v>
      </c>
      <c r="E89" s="48">
        <v>44500</v>
      </c>
      <c r="F89" s="48">
        <v>9291.5</v>
      </c>
      <c r="G89" s="25"/>
      <c r="H89" s="25"/>
    </row>
    <row r="90" spans="1:8" s="56" customFormat="1" ht="12.75">
      <c r="A90" s="11">
        <v>2</v>
      </c>
      <c r="B90" s="49" t="s">
        <v>62</v>
      </c>
      <c r="C90" s="38">
        <v>76000</v>
      </c>
      <c r="D90" s="102">
        <v>9585.2</v>
      </c>
      <c r="E90" s="23">
        <f>87000-11000</f>
        <v>76000</v>
      </c>
      <c r="F90" s="23">
        <v>7666.88</v>
      </c>
      <c r="G90" s="25"/>
      <c r="H90" s="25"/>
    </row>
    <row r="91" spans="1:8" s="56" customFormat="1" ht="12.75">
      <c r="A91" s="59">
        <v>3</v>
      </c>
      <c r="B91" s="49" t="s">
        <v>63</v>
      </c>
      <c r="C91" s="38">
        <v>107000</v>
      </c>
      <c r="D91" s="102">
        <v>34217.73</v>
      </c>
      <c r="E91" s="23">
        <v>107000</v>
      </c>
      <c r="F91" s="23">
        <v>3535.96</v>
      </c>
      <c r="G91" s="25"/>
      <c r="H91" s="25"/>
    </row>
    <row r="92" spans="1:8" s="56" customFormat="1" ht="12.75">
      <c r="A92" s="59">
        <v>4</v>
      </c>
      <c r="B92" s="49" t="s">
        <v>64</v>
      </c>
      <c r="C92" s="38">
        <v>92000</v>
      </c>
      <c r="D92" s="102">
        <v>45278.84</v>
      </c>
      <c r="E92" s="23">
        <v>92000</v>
      </c>
      <c r="F92" s="23">
        <v>30473.95</v>
      </c>
      <c r="G92" s="25"/>
      <c r="H92" s="25"/>
    </row>
    <row r="93" spans="1:8" s="56" customFormat="1" ht="12.75">
      <c r="A93" s="11">
        <v>5</v>
      </c>
      <c r="B93" s="49" t="s">
        <v>65</v>
      </c>
      <c r="C93" s="38">
        <v>180000</v>
      </c>
      <c r="D93" s="102">
        <v>133679.97</v>
      </c>
      <c r="E93" s="23">
        <f>185000-5000</f>
        <v>180000</v>
      </c>
      <c r="F93" s="23">
        <v>33078.51</v>
      </c>
      <c r="G93" s="25"/>
      <c r="H93" s="25"/>
    </row>
    <row r="94" spans="1:8" s="56" customFormat="1" ht="12.75">
      <c r="A94" s="59">
        <v>6</v>
      </c>
      <c r="B94" s="49" t="s">
        <v>66</v>
      </c>
      <c r="C94" s="38">
        <v>9900</v>
      </c>
      <c r="D94" s="102">
        <v>4077.9</v>
      </c>
      <c r="E94" s="23">
        <v>9900</v>
      </c>
      <c r="F94" s="23">
        <v>308.63</v>
      </c>
      <c r="G94" s="25"/>
      <c r="H94" s="25"/>
    </row>
    <row r="95" spans="1:8" s="56" customFormat="1" ht="12.75">
      <c r="A95" s="59">
        <v>7</v>
      </c>
      <c r="B95" s="49" t="s">
        <v>67</v>
      </c>
      <c r="C95" s="57">
        <f>15000+8000</f>
        <v>23000</v>
      </c>
      <c r="D95" s="99">
        <v>15329.77</v>
      </c>
      <c r="E95" s="58">
        <f>15000+8000</f>
        <v>23000</v>
      </c>
      <c r="F95" s="58">
        <v>1413.85</v>
      </c>
      <c r="G95" s="25"/>
      <c r="H95" s="25"/>
    </row>
    <row r="96" spans="1:8" s="56" customFormat="1" ht="12.75">
      <c r="A96" s="11">
        <v>8</v>
      </c>
      <c r="B96" s="49" t="s">
        <v>68</v>
      </c>
      <c r="C96" s="57">
        <v>12500</v>
      </c>
      <c r="D96" s="99">
        <v>8149</v>
      </c>
      <c r="E96" s="58">
        <v>12500</v>
      </c>
      <c r="F96" s="58">
        <v>947</v>
      </c>
      <c r="G96" s="25"/>
      <c r="H96" s="25"/>
    </row>
    <row r="97" spans="1:8" s="56" customFormat="1" ht="12.75">
      <c r="A97" s="59">
        <v>9</v>
      </c>
      <c r="B97" s="49" t="s">
        <v>69</v>
      </c>
      <c r="C97" s="38">
        <v>15900</v>
      </c>
      <c r="D97" s="102">
        <v>2343.87</v>
      </c>
      <c r="E97" s="23">
        <v>15900</v>
      </c>
      <c r="F97" s="23">
        <v>99</v>
      </c>
      <c r="G97" s="25"/>
      <c r="H97" s="25"/>
    </row>
    <row r="98" spans="1:8" s="56" customFormat="1" ht="12.75">
      <c r="A98" s="60">
        <v>10</v>
      </c>
      <c r="B98" s="61" t="s">
        <v>70</v>
      </c>
      <c r="C98" s="39">
        <v>26700</v>
      </c>
      <c r="D98" s="103">
        <v>6124.77</v>
      </c>
      <c r="E98" s="62">
        <v>26700</v>
      </c>
      <c r="F98" s="62">
        <v>2963.48</v>
      </c>
      <c r="G98" s="25"/>
      <c r="H98" s="25"/>
    </row>
    <row r="99" spans="1:8" s="54" customFormat="1" ht="15.75" customHeight="1">
      <c r="A99" s="41" t="s">
        <v>71</v>
      </c>
      <c r="B99" s="42"/>
      <c r="C99" s="24">
        <f>SUM(C100)</f>
        <v>104800</v>
      </c>
      <c r="D99" s="100">
        <f>SUM(D100)</f>
        <v>54222.54</v>
      </c>
      <c r="E99" s="7">
        <f>SUM(E100)</f>
        <v>104800</v>
      </c>
      <c r="F99" s="7">
        <f>SUM(F100)</f>
        <v>23926.26</v>
      </c>
      <c r="G99" s="53"/>
      <c r="H99" s="53"/>
    </row>
    <row r="100" spans="1:8" s="56" customFormat="1" ht="12.75">
      <c r="A100" s="63">
        <v>1</v>
      </c>
      <c r="B100" s="31" t="s">
        <v>72</v>
      </c>
      <c r="C100" s="39">
        <f>14800+90000</f>
        <v>104800</v>
      </c>
      <c r="D100" s="103">
        <v>54222.54</v>
      </c>
      <c r="E100" s="64">
        <f>14800+90000</f>
        <v>104800</v>
      </c>
      <c r="F100" s="64">
        <v>23926.26</v>
      </c>
      <c r="G100" s="25"/>
      <c r="H100" s="25"/>
    </row>
    <row r="101" spans="1:8" s="66" customFormat="1" ht="27.75" customHeight="1">
      <c r="A101" s="113" t="s">
        <v>73</v>
      </c>
      <c r="B101" s="114"/>
      <c r="C101" s="24">
        <f>SUM(C102)</f>
        <v>65200</v>
      </c>
      <c r="D101" s="100">
        <f>SUM(D102)</f>
        <v>17136.67</v>
      </c>
      <c r="E101" s="7">
        <f>SUM(E102)</f>
        <v>65200</v>
      </c>
      <c r="F101" s="7">
        <f>SUM(F102)</f>
        <v>9</v>
      </c>
      <c r="G101" s="65"/>
      <c r="H101" s="65"/>
    </row>
    <row r="102" spans="1:8" s="68" customFormat="1" ht="12.75">
      <c r="A102" s="63">
        <v>1</v>
      </c>
      <c r="B102" s="31" t="s">
        <v>74</v>
      </c>
      <c r="C102" s="39">
        <v>65200</v>
      </c>
      <c r="D102" s="103">
        <v>17136.67</v>
      </c>
      <c r="E102" s="64">
        <f>93607-28407</f>
        <v>65200</v>
      </c>
      <c r="F102" s="64">
        <v>9</v>
      </c>
      <c r="G102" s="67"/>
      <c r="H102" s="67"/>
    </row>
    <row r="103" spans="1:13" s="29" customFormat="1" ht="19.5" customHeight="1">
      <c r="A103" s="123" t="s">
        <v>75</v>
      </c>
      <c r="B103" s="124"/>
      <c r="C103" s="6">
        <f>SUM(C104:C177)</f>
        <v>8522485</v>
      </c>
      <c r="D103" s="97">
        <f>SUM(D104:D177)</f>
        <v>4120108.84</v>
      </c>
      <c r="E103" s="69">
        <f>SUM(E104:E177)</f>
        <v>8495585</v>
      </c>
      <c r="F103" s="69">
        <f>SUM(F104:F177)</f>
        <v>3730825.0799999996</v>
      </c>
      <c r="G103" s="25"/>
      <c r="H103" s="25"/>
      <c r="I103" s="28"/>
      <c r="J103" s="28"/>
      <c r="K103" s="28"/>
      <c r="L103" s="28"/>
      <c r="M103" s="28"/>
    </row>
    <row r="104" spans="1:8" s="35" customFormat="1" ht="12.75">
      <c r="A104" s="11">
        <v>1</v>
      </c>
      <c r="B104" s="70" t="s">
        <v>76</v>
      </c>
      <c r="C104" s="38">
        <v>70000</v>
      </c>
      <c r="D104" s="102">
        <f>31476+6000</f>
        <v>37476</v>
      </c>
      <c r="E104" s="23">
        <f>75000-5000</f>
        <v>70000</v>
      </c>
      <c r="F104" s="23">
        <f>234.82+29335.85+56.88</f>
        <v>29627.55</v>
      </c>
      <c r="G104" s="8"/>
      <c r="H104" s="8"/>
    </row>
    <row r="105" spans="1:8" s="35" customFormat="1" ht="12.75">
      <c r="A105" s="11">
        <v>2</v>
      </c>
      <c r="B105" s="49" t="s">
        <v>77</v>
      </c>
      <c r="C105" s="38">
        <v>31680</v>
      </c>
      <c r="D105" s="102">
        <v>11176.9</v>
      </c>
      <c r="E105" s="23">
        <v>31680</v>
      </c>
      <c r="F105" s="23">
        <v>8231.72</v>
      </c>
      <c r="G105" s="8"/>
      <c r="H105" s="8"/>
    </row>
    <row r="106" spans="1:8" s="35" customFormat="1" ht="12.75">
      <c r="A106" s="59">
        <v>3</v>
      </c>
      <c r="B106" s="49" t="s">
        <v>78</v>
      </c>
      <c r="C106" s="38">
        <v>200000</v>
      </c>
      <c r="D106" s="102">
        <v>81435.4</v>
      </c>
      <c r="E106" s="23">
        <v>200000</v>
      </c>
      <c r="F106" s="23">
        <f>569.92+73743.8+12</f>
        <v>74325.72</v>
      </c>
      <c r="G106" s="8"/>
      <c r="H106" s="8"/>
    </row>
    <row r="107" spans="1:8" s="35" customFormat="1" ht="15" customHeight="1">
      <c r="A107" s="11">
        <v>4</v>
      </c>
      <c r="B107" s="70" t="s">
        <v>79</v>
      </c>
      <c r="C107" s="13">
        <v>34000</v>
      </c>
      <c r="D107" s="101">
        <f>6624+4972.41</f>
        <v>11596.41</v>
      </c>
      <c r="E107" s="23">
        <v>34000</v>
      </c>
      <c r="F107" s="23">
        <f>402.08+9828.87</f>
        <v>10230.95</v>
      </c>
      <c r="G107" s="8"/>
      <c r="H107" s="8"/>
    </row>
    <row r="108" spans="1:8" s="35" customFormat="1" ht="12.75">
      <c r="A108" s="59">
        <v>5</v>
      </c>
      <c r="B108" s="70" t="s">
        <v>80</v>
      </c>
      <c r="C108" s="38">
        <v>130000</v>
      </c>
      <c r="D108" s="102">
        <v>79792.5</v>
      </c>
      <c r="E108" s="23">
        <v>130000</v>
      </c>
      <c r="F108" s="23">
        <f>71774.1+1073</f>
        <v>72847.1</v>
      </c>
      <c r="G108" s="8"/>
      <c r="H108" s="8"/>
    </row>
    <row r="109" spans="1:8" s="35" customFormat="1" ht="12.75">
      <c r="A109" s="11">
        <v>6</v>
      </c>
      <c r="B109" s="49" t="s">
        <v>81</v>
      </c>
      <c r="C109" s="38">
        <v>114000</v>
      </c>
      <c r="D109" s="102">
        <f>47217.45+2400</f>
        <v>49617.45</v>
      </c>
      <c r="E109" s="23">
        <f>118000-4000</f>
        <v>114000</v>
      </c>
      <c r="F109" s="23">
        <f>534.43+47405.55+554.1</f>
        <v>48494.08</v>
      </c>
      <c r="G109" s="8"/>
      <c r="H109" s="8"/>
    </row>
    <row r="110" spans="1:8" s="35" customFormat="1" ht="12.75">
      <c r="A110" s="59">
        <v>7</v>
      </c>
      <c r="B110" s="49" t="s">
        <v>82</v>
      </c>
      <c r="C110" s="38">
        <v>83000</v>
      </c>
      <c r="D110" s="102">
        <v>46143.85</v>
      </c>
      <c r="E110" s="23">
        <v>83000</v>
      </c>
      <c r="F110" s="23">
        <f>2339.96+36087+31.61</f>
        <v>38458.57</v>
      </c>
      <c r="G110" s="8"/>
      <c r="H110" s="8"/>
    </row>
    <row r="111" spans="1:8" s="35" customFormat="1" ht="12.75">
      <c r="A111" s="11">
        <v>8</v>
      </c>
      <c r="B111" s="70" t="s">
        <v>83</v>
      </c>
      <c r="C111" s="38">
        <v>220000</v>
      </c>
      <c r="D111" s="102">
        <v>90850.21</v>
      </c>
      <c r="E111" s="23">
        <v>220000</v>
      </c>
      <c r="F111" s="23">
        <f>2042.88+85434.6+110.7+81.65</f>
        <v>87669.83</v>
      </c>
      <c r="G111" s="8"/>
      <c r="H111" s="8"/>
    </row>
    <row r="112" spans="1:8" s="35" customFormat="1" ht="12.75">
      <c r="A112" s="59">
        <v>9</v>
      </c>
      <c r="B112" s="49" t="s">
        <v>84</v>
      </c>
      <c r="C112" s="38">
        <v>111735</v>
      </c>
      <c r="D112" s="102">
        <f>61998.05+74.53+575</f>
        <v>62647.58</v>
      </c>
      <c r="E112" s="23">
        <v>111299</v>
      </c>
      <c r="F112" s="23">
        <f>3750.44+48994.43+371.72</f>
        <v>53116.590000000004</v>
      </c>
      <c r="G112" s="8"/>
      <c r="H112" s="8"/>
    </row>
    <row r="113" spans="1:8" s="35" customFormat="1" ht="12.75">
      <c r="A113" s="11">
        <v>10</v>
      </c>
      <c r="B113" s="49" t="s">
        <v>85</v>
      </c>
      <c r="C113" s="38">
        <v>196000</v>
      </c>
      <c r="D113" s="102">
        <f>92358.64+434.79</f>
        <v>92793.43</v>
      </c>
      <c r="E113" s="23">
        <f>229500-33500</f>
        <v>196000</v>
      </c>
      <c r="F113" s="23">
        <v>70764</v>
      </c>
      <c r="G113" s="8"/>
      <c r="H113" s="8"/>
    </row>
    <row r="114" spans="1:8" s="35" customFormat="1" ht="12.75">
      <c r="A114" s="11">
        <v>11</v>
      </c>
      <c r="B114" s="49" t="s">
        <v>86</v>
      </c>
      <c r="C114" s="38">
        <v>120000</v>
      </c>
      <c r="D114" s="102">
        <v>62379.54</v>
      </c>
      <c r="E114" s="23">
        <v>118000</v>
      </c>
      <c r="F114" s="23">
        <v>59766.17</v>
      </c>
      <c r="G114" s="8"/>
      <c r="H114" s="8"/>
    </row>
    <row r="115" spans="1:8" s="35" customFormat="1" ht="12.75">
      <c r="A115" s="11">
        <v>12</v>
      </c>
      <c r="B115" s="49" t="s">
        <v>87</v>
      </c>
      <c r="C115" s="38">
        <v>178370</v>
      </c>
      <c r="D115" s="102">
        <f>59264+28.3+588</f>
        <v>59880.3</v>
      </c>
      <c r="E115" s="23">
        <f>178372-2</f>
        <v>178370</v>
      </c>
      <c r="F115" s="23">
        <f>130.49+58640.97+69.6</f>
        <v>58841.06</v>
      </c>
      <c r="G115" s="8"/>
      <c r="H115" s="8"/>
    </row>
    <row r="116" spans="1:8" s="35" customFormat="1" ht="12.75">
      <c r="A116" s="59">
        <v>13</v>
      </c>
      <c r="B116" s="49" t="s">
        <v>88</v>
      </c>
      <c r="C116" s="38">
        <v>213200</v>
      </c>
      <c r="D116" s="102">
        <f>95838.97+211.71</f>
        <v>96050.68000000001</v>
      </c>
      <c r="E116" s="23">
        <v>213200</v>
      </c>
      <c r="F116" s="23">
        <f>91125.35+72+147.73</f>
        <v>91345.08</v>
      </c>
      <c r="G116" s="8"/>
      <c r="H116" s="8"/>
    </row>
    <row r="117" spans="1:8" s="35" customFormat="1" ht="12.75">
      <c r="A117" s="11">
        <v>14</v>
      </c>
      <c r="B117" s="70" t="s">
        <v>89</v>
      </c>
      <c r="C117" s="38">
        <v>65500</v>
      </c>
      <c r="D117" s="102">
        <v>26949.67</v>
      </c>
      <c r="E117" s="23">
        <v>65500</v>
      </c>
      <c r="F117" s="23">
        <v>23499.09</v>
      </c>
      <c r="G117" s="8"/>
      <c r="H117" s="8"/>
    </row>
    <row r="118" spans="1:8" s="35" customFormat="1" ht="12.75">
      <c r="A118" s="59">
        <v>15</v>
      </c>
      <c r="B118" s="49" t="s">
        <v>90</v>
      </c>
      <c r="C118" s="38">
        <v>76384</v>
      </c>
      <c r="D118" s="102">
        <v>35147</v>
      </c>
      <c r="E118" s="23">
        <f>77777-1393</f>
        <v>76384</v>
      </c>
      <c r="F118" s="23">
        <v>34250.99</v>
      </c>
      <c r="G118" s="8"/>
      <c r="H118" s="8"/>
    </row>
    <row r="119" spans="1:8" s="35" customFormat="1" ht="12.75">
      <c r="A119" s="11">
        <v>16</v>
      </c>
      <c r="B119" s="70" t="s">
        <v>91</v>
      </c>
      <c r="C119" s="13">
        <v>120000</v>
      </c>
      <c r="D119" s="101">
        <v>68271</v>
      </c>
      <c r="E119" s="32">
        <v>120000</v>
      </c>
      <c r="F119" s="32">
        <f>62118.81+1.2</f>
        <v>62120.009999999995</v>
      </c>
      <c r="G119" s="8"/>
      <c r="H119" s="8"/>
    </row>
    <row r="120" spans="1:8" s="35" customFormat="1" ht="12.75">
      <c r="A120" s="59">
        <v>17</v>
      </c>
      <c r="B120" s="49" t="s">
        <v>92</v>
      </c>
      <c r="C120" s="38">
        <v>67000</v>
      </c>
      <c r="D120" s="102">
        <v>37764.8</v>
      </c>
      <c r="E120" s="23">
        <v>67000</v>
      </c>
      <c r="F120" s="23">
        <v>33054.36</v>
      </c>
      <c r="G120" s="8"/>
      <c r="H120" s="8"/>
    </row>
    <row r="121" spans="1:8" s="72" customFormat="1" ht="15.75" customHeight="1">
      <c r="A121" s="11">
        <v>18</v>
      </c>
      <c r="B121" s="49" t="s">
        <v>93</v>
      </c>
      <c r="C121" s="38">
        <v>98000</v>
      </c>
      <c r="D121" s="102">
        <v>43759.99</v>
      </c>
      <c r="E121" s="23">
        <v>98000</v>
      </c>
      <c r="F121" s="23">
        <v>42137.04</v>
      </c>
      <c r="G121" s="71"/>
      <c r="H121" s="71"/>
    </row>
    <row r="122" spans="1:8" s="35" customFormat="1" ht="12.75">
      <c r="A122" s="59">
        <v>19</v>
      </c>
      <c r="B122" s="70" t="s">
        <v>94</v>
      </c>
      <c r="C122" s="38">
        <v>60000</v>
      </c>
      <c r="D122" s="102">
        <f>23205+34.29</f>
        <v>23239.29</v>
      </c>
      <c r="E122" s="23">
        <v>60000</v>
      </c>
      <c r="F122" s="23">
        <v>22843.33</v>
      </c>
      <c r="G122" s="8"/>
      <c r="H122" s="8"/>
    </row>
    <row r="123" spans="1:8" s="35" customFormat="1" ht="12.75">
      <c r="A123" s="11">
        <v>20</v>
      </c>
      <c r="B123" s="49" t="s">
        <v>95</v>
      </c>
      <c r="C123" s="38">
        <v>78000</v>
      </c>
      <c r="D123" s="102">
        <v>46803.02</v>
      </c>
      <c r="E123" s="23">
        <v>78000</v>
      </c>
      <c r="F123" s="23">
        <v>46443.99</v>
      </c>
      <c r="G123" s="8"/>
      <c r="H123" s="8"/>
    </row>
    <row r="124" spans="1:8" s="35" customFormat="1" ht="12.75">
      <c r="A124" s="59">
        <v>21</v>
      </c>
      <c r="B124" s="49" t="s">
        <v>96</v>
      </c>
      <c r="C124" s="38">
        <v>95800</v>
      </c>
      <c r="D124" s="102">
        <f>45477.6+1500</f>
        <v>46977.6</v>
      </c>
      <c r="E124" s="23">
        <v>95800</v>
      </c>
      <c r="F124" s="23">
        <v>46115.58</v>
      </c>
      <c r="G124" s="8"/>
      <c r="H124" s="8"/>
    </row>
    <row r="125" spans="1:8" s="35" customFormat="1" ht="12.75">
      <c r="A125" s="11">
        <v>22</v>
      </c>
      <c r="B125" s="70" t="s">
        <v>21</v>
      </c>
      <c r="C125" s="38">
        <v>142000</v>
      </c>
      <c r="D125" s="102">
        <f>1626.02+58563.41</f>
        <v>60189.43</v>
      </c>
      <c r="E125" s="23">
        <v>142000</v>
      </c>
      <c r="F125" s="23">
        <f>1547.52+53893.84+221.13+83.8</f>
        <v>55746.28999999999</v>
      </c>
      <c r="G125" s="8"/>
      <c r="H125" s="8"/>
    </row>
    <row r="126" spans="1:8" s="35" customFormat="1" ht="12.75">
      <c r="A126" s="59">
        <v>23</v>
      </c>
      <c r="B126" s="49" t="s">
        <v>97</v>
      </c>
      <c r="C126" s="38">
        <v>178200</v>
      </c>
      <c r="D126" s="102">
        <v>78588.17</v>
      </c>
      <c r="E126" s="23">
        <f>173000+5200</f>
        <v>178200</v>
      </c>
      <c r="F126" s="23">
        <v>75507.57</v>
      </c>
      <c r="G126" s="8"/>
      <c r="H126" s="8"/>
    </row>
    <row r="127" spans="1:8" s="35" customFormat="1" ht="12.75">
      <c r="A127" s="11">
        <v>24</v>
      </c>
      <c r="B127" s="49" t="s">
        <v>98</v>
      </c>
      <c r="C127" s="38">
        <f>90000+250</f>
        <v>90250</v>
      </c>
      <c r="D127" s="102">
        <v>43477.2</v>
      </c>
      <c r="E127" s="23">
        <f>77000+13250</f>
        <v>90250</v>
      </c>
      <c r="F127" s="23">
        <v>36377.35</v>
      </c>
      <c r="G127" s="8"/>
      <c r="H127" s="8"/>
    </row>
    <row r="128" spans="1:8" s="35" customFormat="1" ht="12.75">
      <c r="A128" s="59">
        <v>25</v>
      </c>
      <c r="B128" s="49" t="s">
        <v>99</v>
      </c>
      <c r="C128" s="38">
        <v>109000</v>
      </c>
      <c r="D128" s="102">
        <f>35991+4200+1363.94</f>
        <v>41554.94</v>
      </c>
      <c r="E128" s="23">
        <f>111000-2000</f>
        <v>109000</v>
      </c>
      <c r="F128" s="23">
        <v>40017.5</v>
      </c>
      <c r="G128" s="8"/>
      <c r="H128" s="8"/>
    </row>
    <row r="129" spans="1:8" s="35" customFormat="1" ht="12.75">
      <c r="A129" s="11">
        <v>26</v>
      </c>
      <c r="B129" s="70" t="s">
        <v>100</v>
      </c>
      <c r="C129" s="38">
        <v>108000</v>
      </c>
      <c r="D129" s="102">
        <v>44556.62</v>
      </c>
      <c r="E129" s="23">
        <v>108000</v>
      </c>
      <c r="F129" s="23">
        <f>75.62+34415.88+69</f>
        <v>34560.5</v>
      </c>
      <c r="G129" s="8"/>
      <c r="H129" s="8"/>
    </row>
    <row r="130" spans="1:8" s="35" customFormat="1" ht="12.75">
      <c r="A130" s="59">
        <v>27</v>
      </c>
      <c r="B130" s="49" t="s">
        <v>101</v>
      </c>
      <c r="C130" s="38">
        <v>178000</v>
      </c>
      <c r="D130" s="102">
        <f>72522.86+418.18</f>
        <v>72941.04</v>
      </c>
      <c r="E130" s="23">
        <v>174000</v>
      </c>
      <c r="F130" s="23">
        <f>940.85+67344.55+102</f>
        <v>68387.40000000001</v>
      </c>
      <c r="G130" s="8"/>
      <c r="H130" s="8"/>
    </row>
    <row r="131" spans="1:8" s="35" customFormat="1" ht="12.75">
      <c r="A131" s="11">
        <v>28</v>
      </c>
      <c r="B131" s="49" t="s">
        <v>102</v>
      </c>
      <c r="C131" s="38">
        <v>170000</v>
      </c>
      <c r="D131" s="102">
        <v>96471.7</v>
      </c>
      <c r="E131" s="23">
        <v>170000</v>
      </c>
      <c r="F131" s="23">
        <f>1805.69+89744.39+4.8</f>
        <v>91554.88</v>
      </c>
      <c r="G131" s="8"/>
      <c r="H131" s="8"/>
    </row>
    <row r="132" spans="1:8" s="35" customFormat="1" ht="12.75">
      <c r="A132" s="59">
        <v>29</v>
      </c>
      <c r="B132" s="70" t="s">
        <v>103</v>
      </c>
      <c r="C132" s="38">
        <v>67480</v>
      </c>
      <c r="D132" s="102">
        <f>28481+84.35</f>
        <v>28565.35</v>
      </c>
      <c r="E132" s="23">
        <v>63545</v>
      </c>
      <c r="F132" s="23">
        <f>18779.18+1896.1</f>
        <v>20675.28</v>
      </c>
      <c r="G132" s="8"/>
      <c r="H132" s="8"/>
    </row>
    <row r="133" spans="1:8" s="35" customFormat="1" ht="12.75">
      <c r="A133" s="11">
        <v>30</v>
      </c>
      <c r="B133" s="70" t="s">
        <v>28</v>
      </c>
      <c r="C133" s="38">
        <f>130400+100</f>
        <v>130500</v>
      </c>
      <c r="D133" s="102">
        <v>60584.1</v>
      </c>
      <c r="E133" s="23">
        <v>130500</v>
      </c>
      <c r="F133" s="23">
        <f>24.01+56327.71</f>
        <v>56351.72</v>
      </c>
      <c r="G133" s="8"/>
      <c r="H133" s="8"/>
    </row>
    <row r="134" spans="1:8" s="35" customFormat="1" ht="12.75">
      <c r="A134" s="59">
        <v>31</v>
      </c>
      <c r="B134" s="70" t="s">
        <v>29</v>
      </c>
      <c r="C134" s="38">
        <v>132000</v>
      </c>
      <c r="D134" s="102">
        <v>62741</v>
      </c>
      <c r="E134" s="23">
        <v>130000</v>
      </c>
      <c r="F134" s="23">
        <v>53941.85</v>
      </c>
      <c r="G134" s="8"/>
      <c r="H134" s="8"/>
    </row>
    <row r="135" spans="1:8" s="35" customFormat="1" ht="12.75">
      <c r="A135" s="11">
        <v>32</v>
      </c>
      <c r="B135" s="70" t="s">
        <v>30</v>
      </c>
      <c r="C135" s="38">
        <f>92840+5000</f>
        <v>97840</v>
      </c>
      <c r="D135" s="102">
        <f>52856.5+0.17+402</f>
        <v>53258.67</v>
      </c>
      <c r="E135" s="23">
        <f>93000+4840</f>
        <v>97840</v>
      </c>
      <c r="F135" s="23">
        <f>127.99+50835.55+102.2</f>
        <v>51065.74</v>
      </c>
      <c r="G135" s="8"/>
      <c r="H135" s="8"/>
    </row>
    <row r="136" spans="1:8" s="35" customFormat="1" ht="12.75">
      <c r="A136" s="59">
        <v>33</v>
      </c>
      <c r="B136" s="12" t="s">
        <v>31</v>
      </c>
      <c r="C136" s="38">
        <v>135000</v>
      </c>
      <c r="D136" s="102">
        <v>59479.5</v>
      </c>
      <c r="E136" s="23">
        <v>135000</v>
      </c>
      <c r="F136" s="23">
        <v>57102.43</v>
      </c>
      <c r="G136" s="8"/>
      <c r="H136" s="8"/>
    </row>
    <row r="137" spans="1:8" s="35" customFormat="1" ht="12.75">
      <c r="A137" s="11">
        <v>34</v>
      </c>
      <c r="B137" s="70" t="s">
        <v>32</v>
      </c>
      <c r="C137" s="38">
        <v>165500</v>
      </c>
      <c r="D137" s="102">
        <f>99447.8+158.47+1642.5</f>
        <v>101248.77</v>
      </c>
      <c r="E137" s="23">
        <v>165500</v>
      </c>
      <c r="F137" s="23">
        <f>825.63+96730.91+618.72+156.6</f>
        <v>98331.86000000002</v>
      </c>
      <c r="G137" s="8"/>
      <c r="H137" s="8"/>
    </row>
    <row r="138" spans="1:8" s="35" customFormat="1" ht="12.75">
      <c r="A138" s="59">
        <v>35</v>
      </c>
      <c r="B138" s="70" t="s">
        <v>104</v>
      </c>
      <c r="C138" s="38">
        <v>260500</v>
      </c>
      <c r="D138" s="102">
        <f>126404.96+276.7</f>
        <v>126681.66</v>
      </c>
      <c r="E138" s="23">
        <v>260500</v>
      </c>
      <c r="F138" s="23">
        <f>1146.22+122448.29+768.18+1065.6</f>
        <v>125428.29</v>
      </c>
      <c r="G138" s="8"/>
      <c r="H138" s="8"/>
    </row>
    <row r="139" spans="1:8" s="35" customFormat="1" ht="12.75">
      <c r="A139" s="11">
        <v>36</v>
      </c>
      <c r="B139" s="70" t="s">
        <v>105</v>
      </c>
      <c r="C139" s="38">
        <v>150000</v>
      </c>
      <c r="D139" s="102">
        <v>95477.2</v>
      </c>
      <c r="E139" s="23">
        <v>150000</v>
      </c>
      <c r="F139" s="23">
        <f>3303.59+88643.18+240</f>
        <v>92186.76999999999</v>
      </c>
      <c r="G139" s="8"/>
      <c r="H139" s="8"/>
    </row>
    <row r="140" spans="1:8" s="35" customFormat="1" ht="12.75">
      <c r="A140" s="59">
        <v>37</v>
      </c>
      <c r="B140" s="47" t="s">
        <v>36</v>
      </c>
      <c r="C140" s="57">
        <v>56000</v>
      </c>
      <c r="D140" s="99">
        <v>23796.78</v>
      </c>
      <c r="E140" s="58">
        <v>54000</v>
      </c>
      <c r="F140" s="58">
        <v>15685.34</v>
      </c>
      <c r="G140" s="8"/>
      <c r="H140" s="8"/>
    </row>
    <row r="141" spans="1:6" s="36" customFormat="1" ht="12.75" customHeight="1">
      <c r="A141" s="11">
        <v>38</v>
      </c>
      <c r="B141" s="49" t="s">
        <v>152</v>
      </c>
      <c r="C141" s="57">
        <v>64067</v>
      </c>
      <c r="D141" s="99">
        <v>35426</v>
      </c>
      <c r="E141" s="58">
        <v>64067</v>
      </c>
      <c r="F141" s="58">
        <v>30757.02</v>
      </c>
    </row>
    <row r="142" spans="1:6" s="36" customFormat="1" ht="12.75" customHeight="1">
      <c r="A142" s="59">
        <v>39</v>
      </c>
      <c r="B142" s="49" t="s">
        <v>125</v>
      </c>
      <c r="C142" s="57">
        <v>99684</v>
      </c>
      <c r="D142" s="99">
        <v>54619.46</v>
      </c>
      <c r="E142" s="58">
        <v>99684</v>
      </c>
      <c r="F142" s="58">
        <v>52077.5</v>
      </c>
    </row>
    <row r="143" spans="1:6" s="36" customFormat="1" ht="13.5">
      <c r="A143" s="11">
        <v>40</v>
      </c>
      <c r="B143" s="49" t="s">
        <v>126</v>
      </c>
      <c r="C143" s="57">
        <v>106982</v>
      </c>
      <c r="D143" s="99">
        <f>58019.4+158.11</f>
        <v>58177.51</v>
      </c>
      <c r="E143" s="58">
        <v>106982</v>
      </c>
      <c r="F143" s="58">
        <f>51043.29+82.2</f>
        <v>51125.49</v>
      </c>
    </row>
    <row r="144" spans="1:6" s="36" customFormat="1" ht="13.5">
      <c r="A144" s="59">
        <v>41</v>
      </c>
      <c r="B144" s="49" t="s">
        <v>127</v>
      </c>
      <c r="C144" s="57">
        <v>92544</v>
      </c>
      <c r="D144" s="99">
        <v>39878.27</v>
      </c>
      <c r="E144" s="58">
        <v>92544</v>
      </c>
      <c r="F144" s="58">
        <f>43137.77+40.57</f>
        <v>43178.34</v>
      </c>
    </row>
    <row r="145" spans="1:6" s="36" customFormat="1" ht="13.5">
      <c r="A145" s="11">
        <v>42</v>
      </c>
      <c r="B145" s="49" t="s">
        <v>128</v>
      </c>
      <c r="C145" s="57">
        <v>87547</v>
      </c>
      <c r="D145" s="99">
        <v>35903.94</v>
      </c>
      <c r="E145" s="58">
        <f>86317+1030</f>
        <v>87347</v>
      </c>
      <c r="F145" s="58">
        <f>33733.01+57</f>
        <v>33790.01</v>
      </c>
    </row>
    <row r="146" spans="1:6" s="36" customFormat="1" ht="13.5">
      <c r="A146" s="59">
        <v>43</v>
      </c>
      <c r="B146" s="49" t="s">
        <v>153</v>
      </c>
      <c r="C146" s="57">
        <v>67235</v>
      </c>
      <c r="D146" s="99">
        <f>28986.71+59.24</f>
        <v>29045.95</v>
      </c>
      <c r="E146" s="58">
        <v>67235</v>
      </c>
      <c r="F146" s="58">
        <v>25254.33</v>
      </c>
    </row>
    <row r="147" spans="1:6" s="36" customFormat="1" ht="13.5">
      <c r="A147" s="11">
        <v>44</v>
      </c>
      <c r="B147" s="49" t="s">
        <v>129</v>
      </c>
      <c r="C147" s="57">
        <v>92723</v>
      </c>
      <c r="D147" s="99">
        <f>47876.5+100.41</f>
        <v>47976.91</v>
      </c>
      <c r="E147" s="58">
        <v>92723</v>
      </c>
      <c r="F147" s="58">
        <f>42535.76+41.4</f>
        <v>42577.16</v>
      </c>
    </row>
    <row r="148" spans="1:6" s="36" customFormat="1" ht="13.5">
      <c r="A148" s="59">
        <v>45</v>
      </c>
      <c r="B148" s="49" t="s">
        <v>154</v>
      </c>
      <c r="C148" s="57">
        <v>145598</v>
      </c>
      <c r="D148" s="99">
        <f>70017.39+162.05</f>
        <v>70179.44</v>
      </c>
      <c r="E148" s="58">
        <v>134748</v>
      </c>
      <c r="F148" s="58">
        <f>56587.58+34.2</f>
        <v>56621.78</v>
      </c>
    </row>
    <row r="149" spans="1:6" s="36" customFormat="1" ht="13.5">
      <c r="A149" s="11">
        <v>46</v>
      </c>
      <c r="B149" s="49" t="s">
        <v>130</v>
      </c>
      <c r="C149" s="57">
        <v>61357</v>
      </c>
      <c r="D149" s="99">
        <f>29405.75+29.54</f>
        <v>29435.29</v>
      </c>
      <c r="E149" s="58">
        <v>61357</v>
      </c>
      <c r="F149" s="58">
        <f>24938.61+0.6</f>
        <v>24939.21</v>
      </c>
    </row>
    <row r="150" spans="1:6" s="36" customFormat="1" ht="13.5">
      <c r="A150" s="59">
        <v>47</v>
      </c>
      <c r="B150" s="49" t="s">
        <v>131</v>
      </c>
      <c r="C150" s="57">
        <v>89935</v>
      </c>
      <c r="D150" s="99">
        <f>47091.5+117.05</f>
        <v>47208.55</v>
      </c>
      <c r="E150" s="58">
        <f>90735-800</f>
        <v>89935</v>
      </c>
      <c r="F150" s="58">
        <v>42660.78</v>
      </c>
    </row>
    <row r="151" spans="1:6" s="36" customFormat="1" ht="13.5">
      <c r="A151" s="11">
        <v>48</v>
      </c>
      <c r="B151" s="49" t="s">
        <v>132</v>
      </c>
      <c r="C151" s="57">
        <v>94463</v>
      </c>
      <c r="D151" s="99">
        <f>47989.2+131.41</f>
        <v>48120.61</v>
      </c>
      <c r="E151" s="58">
        <v>94463</v>
      </c>
      <c r="F151" s="58">
        <f>39990.82+37.2</f>
        <v>40028.02</v>
      </c>
    </row>
    <row r="152" spans="1:6" s="36" customFormat="1" ht="13.5">
      <c r="A152" s="59">
        <v>49</v>
      </c>
      <c r="B152" s="49" t="s">
        <v>133</v>
      </c>
      <c r="C152" s="57">
        <v>106113</v>
      </c>
      <c r="D152" s="99">
        <f>56212.54+68.08</f>
        <v>56280.62</v>
      </c>
      <c r="E152" s="58">
        <v>106113</v>
      </c>
      <c r="F152" s="58">
        <f>48390.63+96.1</f>
        <v>48486.729999999996</v>
      </c>
    </row>
    <row r="153" spans="1:6" s="36" customFormat="1" ht="13.5">
      <c r="A153" s="11">
        <v>50</v>
      </c>
      <c r="B153" s="49" t="s">
        <v>134</v>
      </c>
      <c r="C153" s="57">
        <v>83990</v>
      </c>
      <c r="D153" s="99">
        <v>45961.08</v>
      </c>
      <c r="E153" s="58">
        <v>83090</v>
      </c>
      <c r="F153" s="58">
        <v>40173.28</v>
      </c>
    </row>
    <row r="154" spans="1:6" s="36" customFormat="1" ht="13.5">
      <c r="A154" s="59">
        <v>51</v>
      </c>
      <c r="B154" s="49" t="s">
        <v>135</v>
      </c>
      <c r="C154" s="57">
        <v>78484</v>
      </c>
      <c r="D154" s="99">
        <f>38452.28+83.44</f>
        <v>38535.72</v>
      </c>
      <c r="E154" s="58">
        <f>79484-1000</f>
        <v>78484</v>
      </c>
      <c r="F154" s="58">
        <v>33716.56</v>
      </c>
    </row>
    <row r="155" spans="1:6" s="36" customFormat="1" ht="13.5">
      <c r="A155" s="11">
        <v>52</v>
      </c>
      <c r="B155" s="49" t="s">
        <v>136</v>
      </c>
      <c r="C155" s="57">
        <v>100285</v>
      </c>
      <c r="D155" s="99">
        <f>54256.37+109.21</f>
        <v>54365.58</v>
      </c>
      <c r="E155" s="58">
        <v>100285</v>
      </c>
      <c r="F155" s="58">
        <f>48304.04+83.4</f>
        <v>48387.44</v>
      </c>
    </row>
    <row r="156" spans="1:6" s="36" customFormat="1" ht="13.5">
      <c r="A156" s="59">
        <v>53</v>
      </c>
      <c r="B156" s="49" t="s">
        <v>137</v>
      </c>
      <c r="C156" s="57">
        <v>90000</v>
      </c>
      <c r="D156" s="99">
        <v>47703.7</v>
      </c>
      <c r="E156" s="58">
        <v>90000</v>
      </c>
      <c r="F156" s="58">
        <v>39325.43</v>
      </c>
    </row>
    <row r="157" spans="1:6" s="36" customFormat="1" ht="13.5">
      <c r="A157" s="11">
        <v>54</v>
      </c>
      <c r="B157" s="49" t="s">
        <v>138</v>
      </c>
      <c r="C157" s="57">
        <f>128078+8000</f>
        <v>136078</v>
      </c>
      <c r="D157" s="99">
        <f>75344.1+114.44</f>
        <v>75458.54000000001</v>
      </c>
      <c r="E157" s="58">
        <f>128078+8000</f>
        <v>136078</v>
      </c>
      <c r="F157" s="58">
        <f>65507.65+67.2</f>
        <v>65574.85</v>
      </c>
    </row>
    <row r="158" spans="1:6" s="36" customFormat="1" ht="13.5">
      <c r="A158" s="59">
        <v>55</v>
      </c>
      <c r="B158" s="49" t="s">
        <v>155</v>
      </c>
      <c r="C158" s="57">
        <f>107725+3213</f>
        <v>110938</v>
      </c>
      <c r="D158" s="99">
        <f>40687.9+120.66</f>
        <v>40808.560000000005</v>
      </c>
      <c r="E158" s="58">
        <f>105970+4968</f>
        <v>110938</v>
      </c>
      <c r="F158" s="58">
        <f>36530.43+65.4</f>
        <v>36595.83</v>
      </c>
    </row>
    <row r="159" spans="1:6" s="36" customFormat="1" ht="13.5">
      <c r="A159" s="11">
        <v>56</v>
      </c>
      <c r="B159" s="49" t="s">
        <v>139</v>
      </c>
      <c r="C159" s="57">
        <f>100150-640</f>
        <v>99510</v>
      </c>
      <c r="D159" s="99">
        <f>50513.2+134.06</f>
        <v>50647.259999999995</v>
      </c>
      <c r="E159" s="58">
        <f>100650-1140</f>
        <v>99510</v>
      </c>
      <c r="F159" s="58">
        <f>41600.42+57.6</f>
        <v>41658.02</v>
      </c>
    </row>
    <row r="160" spans="1:6" s="36" customFormat="1" ht="13.5">
      <c r="A160" s="59">
        <v>57</v>
      </c>
      <c r="B160" s="49" t="s">
        <v>156</v>
      </c>
      <c r="C160" s="57">
        <v>124815</v>
      </c>
      <c r="D160" s="99">
        <f>67237.51+135.79</f>
        <v>67373.29999999999</v>
      </c>
      <c r="E160" s="58">
        <v>124815</v>
      </c>
      <c r="F160" s="58">
        <f>58357.56+107.4</f>
        <v>58464.96</v>
      </c>
    </row>
    <row r="161" spans="1:6" s="36" customFormat="1" ht="13.5">
      <c r="A161" s="11">
        <v>58</v>
      </c>
      <c r="B161" s="49" t="s">
        <v>140</v>
      </c>
      <c r="C161" s="57">
        <v>119905</v>
      </c>
      <c r="D161" s="99">
        <f>54528.82+95.6</f>
        <v>54624.42</v>
      </c>
      <c r="E161" s="58">
        <v>119405</v>
      </c>
      <c r="F161" s="58">
        <f>50647.09+54.6</f>
        <v>50701.689999999995</v>
      </c>
    </row>
    <row r="162" spans="1:6" s="36" customFormat="1" ht="13.5">
      <c r="A162" s="59">
        <v>59</v>
      </c>
      <c r="B162" s="49" t="s">
        <v>141</v>
      </c>
      <c r="C162" s="57">
        <v>97103</v>
      </c>
      <c r="D162" s="99">
        <f>100+52967.9+68.51</f>
        <v>53136.41</v>
      </c>
      <c r="E162" s="58">
        <v>97103</v>
      </c>
      <c r="F162" s="58">
        <f>51549.38+74.4</f>
        <v>51623.78</v>
      </c>
    </row>
    <row r="163" spans="1:6" s="36" customFormat="1" ht="13.5">
      <c r="A163" s="11">
        <v>60</v>
      </c>
      <c r="B163" s="49" t="s">
        <v>157</v>
      </c>
      <c r="C163" s="57">
        <v>99371</v>
      </c>
      <c r="D163" s="99">
        <f>46862.4+69.71</f>
        <v>46932.11</v>
      </c>
      <c r="E163" s="58">
        <v>99371</v>
      </c>
      <c r="F163" s="58">
        <f>81.43+41271.36+72</f>
        <v>41424.79</v>
      </c>
    </row>
    <row r="164" spans="1:6" s="36" customFormat="1" ht="13.5">
      <c r="A164" s="59">
        <v>61</v>
      </c>
      <c r="B164" s="49" t="s">
        <v>142</v>
      </c>
      <c r="C164" s="57">
        <v>90027</v>
      </c>
      <c r="D164" s="99">
        <v>43641.64</v>
      </c>
      <c r="E164" s="58">
        <f>88427+1600</f>
        <v>90027</v>
      </c>
      <c r="F164" s="58">
        <v>41652.81</v>
      </c>
    </row>
    <row r="165" spans="1:6" s="36" customFormat="1" ht="13.5">
      <c r="A165" s="11">
        <v>62</v>
      </c>
      <c r="B165" s="49" t="s">
        <v>158</v>
      </c>
      <c r="C165" s="57">
        <v>125054</v>
      </c>
      <c r="D165" s="99">
        <f>55490.35+102.42</f>
        <v>55592.77</v>
      </c>
      <c r="E165" s="58">
        <v>125054</v>
      </c>
      <c r="F165" s="58">
        <f>47675.72+24.6</f>
        <v>47700.32</v>
      </c>
    </row>
    <row r="166" spans="1:6" s="36" customFormat="1" ht="13.5">
      <c r="A166" s="59">
        <v>63</v>
      </c>
      <c r="B166" s="49" t="s">
        <v>143</v>
      </c>
      <c r="C166" s="57">
        <v>85911</v>
      </c>
      <c r="D166" s="99">
        <v>50713.82</v>
      </c>
      <c r="E166" s="58">
        <v>85911</v>
      </c>
      <c r="F166" s="58">
        <v>41148.94</v>
      </c>
    </row>
    <row r="167" spans="1:6" s="36" customFormat="1" ht="13.5">
      <c r="A167" s="11">
        <v>64</v>
      </c>
      <c r="B167" s="49" t="s">
        <v>144</v>
      </c>
      <c r="C167" s="57">
        <v>78100</v>
      </c>
      <c r="D167" s="99">
        <f>41108.44+47.47</f>
        <v>41155.91</v>
      </c>
      <c r="E167" s="58">
        <f>78000+100</f>
        <v>78100</v>
      </c>
      <c r="F167" s="58">
        <f>38825.15+43.8</f>
        <v>38868.950000000004</v>
      </c>
    </row>
    <row r="168" spans="1:6" s="36" customFormat="1" ht="13.5">
      <c r="A168" s="59">
        <v>65</v>
      </c>
      <c r="B168" s="49" t="s">
        <v>145</v>
      </c>
      <c r="C168" s="57">
        <v>103836</v>
      </c>
      <c r="D168" s="99">
        <v>56382.5</v>
      </c>
      <c r="E168" s="58">
        <v>103836</v>
      </c>
      <c r="F168" s="58">
        <f>45333.02+19.8</f>
        <v>45352.82</v>
      </c>
    </row>
    <row r="169" spans="1:6" s="36" customFormat="1" ht="13.5">
      <c r="A169" s="11">
        <v>66</v>
      </c>
      <c r="B169" s="49" t="s">
        <v>146</v>
      </c>
      <c r="C169" s="57">
        <v>164237</v>
      </c>
      <c r="D169" s="99">
        <f>48579.21+71.82+2829.85</f>
        <v>51480.88</v>
      </c>
      <c r="E169" s="58">
        <v>164237</v>
      </c>
      <c r="F169" s="58">
        <f>42348.5+64.2</f>
        <v>42412.7</v>
      </c>
    </row>
    <row r="170" spans="1:6" s="36" customFormat="1" ht="13.5">
      <c r="A170" s="11">
        <v>67</v>
      </c>
      <c r="B170" s="49" t="s">
        <v>147</v>
      </c>
      <c r="C170" s="38">
        <v>258575</v>
      </c>
      <c r="D170" s="102">
        <f>103612.5+179.7</f>
        <v>103792.2</v>
      </c>
      <c r="E170" s="23">
        <v>258575</v>
      </c>
      <c r="F170" s="23">
        <v>92634.11</v>
      </c>
    </row>
    <row r="171" spans="1:6" s="36" customFormat="1" ht="13.5">
      <c r="A171" s="11">
        <v>68</v>
      </c>
      <c r="B171" s="49" t="s">
        <v>148</v>
      </c>
      <c r="C171" s="38">
        <v>125030</v>
      </c>
      <c r="D171" s="102">
        <f>86293.73+14.95</f>
        <v>86308.68</v>
      </c>
      <c r="E171" s="23">
        <f>125000+30</f>
        <v>125030</v>
      </c>
      <c r="F171" s="23">
        <f>78958.67+57.6</f>
        <v>79016.27</v>
      </c>
    </row>
    <row r="172" spans="1:6" s="36" customFormat="1" ht="13.5">
      <c r="A172" s="59">
        <v>69</v>
      </c>
      <c r="B172" s="49" t="s">
        <v>149</v>
      </c>
      <c r="C172" s="57">
        <v>90242</v>
      </c>
      <c r="D172" s="99">
        <f>40909.54+34.86</f>
        <v>40944.4</v>
      </c>
      <c r="E172" s="58">
        <f>91749-1507</f>
        <v>90242</v>
      </c>
      <c r="F172" s="58">
        <f>672.31+38705.75</f>
        <v>39378.06</v>
      </c>
    </row>
    <row r="173" spans="1:6" s="36" customFormat="1" ht="13.5">
      <c r="A173" s="11">
        <v>70</v>
      </c>
      <c r="B173" s="49" t="s">
        <v>150</v>
      </c>
      <c r="C173" s="57">
        <f>153982-3400</f>
        <v>150582</v>
      </c>
      <c r="D173" s="99">
        <f>75841.68+243.12</f>
        <v>76084.79999999999</v>
      </c>
      <c r="E173" s="58">
        <f>153982-3400</f>
        <v>150582</v>
      </c>
      <c r="F173" s="58">
        <f>65486.14+79.8</f>
        <v>65565.94</v>
      </c>
    </row>
    <row r="174" spans="1:6" s="36" customFormat="1" ht="13.5">
      <c r="A174" s="59">
        <v>71</v>
      </c>
      <c r="B174" s="49" t="s">
        <v>159</v>
      </c>
      <c r="C174" s="57">
        <v>100500</v>
      </c>
      <c r="D174" s="99">
        <f>52943.27+67.52</f>
        <v>53010.78999999999</v>
      </c>
      <c r="E174" s="58">
        <v>100500</v>
      </c>
      <c r="F174" s="58">
        <f>49519.66+34.2</f>
        <v>49553.86</v>
      </c>
    </row>
    <row r="175" spans="1:6" s="36" customFormat="1" ht="13.5">
      <c r="A175" s="11">
        <v>72</v>
      </c>
      <c r="B175" s="49" t="s">
        <v>160</v>
      </c>
      <c r="C175" s="57">
        <v>204394</v>
      </c>
      <c r="D175" s="99">
        <f>11.56+1713.74+91878.66+60.04</f>
        <v>93664</v>
      </c>
      <c r="E175" s="58">
        <v>204394</v>
      </c>
      <c r="F175" s="58">
        <f>832.64+112.8+85660.5</f>
        <v>86605.94</v>
      </c>
    </row>
    <row r="176" spans="1:6" s="36" customFormat="1" ht="13.5">
      <c r="A176" s="59">
        <v>73</v>
      </c>
      <c r="B176" s="49" t="s">
        <v>161</v>
      </c>
      <c r="C176" s="57">
        <v>77252</v>
      </c>
      <c r="D176" s="99">
        <f>37142.43+88.28</f>
        <v>37230.71</v>
      </c>
      <c r="E176" s="58">
        <v>77252</v>
      </c>
      <c r="F176" s="58">
        <f>75+33858.95</f>
        <v>33933.95</v>
      </c>
    </row>
    <row r="177" spans="1:6" s="36" customFormat="1" ht="13.5">
      <c r="A177" s="11">
        <v>74</v>
      </c>
      <c r="B177" s="49" t="s">
        <v>151</v>
      </c>
      <c r="C177" s="57">
        <v>87079</v>
      </c>
      <c r="D177" s="99">
        <f>41829.62+112.14</f>
        <v>41941.76</v>
      </c>
      <c r="E177" s="58">
        <v>87000</v>
      </c>
      <c r="F177" s="58">
        <f>40680.03+73.8</f>
        <v>40753.83</v>
      </c>
    </row>
    <row r="178" spans="1:8" s="45" customFormat="1" ht="17.25" customHeight="1">
      <c r="A178" s="113" t="s">
        <v>106</v>
      </c>
      <c r="B178" s="114"/>
      <c r="C178" s="24">
        <f>SUM(C179:C194)</f>
        <v>619450</v>
      </c>
      <c r="D178" s="100">
        <f>SUM(D179:D194)</f>
        <v>308862.01</v>
      </c>
      <c r="E178" s="7">
        <f>SUM(E179:E194)</f>
        <v>619350</v>
      </c>
      <c r="F178" s="7">
        <f>SUM(F179:F194)</f>
        <v>251429.38</v>
      </c>
      <c r="G178" s="43"/>
      <c r="H178" s="43"/>
    </row>
    <row r="179" spans="1:8" s="45" customFormat="1" ht="12.75">
      <c r="A179" s="46">
        <v>1</v>
      </c>
      <c r="B179" s="55" t="s">
        <v>79</v>
      </c>
      <c r="C179" s="13">
        <v>14000</v>
      </c>
      <c r="D179" s="101">
        <v>5730</v>
      </c>
      <c r="E179" s="32">
        <v>14000</v>
      </c>
      <c r="F179" s="32">
        <f>778.98+4950.79</f>
        <v>5729.77</v>
      </c>
      <c r="G179" s="43"/>
      <c r="H179" s="43"/>
    </row>
    <row r="180" spans="1:8" s="45" customFormat="1" ht="12.75">
      <c r="A180" s="11">
        <v>2</v>
      </c>
      <c r="B180" s="49" t="s">
        <v>5</v>
      </c>
      <c r="C180" s="13">
        <v>40000</v>
      </c>
      <c r="D180" s="101">
        <v>11854.97</v>
      </c>
      <c r="E180" s="32">
        <v>40000</v>
      </c>
      <c r="F180" s="32">
        <f>1516.5+163.08+7919.04</f>
        <v>9598.619999999999</v>
      </c>
      <c r="G180" s="43"/>
      <c r="H180" s="43"/>
    </row>
    <row r="181" spans="1:8" s="45" customFormat="1" ht="12.75">
      <c r="A181" s="11">
        <v>3</v>
      </c>
      <c r="B181" s="49" t="s">
        <v>80</v>
      </c>
      <c r="C181" s="13">
        <v>20000</v>
      </c>
      <c r="D181" s="101">
        <v>20960</v>
      </c>
      <c r="E181" s="32">
        <v>20000</v>
      </c>
      <c r="F181" s="32">
        <f>1741.5+282+14670+4264.93</f>
        <v>20958.43</v>
      </c>
      <c r="G181" s="43"/>
      <c r="H181" s="43"/>
    </row>
    <row r="182" spans="1:8" s="45" customFormat="1" ht="12.75">
      <c r="A182" s="11">
        <v>4</v>
      </c>
      <c r="B182" s="49" t="s">
        <v>7</v>
      </c>
      <c r="C182" s="13">
        <v>26000</v>
      </c>
      <c r="D182" s="101">
        <v>13036.4</v>
      </c>
      <c r="E182" s="32">
        <f>26030-30</f>
        <v>26000</v>
      </c>
      <c r="F182" s="32">
        <f>459.04+70.81+6320.43+2746.44+305</f>
        <v>9901.720000000001</v>
      </c>
      <c r="G182" s="43"/>
      <c r="H182" s="43"/>
    </row>
    <row r="183" spans="1:8" s="45" customFormat="1" ht="12.75">
      <c r="A183" s="11">
        <v>5</v>
      </c>
      <c r="B183" s="49" t="s">
        <v>83</v>
      </c>
      <c r="C183" s="13">
        <v>85000</v>
      </c>
      <c r="D183" s="101">
        <v>18645.64</v>
      </c>
      <c r="E183" s="32">
        <v>85000</v>
      </c>
      <c r="F183" s="32">
        <f>950.62+47.67+12272.24+1120</f>
        <v>14390.529999999999</v>
      </c>
      <c r="G183" s="43"/>
      <c r="H183" s="43"/>
    </row>
    <row r="184" spans="1:8" s="45" customFormat="1" ht="12.75">
      <c r="A184" s="11">
        <v>6</v>
      </c>
      <c r="B184" s="49" t="s">
        <v>12</v>
      </c>
      <c r="C184" s="13">
        <v>35000</v>
      </c>
      <c r="D184" s="101">
        <v>14177.77</v>
      </c>
      <c r="E184" s="32">
        <v>34900</v>
      </c>
      <c r="F184" s="32">
        <f>718.47+130.39+11180.12</f>
        <v>12028.980000000001</v>
      </c>
      <c r="G184" s="43"/>
      <c r="H184" s="43"/>
    </row>
    <row r="185" spans="1:8" s="45" customFormat="1" ht="12.75">
      <c r="A185" s="11">
        <v>7</v>
      </c>
      <c r="B185" s="49" t="s">
        <v>18</v>
      </c>
      <c r="C185" s="13">
        <v>16000</v>
      </c>
      <c r="D185" s="101">
        <v>7434.2</v>
      </c>
      <c r="E185" s="32">
        <f>16150-150</f>
        <v>16000</v>
      </c>
      <c r="F185" s="32">
        <f>558.46+95.6+4900+24.21</f>
        <v>5578.27</v>
      </c>
      <c r="G185" s="43"/>
      <c r="H185" s="43"/>
    </row>
    <row r="186" spans="1:8" s="45" customFormat="1" ht="12.75">
      <c r="A186" s="11">
        <v>8</v>
      </c>
      <c r="B186" s="49" t="s">
        <v>21</v>
      </c>
      <c r="C186" s="38">
        <v>32500</v>
      </c>
      <c r="D186" s="102">
        <f>731.72+27593.2</f>
        <v>28324.920000000002</v>
      </c>
      <c r="E186" s="23">
        <v>32500</v>
      </c>
      <c r="F186" s="23">
        <f>927.21+4670.99+5735.64+1325.26</f>
        <v>12659.1</v>
      </c>
      <c r="G186" s="43"/>
      <c r="H186" s="43"/>
    </row>
    <row r="187" spans="1:8" s="45" customFormat="1" ht="12.75">
      <c r="A187" s="11">
        <v>9</v>
      </c>
      <c r="B187" s="49" t="s">
        <v>22</v>
      </c>
      <c r="C187" s="38">
        <f>6000+1000</f>
        <v>7000</v>
      </c>
      <c r="D187" s="102">
        <v>3583</v>
      </c>
      <c r="E187" s="23">
        <v>7000</v>
      </c>
      <c r="F187" s="23">
        <v>1845</v>
      </c>
      <c r="G187" s="43"/>
      <c r="H187" s="43"/>
    </row>
    <row r="188" spans="1:8" s="45" customFormat="1" ht="12.75">
      <c r="A188" s="11">
        <v>10</v>
      </c>
      <c r="B188" s="49" t="s">
        <v>23</v>
      </c>
      <c r="C188" s="38">
        <v>40000</v>
      </c>
      <c r="D188" s="102">
        <v>19725</v>
      </c>
      <c r="E188" s="23">
        <f>39500+500</f>
        <v>40000</v>
      </c>
      <c r="F188" s="23">
        <v>6504.12</v>
      </c>
      <c r="G188" s="43"/>
      <c r="H188" s="43"/>
    </row>
    <row r="189" spans="1:8" s="45" customFormat="1" ht="12.75">
      <c r="A189" s="11">
        <v>11</v>
      </c>
      <c r="B189" s="49" t="s">
        <v>24</v>
      </c>
      <c r="C189" s="38">
        <v>9000</v>
      </c>
      <c r="D189" s="102">
        <v>6504</v>
      </c>
      <c r="E189" s="23">
        <v>9000</v>
      </c>
      <c r="F189" s="23">
        <v>3649.95</v>
      </c>
      <c r="G189" s="43"/>
      <c r="H189" s="43"/>
    </row>
    <row r="190" spans="1:8" s="45" customFormat="1" ht="12.75">
      <c r="A190" s="11">
        <v>12</v>
      </c>
      <c r="B190" s="49" t="s">
        <v>27</v>
      </c>
      <c r="C190" s="38">
        <v>80000</v>
      </c>
      <c r="D190" s="102">
        <v>51756</v>
      </c>
      <c r="E190" s="23">
        <v>80000</v>
      </c>
      <c r="F190" s="23">
        <f>4562.11+605.25+27834.14+949.27+17805.23</f>
        <v>51756</v>
      </c>
      <c r="G190" s="43"/>
      <c r="H190" s="43"/>
    </row>
    <row r="191" spans="1:8" s="35" customFormat="1" ht="12.75">
      <c r="A191" s="11">
        <v>13</v>
      </c>
      <c r="B191" s="49" t="s">
        <v>28</v>
      </c>
      <c r="C191" s="38">
        <f>40000+2100</f>
        <v>42100</v>
      </c>
      <c r="D191" s="102">
        <v>13212</v>
      </c>
      <c r="E191" s="23">
        <v>42100</v>
      </c>
      <c r="F191" s="23">
        <f>269.31+88.83+3193.09+958</f>
        <v>4509.23</v>
      </c>
      <c r="G191" s="8"/>
      <c r="H191" s="8"/>
    </row>
    <row r="192" spans="1:8" s="35" customFormat="1" ht="12.75">
      <c r="A192" s="11">
        <v>14</v>
      </c>
      <c r="B192" s="49" t="s">
        <v>29</v>
      </c>
      <c r="C192" s="57">
        <v>18000</v>
      </c>
      <c r="D192" s="99">
        <v>6897</v>
      </c>
      <c r="E192" s="58">
        <v>18000</v>
      </c>
      <c r="F192" s="58">
        <f>679.48+80.86+5172.14+517.84</f>
        <v>6450.320000000001</v>
      </c>
      <c r="G192" s="8"/>
      <c r="H192" s="8"/>
    </row>
    <row r="193" spans="1:8" s="35" customFormat="1" ht="12.75">
      <c r="A193" s="11">
        <v>15</v>
      </c>
      <c r="B193" s="49" t="s">
        <v>104</v>
      </c>
      <c r="C193" s="57">
        <f>34750+50100</f>
        <v>84850</v>
      </c>
      <c r="D193" s="99">
        <f>38323.5+13.11</f>
        <v>38336.61</v>
      </c>
      <c r="E193" s="58">
        <f>34750+50100</f>
        <v>84850</v>
      </c>
      <c r="F193" s="58">
        <f>1700.69+274.29+23994+4070.95+8218.06+76</f>
        <v>38333.99</v>
      </c>
      <c r="G193" s="8"/>
      <c r="H193" s="8"/>
    </row>
    <row r="194" spans="1:8" s="35" customFormat="1" ht="12.75">
      <c r="A194" s="51">
        <v>16</v>
      </c>
      <c r="B194" s="21" t="s">
        <v>105</v>
      </c>
      <c r="C194" s="38">
        <v>70000</v>
      </c>
      <c r="D194" s="102">
        <v>48684.5</v>
      </c>
      <c r="E194" s="23">
        <v>70000</v>
      </c>
      <c r="F194" s="23">
        <f>8998.35+38537</f>
        <v>47535.35</v>
      </c>
      <c r="G194" s="8"/>
      <c r="H194" s="8"/>
    </row>
    <row r="195" spans="1:8" s="35" customFormat="1" ht="24" customHeight="1">
      <c r="A195" s="113" t="s">
        <v>107</v>
      </c>
      <c r="B195" s="114"/>
      <c r="C195" s="24">
        <f>SUM(C196:C197)</f>
        <v>82450</v>
      </c>
      <c r="D195" s="100">
        <f>SUM(D196:D197)</f>
        <v>52380.06</v>
      </c>
      <c r="E195" s="7">
        <f>SUM(E196:E197)</f>
        <v>82450</v>
      </c>
      <c r="F195" s="7">
        <f>SUM(F196:F197)</f>
        <v>37566.69</v>
      </c>
      <c r="G195" s="8"/>
      <c r="H195" s="8"/>
    </row>
    <row r="196" spans="1:8" s="35" customFormat="1" ht="22.5">
      <c r="A196" s="46">
        <v>1</v>
      </c>
      <c r="B196" s="73" t="s">
        <v>108</v>
      </c>
      <c r="C196" s="37">
        <v>46200</v>
      </c>
      <c r="D196" s="104">
        <v>35136.57</v>
      </c>
      <c r="E196" s="48">
        <v>46200</v>
      </c>
      <c r="F196" s="48">
        <v>20808.61</v>
      </c>
      <c r="G196" s="8"/>
      <c r="H196" s="8"/>
    </row>
    <row r="197" spans="1:8" s="45" customFormat="1" ht="22.5">
      <c r="A197" s="51">
        <v>2</v>
      </c>
      <c r="B197" s="74" t="s">
        <v>109</v>
      </c>
      <c r="C197" s="22">
        <v>36250</v>
      </c>
      <c r="D197" s="105">
        <v>17243.49</v>
      </c>
      <c r="E197" s="52">
        <v>36250</v>
      </c>
      <c r="F197" s="52">
        <v>16758.08</v>
      </c>
      <c r="G197" s="43"/>
      <c r="H197" s="43"/>
    </row>
    <row r="198" spans="1:8" s="35" customFormat="1" ht="27" customHeight="1">
      <c r="A198" s="113" t="s">
        <v>110</v>
      </c>
      <c r="B198" s="114"/>
      <c r="C198" s="24">
        <f>SUM(C199:C201)</f>
        <v>1050</v>
      </c>
      <c r="D198" s="100">
        <f>SUM(D199:D201)</f>
        <v>0</v>
      </c>
      <c r="E198" s="7">
        <f>SUM(E199:E201)</f>
        <v>1050</v>
      </c>
      <c r="F198" s="7">
        <f>SUM(F199:F201)</f>
        <v>0</v>
      </c>
      <c r="G198" s="8"/>
      <c r="H198" s="8"/>
    </row>
    <row r="199" spans="1:8" s="35" customFormat="1" ht="12.75">
      <c r="A199" s="46">
        <v>1</v>
      </c>
      <c r="B199" s="55" t="s">
        <v>111</v>
      </c>
      <c r="C199" s="13">
        <f>210+260</f>
        <v>470</v>
      </c>
      <c r="D199" s="101">
        <v>0</v>
      </c>
      <c r="E199" s="32">
        <f>210+260</f>
        <v>470</v>
      </c>
      <c r="F199" s="32">
        <v>0</v>
      </c>
      <c r="G199" s="8"/>
      <c r="H199" s="8"/>
    </row>
    <row r="200" spans="1:8" s="45" customFormat="1" ht="12.75">
      <c r="A200" s="11">
        <v>2</v>
      </c>
      <c r="B200" s="49" t="s">
        <v>112</v>
      </c>
      <c r="C200" s="38">
        <v>200</v>
      </c>
      <c r="D200" s="102">
        <v>0</v>
      </c>
      <c r="E200" s="23">
        <f>400-200</f>
        <v>200</v>
      </c>
      <c r="F200" s="23">
        <v>0</v>
      </c>
      <c r="G200" s="43"/>
      <c r="H200" s="43"/>
    </row>
    <row r="201" spans="1:8" s="35" customFormat="1" ht="12.75">
      <c r="A201" s="51">
        <v>3</v>
      </c>
      <c r="B201" s="21" t="s">
        <v>113</v>
      </c>
      <c r="C201" s="22">
        <f>120+260</f>
        <v>380</v>
      </c>
      <c r="D201" s="105">
        <v>0</v>
      </c>
      <c r="E201" s="52">
        <f>120+260</f>
        <v>380</v>
      </c>
      <c r="F201" s="52">
        <v>0</v>
      </c>
      <c r="G201" s="8"/>
      <c r="H201" s="8"/>
    </row>
    <row r="202" spans="1:8" s="35" customFormat="1" ht="26.25" customHeight="1">
      <c r="A202" s="113" t="s">
        <v>114</v>
      </c>
      <c r="B202" s="114"/>
      <c r="C202" s="24">
        <f>SUM(C203)</f>
        <v>157000</v>
      </c>
      <c r="D202" s="100">
        <f>SUM(D203)</f>
        <v>129307.57</v>
      </c>
      <c r="E202" s="7">
        <f>SUM(E203)</f>
        <v>157000</v>
      </c>
      <c r="F202" s="7">
        <f>SUM(F203)</f>
        <v>80115.36</v>
      </c>
      <c r="G202" s="8"/>
      <c r="H202" s="8"/>
    </row>
    <row r="203" spans="1:8" s="35" customFormat="1" ht="12.75">
      <c r="A203" s="63">
        <v>1</v>
      </c>
      <c r="B203" s="31" t="s">
        <v>115</v>
      </c>
      <c r="C203" s="75">
        <v>157000</v>
      </c>
      <c r="D203" s="106">
        <v>129307.57</v>
      </c>
      <c r="E203" s="76">
        <f>329500-172500</f>
        <v>157000</v>
      </c>
      <c r="F203" s="76">
        <v>80115.36</v>
      </c>
      <c r="G203" s="8"/>
      <c r="H203" s="8"/>
    </row>
    <row r="204" spans="1:8" s="45" customFormat="1" ht="18" customHeight="1">
      <c r="A204" s="121" t="s">
        <v>116</v>
      </c>
      <c r="B204" s="122"/>
      <c r="C204" s="24">
        <f>SUM(C205:C206)</f>
        <v>634080</v>
      </c>
      <c r="D204" s="100">
        <f>SUM(D205:D206)</f>
        <v>302821.27</v>
      </c>
      <c r="E204" s="7">
        <f>SUM(E205:E206)</f>
        <v>634080</v>
      </c>
      <c r="F204" s="7">
        <f>SUM(F205:F206)</f>
        <v>137035.85</v>
      </c>
      <c r="G204" s="43"/>
      <c r="H204" s="43"/>
    </row>
    <row r="205" spans="1:8" s="35" customFormat="1" ht="12.75">
      <c r="A205" s="46">
        <v>1</v>
      </c>
      <c r="B205" s="49" t="s">
        <v>51</v>
      </c>
      <c r="C205" s="37">
        <v>183000</v>
      </c>
      <c r="D205" s="104">
        <v>81729.07</v>
      </c>
      <c r="E205" s="48">
        <f>545000-362000</f>
        <v>183000</v>
      </c>
      <c r="F205" s="48">
        <v>0.6</v>
      </c>
      <c r="G205" s="8"/>
      <c r="H205" s="8"/>
    </row>
    <row r="206" spans="1:8" s="45" customFormat="1" ht="14.25" customHeight="1">
      <c r="A206" s="51">
        <v>2</v>
      </c>
      <c r="B206" s="49" t="s">
        <v>62</v>
      </c>
      <c r="C206" s="22">
        <v>451080</v>
      </c>
      <c r="D206" s="105">
        <v>221092.2</v>
      </c>
      <c r="E206" s="52">
        <f>457018-5938</f>
        <v>451080</v>
      </c>
      <c r="F206" s="52">
        <v>137035.25</v>
      </c>
      <c r="G206" s="43"/>
      <c r="H206" s="43"/>
    </row>
    <row r="207" spans="1:8" s="56" customFormat="1" ht="26.25" customHeight="1">
      <c r="A207" s="117" t="s">
        <v>117</v>
      </c>
      <c r="B207" s="118"/>
      <c r="C207" s="24">
        <f>SUM(C208:C209)</f>
        <v>59030</v>
      </c>
      <c r="D207" s="100">
        <f>SUM(D208:D209)</f>
        <v>43614</v>
      </c>
      <c r="E207" s="7">
        <f>SUM(E208:E209)</f>
        <v>59030</v>
      </c>
      <c r="F207" s="7">
        <f>SUM(F208:F209)</f>
        <v>18412.65</v>
      </c>
      <c r="G207" s="25"/>
      <c r="H207" s="25"/>
    </row>
    <row r="208" spans="1:8" s="54" customFormat="1" ht="12.75">
      <c r="A208" s="46">
        <v>1</v>
      </c>
      <c r="B208" s="77" t="s">
        <v>81</v>
      </c>
      <c r="C208" s="38">
        <v>45000</v>
      </c>
      <c r="D208" s="102">
        <v>31300</v>
      </c>
      <c r="E208" s="23">
        <v>45000</v>
      </c>
      <c r="F208" s="23">
        <v>8200</v>
      </c>
      <c r="G208" s="53"/>
      <c r="H208" s="53"/>
    </row>
    <row r="209" spans="1:8" s="29" customFormat="1" ht="14.25" customHeight="1">
      <c r="A209" s="11">
        <v>2</v>
      </c>
      <c r="B209" s="78" t="s">
        <v>104</v>
      </c>
      <c r="C209" s="38">
        <v>14030</v>
      </c>
      <c r="D209" s="102">
        <v>12314</v>
      </c>
      <c r="E209" s="23">
        <v>14030</v>
      </c>
      <c r="F209" s="23">
        <f>1665.66+2535.85+6011.14</f>
        <v>10212.650000000001</v>
      </c>
      <c r="G209" s="25"/>
      <c r="H209" s="25"/>
    </row>
    <row r="210" spans="1:8" s="35" customFormat="1" ht="23.25" customHeight="1">
      <c r="A210" s="119" t="s">
        <v>118</v>
      </c>
      <c r="B210" s="120"/>
      <c r="C210" s="24">
        <f>SUM(C211)</f>
        <v>275878</v>
      </c>
      <c r="D210" s="100">
        <f>SUM(D211)</f>
        <v>156616.4</v>
      </c>
      <c r="E210" s="7">
        <f>SUM(E211)</f>
        <v>263900</v>
      </c>
      <c r="F210" s="7">
        <f>SUM(F211)</f>
        <v>56560.56</v>
      </c>
      <c r="G210" s="8"/>
      <c r="H210" s="8"/>
    </row>
    <row r="211" spans="1:8" s="35" customFormat="1" ht="12.75">
      <c r="A211" s="63">
        <v>1</v>
      </c>
      <c r="B211" s="31" t="s">
        <v>119</v>
      </c>
      <c r="C211" s="75">
        <v>275878</v>
      </c>
      <c r="D211" s="106">
        <v>156616.4</v>
      </c>
      <c r="E211" s="76">
        <v>263900</v>
      </c>
      <c r="F211" s="76">
        <v>56560.56</v>
      </c>
      <c r="G211" s="8"/>
      <c r="H211" s="8"/>
    </row>
    <row r="212" spans="1:8" s="35" customFormat="1" ht="19.5" customHeight="1">
      <c r="A212" s="119" t="s">
        <v>120</v>
      </c>
      <c r="B212" s="120"/>
      <c r="C212" s="24">
        <f>SUM(C213)</f>
        <v>250000</v>
      </c>
      <c r="D212" s="100">
        <f>SUM(D213)</f>
        <v>109484.23</v>
      </c>
      <c r="E212" s="7">
        <f>SUM(E213)</f>
        <v>250000</v>
      </c>
      <c r="F212" s="7">
        <f>SUM(F213)</f>
        <v>90595.3</v>
      </c>
      <c r="G212" s="8"/>
      <c r="H212" s="8"/>
    </row>
    <row r="213" spans="1:8" s="35" customFormat="1" ht="12.75">
      <c r="A213" s="63">
        <v>1</v>
      </c>
      <c r="B213" s="31" t="s">
        <v>115</v>
      </c>
      <c r="C213" s="75">
        <v>250000</v>
      </c>
      <c r="D213" s="106">
        <v>109484.23</v>
      </c>
      <c r="E213" s="76">
        <f>356500-106500</f>
        <v>250000</v>
      </c>
      <c r="F213" s="76">
        <v>90595.3</v>
      </c>
      <c r="G213" s="8"/>
      <c r="H213" s="8"/>
    </row>
    <row r="214" spans="1:8" s="29" customFormat="1" ht="15">
      <c r="A214" s="79"/>
      <c r="B214" s="80" t="s">
        <v>121</v>
      </c>
      <c r="C214" s="81">
        <f>SUM(C212,C210,C207,C204,C202,C198,C195,C178,C103,C101,C99,C88,C77,C68,C38,C36,C5)</f>
        <v>16612054</v>
      </c>
      <c r="D214" s="107">
        <f>SUM(D212,D210,D207,D204,D202,D198,D195,D178,D103,D101,D99,D88,D77,D68,D38,D36,D5)</f>
        <v>7562520.48</v>
      </c>
      <c r="E214" s="82">
        <f>SUM(E212,E210,E207,E204,E202,E198,E195,E178,E103,E101,E99,E88,E77,E68,E38,E36,E5)</f>
        <v>16559966</v>
      </c>
      <c r="F214" s="82">
        <f>SUM(F212,F210,F207,F204,F202,F198,F195,F178,F103,F101,F99,F88,F77,F68,F38,F36,F5)</f>
        <v>5408945.97</v>
      </c>
      <c r="G214" s="25"/>
      <c r="H214" s="25"/>
    </row>
    <row r="215" spans="1:8" s="86" customFormat="1" ht="14.25" customHeight="1">
      <c r="A215" s="68"/>
      <c r="B215" s="83"/>
      <c r="C215" s="84"/>
      <c r="D215" s="84"/>
      <c r="E215" s="84"/>
      <c r="F215" s="84"/>
      <c r="G215" s="85"/>
      <c r="H215" s="85"/>
    </row>
    <row r="216" spans="1:8" s="89" customFormat="1" ht="15" customHeight="1" hidden="1">
      <c r="A216" s="68"/>
      <c r="B216" s="83"/>
      <c r="C216" s="87">
        <v>-3339398</v>
      </c>
      <c r="D216" s="87">
        <v>-4349406</v>
      </c>
      <c r="E216" s="87">
        <v>-4349406</v>
      </c>
      <c r="F216" s="87">
        <v>-4349406</v>
      </c>
      <c r="G216" s="88"/>
      <c r="H216" s="88"/>
    </row>
    <row r="217" spans="3:8" ht="12.75" hidden="1">
      <c r="C217" s="87">
        <f>-4141302</f>
        <v>-4141302</v>
      </c>
      <c r="D217" s="87">
        <v>-4123111</v>
      </c>
      <c r="E217" s="87">
        <v>-4123111</v>
      </c>
      <c r="F217" s="87">
        <v>-4123111</v>
      </c>
      <c r="G217" s="90"/>
      <c r="H217" s="90"/>
    </row>
    <row r="218" spans="1:8" s="91" customFormat="1" ht="14.25" hidden="1">
      <c r="A218" s="68"/>
      <c r="B218" s="83"/>
      <c r="C218" s="87">
        <f>-2844300-916931-4471589-566250-59030</f>
        <v>-8858100</v>
      </c>
      <c r="D218" s="87">
        <f>-2912350-952627-4487173-568930-59030</f>
        <v>-8980110</v>
      </c>
      <c r="E218" s="87">
        <f>-2912350-952627-4487173-568930-59030</f>
        <v>-8980110</v>
      </c>
      <c r="F218" s="87">
        <f>-2912350-952627-4487173-568930-59030</f>
        <v>-8980110</v>
      </c>
      <c r="G218" s="90"/>
      <c r="H218" s="90"/>
    </row>
    <row r="219" spans="1:8" s="86" customFormat="1" ht="16.5" customHeight="1" hidden="1">
      <c r="A219" s="68"/>
      <c r="B219" s="83"/>
      <c r="C219" s="87">
        <f>SUM(C214:C218)</f>
        <v>273254</v>
      </c>
      <c r="D219" s="87">
        <f>SUM(D214:D218)</f>
        <v>-9890106.52</v>
      </c>
      <c r="E219" s="87">
        <f>SUM(E214:E218)</f>
        <v>-892661</v>
      </c>
      <c r="F219" s="87">
        <f>SUM(F214:F218)</f>
        <v>-12043681.030000001</v>
      </c>
      <c r="G219" s="90"/>
      <c r="H219" s="90"/>
    </row>
    <row r="220" spans="3:8" ht="12.75">
      <c r="C220" s="87"/>
      <c r="D220" s="87"/>
      <c r="E220" s="87"/>
      <c r="F220" s="87"/>
      <c r="G220" s="90"/>
      <c r="H220" s="90"/>
    </row>
    <row r="221" spans="3:8" ht="12.75">
      <c r="C221" s="87"/>
      <c r="D221" s="87"/>
      <c r="E221" s="87"/>
      <c r="F221" s="87"/>
      <c r="G221" s="90"/>
      <c r="H221" s="90"/>
    </row>
    <row r="222" spans="3:8" ht="12.75">
      <c r="C222" s="87"/>
      <c r="D222" s="87"/>
      <c r="E222" s="87"/>
      <c r="F222" s="87"/>
      <c r="G222" s="90"/>
      <c r="H222" s="90"/>
    </row>
    <row r="223" spans="3:8" ht="12.75">
      <c r="C223" s="87"/>
      <c r="D223" s="87"/>
      <c r="E223" s="87"/>
      <c r="F223" s="87"/>
      <c r="G223" s="90"/>
      <c r="H223" s="90"/>
    </row>
    <row r="224" spans="3:8" ht="12.75">
      <c r="C224" s="87"/>
      <c r="D224" s="87"/>
      <c r="E224" s="87"/>
      <c r="F224" s="87"/>
      <c r="G224" s="90"/>
      <c r="H224" s="90"/>
    </row>
    <row r="225" spans="3:8" ht="12.75">
      <c r="C225" s="87"/>
      <c r="D225" s="87"/>
      <c r="E225" s="87"/>
      <c r="F225" s="87"/>
      <c r="G225" s="90"/>
      <c r="H225" s="90"/>
    </row>
    <row r="226" spans="3:8" ht="12.75">
      <c r="C226" s="87"/>
      <c r="D226" s="87"/>
      <c r="E226" s="87"/>
      <c r="F226" s="87"/>
      <c r="G226" s="90"/>
      <c r="H226" s="90"/>
    </row>
    <row r="227" spans="3:8" ht="12.75">
      <c r="C227" s="87"/>
      <c r="D227" s="87"/>
      <c r="E227" s="87"/>
      <c r="F227" s="87"/>
      <c r="G227" s="90"/>
      <c r="H227" s="90"/>
    </row>
    <row r="228" spans="3:8" ht="12.75">
      <c r="C228" s="87"/>
      <c r="D228" s="87"/>
      <c r="E228" s="87"/>
      <c r="F228" s="87"/>
      <c r="G228" s="90"/>
      <c r="H228" s="90"/>
    </row>
    <row r="229" spans="3:8" ht="12.75">
      <c r="C229" s="87"/>
      <c r="D229" s="87"/>
      <c r="E229" s="87"/>
      <c r="F229" s="87"/>
      <c r="G229" s="90"/>
      <c r="H229" s="90"/>
    </row>
    <row r="230" spans="3:8" ht="12.75">
      <c r="C230" s="87"/>
      <c r="D230" s="87"/>
      <c r="E230" s="87"/>
      <c r="F230" s="87"/>
      <c r="G230" s="90"/>
      <c r="H230" s="90"/>
    </row>
    <row r="231" spans="3:8" ht="12.75">
      <c r="C231" s="87"/>
      <c r="D231" s="87"/>
      <c r="E231" s="87"/>
      <c r="F231" s="87"/>
      <c r="G231" s="90"/>
      <c r="H231" s="90"/>
    </row>
    <row r="232" spans="3:8" ht="12.75">
      <c r="C232" s="87"/>
      <c r="D232" s="87"/>
      <c r="E232" s="87"/>
      <c r="F232" s="87"/>
      <c r="G232" s="90"/>
      <c r="H232" s="90"/>
    </row>
    <row r="233" spans="3:8" ht="12.75">
      <c r="C233" s="87"/>
      <c r="D233" s="87"/>
      <c r="E233" s="87"/>
      <c r="F233" s="87"/>
      <c r="G233" s="90"/>
      <c r="H233" s="90"/>
    </row>
    <row r="234" spans="3:8" ht="12.75">
      <c r="C234" s="87"/>
      <c r="D234" s="87"/>
      <c r="E234" s="87"/>
      <c r="F234" s="87"/>
      <c r="G234" s="90"/>
      <c r="H234" s="90"/>
    </row>
    <row r="235" spans="3:8" ht="12.75">
      <c r="C235" s="87"/>
      <c r="D235" s="87"/>
      <c r="E235" s="87"/>
      <c r="F235" s="87"/>
      <c r="G235" s="90"/>
      <c r="H235" s="90"/>
    </row>
    <row r="236" spans="3:8" ht="12.75">
      <c r="C236" s="87"/>
      <c r="D236" s="87"/>
      <c r="E236" s="87"/>
      <c r="F236" s="87"/>
      <c r="G236" s="90"/>
      <c r="H236" s="90"/>
    </row>
    <row r="237" spans="3:8" ht="12.75">
      <c r="C237" s="87"/>
      <c r="D237" s="87"/>
      <c r="E237" s="87"/>
      <c r="F237" s="87"/>
      <c r="G237" s="90"/>
      <c r="H237" s="90"/>
    </row>
    <row r="238" spans="3:8" ht="12.75">
      <c r="C238" s="87"/>
      <c r="D238" s="87"/>
      <c r="E238" s="87"/>
      <c r="F238" s="87"/>
      <c r="G238" s="90"/>
      <c r="H238" s="90"/>
    </row>
    <row r="239" spans="3:8" ht="12.75">
      <c r="C239" s="87"/>
      <c r="D239" s="87"/>
      <c r="E239" s="87"/>
      <c r="F239" s="87"/>
      <c r="G239" s="90"/>
      <c r="H239" s="90"/>
    </row>
    <row r="240" spans="3:8" ht="12.75">
      <c r="C240" s="87"/>
      <c r="D240" s="87"/>
      <c r="E240" s="87"/>
      <c r="F240" s="87"/>
      <c r="G240" s="90"/>
      <c r="H240" s="90"/>
    </row>
    <row r="241" spans="3:8" ht="12.75">
      <c r="C241" s="87"/>
      <c r="D241" s="87"/>
      <c r="E241" s="87"/>
      <c r="F241" s="87"/>
      <c r="G241" s="90"/>
      <c r="H241" s="90"/>
    </row>
    <row r="242" spans="3:8" ht="12.75">
      <c r="C242" s="87"/>
      <c r="D242" s="87"/>
      <c r="E242" s="87"/>
      <c r="F242" s="87"/>
      <c r="G242" s="90"/>
      <c r="H242" s="90"/>
    </row>
    <row r="243" spans="3:8" ht="12.75">
      <c r="C243" s="87"/>
      <c r="D243" s="87"/>
      <c r="E243" s="87"/>
      <c r="F243" s="87"/>
      <c r="G243" s="90"/>
      <c r="H243" s="90"/>
    </row>
    <row r="244" spans="3:8" ht="12.75">
      <c r="C244" s="87"/>
      <c r="D244" s="87"/>
      <c r="E244" s="87"/>
      <c r="F244" s="87"/>
      <c r="G244" s="90"/>
      <c r="H244" s="90"/>
    </row>
    <row r="245" spans="3:8" ht="12.75">
      <c r="C245" s="87"/>
      <c r="D245" s="87"/>
      <c r="E245" s="87"/>
      <c r="F245" s="87"/>
      <c r="G245" s="90"/>
      <c r="H245" s="90"/>
    </row>
    <row r="246" spans="3:8" ht="12.75">
      <c r="C246" s="87"/>
      <c r="D246" s="87"/>
      <c r="E246" s="87"/>
      <c r="F246" s="87"/>
      <c r="G246" s="90"/>
      <c r="H246" s="90"/>
    </row>
    <row r="247" spans="3:8" ht="12.75">
      <c r="C247" s="87"/>
      <c r="D247" s="87"/>
      <c r="E247" s="87"/>
      <c r="F247" s="87"/>
      <c r="G247" s="90"/>
      <c r="H247" s="90"/>
    </row>
    <row r="248" spans="3:8" ht="12.75">
      <c r="C248" s="87"/>
      <c r="D248" s="87"/>
      <c r="E248" s="87"/>
      <c r="F248" s="87"/>
      <c r="G248" s="90"/>
      <c r="H248" s="90"/>
    </row>
    <row r="249" spans="3:8" ht="12.75">
      <c r="C249" s="87"/>
      <c r="D249" s="87"/>
      <c r="E249" s="87"/>
      <c r="F249" s="87"/>
      <c r="G249" s="90"/>
      <c r="H249" s="90"/>
    </row>
    <row r="250" spans="3:8" ht="12.75">
      <c r="C250" s="87"/>
      <c r="D250" s="87"/>
      <c r="E250" s="87"/>
      <c r="F250" s="87"/>
      <c r="G250" s="90"/>
      <c r="H250" s="90"/>
    </row>
    <row r="251" spans="3:8" ht="12.75">
      <c r="C251" s="87"/>
      <c r="D251" s="87"/>
      <c r="E251" s="87"/>
      <c r="F251" s="87"/>
      <c r="G251" s="90"/>
      <c r="H251" s="90"/>
    </row>
    <row r="252" spans="3:8" ht="12.75">
      <c r="C252" s="87"/>
      <c r="D252" s="87"/>
      <c r="E252" s="87"/>
      <c r="F252" s="87"/>
      <c r="G252" s="90"/>
      <c r="H252" s="90"/>
    </row>
    <row r="253" spans="3:8" ht="12.75">
      <c r="C253" s="87"/>
      <c r="D253" s="87"/>
      <c r="E253" s="87"/>
      <c r="F253" s="87"/>
      <c r="G253" s="90"/>
      <c r="H253" s="90"/>
    </row>
    <row r="254" spans="3:8" ht="12.75">
      <c r="C254" s="87"/>
      <c r="D254" s="87"/>
      <c r="E254" s="87"/>
      <c r="F254" s="87"/>
      <c r="G254" s="90"/>
      <c r="H254" s="90"/>
    </row>
    <row r="255" spans="3:8" ht="12.75">
      <c r="C255" s="87"/>
      <c r="D255" s="87"/>
      <c r="E255" s="87"/>
      <c r="F255" s="87"/>
      <c r="G255" s="90"/>
      <c r="H255" s="90"/>
    </row>
    <row r="256" spans="3:8" ht="12.75">
      <c r="C256" s="87"/>
      <c r="D256" s="87"/>
      <c r="E256" s="87"/>
      <c r="F256" s="87"/>
      <c r="G256" s="90"/>
      <c r="H256" s="90"/>
    </row>
    <row r="257" spans="3:8" ht="12.75">
      <c r="C257" s="92"/>
      <c r="D257" s="92"/>
      <c r="E257" s="92"/>
      <c r="F257" s="92"/>
      <c r="G257" s="90"/>
      <c r="H257" s="90"/>
    </row>
    <row r="258" spans="3:8" ht="12.75">
      <c r="C258" s="92"/>
      <c r="D258" s="92"/>
      <c r="E258" s="92"/>
      <c r="F258" s="92"/>
      <c r="G258" s="90"/>
      <c r="H258" s="90"/>
    </row>
    <row r="259" spans="3:8" ht="12.75">
      <c r="C259" s="92"/>
      <c r="D259" s="92"/>
      <c r="E259" s="92"/>
      <c r="F259" s="92"/>
      <c r="G259" s="93"/>
      <c r="H259" s="93"/>
    </row>
    <row r="260" spans="3:8" ht="12.75">
      <c r="C260" s="92"/>
      <c r="D260" s="92"/>
      <c r="E260" s="92"/>
      <c r="F260" s="92"/>
      <c r="G260" s="93"/>
      <c r="H260" s="93"/>
    </row>
    <row r="261" spans="3:8" ht="12.75">
      <c r="C261" s="92"/>
      <c r="D261" s="92"/>
      <c r="E261" s="92"/>
      <c r="F261" s="92"/>
      <c r="G261" s="93"/>
      <c r="H261" s="93"/>
    </row>
    <row r="262" spans="3:8" ht="12.75">
      <c r="C262" s="92"/>
      <c r="D262" s="92"/>
      <c r="E262" s="92"/>
      <c r="F262" s="92"/>
      <c r="G262" s="93"/>
      <c r="H262" s="93"/>
    </row>
    <row r="263" spans="3:8" ht="12.75">
      <c r="C263" s="92"/>
      <c r="D263" s="92"/>
      <c r="E263" s="92"/>
      <c r="F263" s="92"/>
      <c r="G263" s="93"/>
      <c r="H263" s="93"/>
    </row>
    <row r="264" spans="3:8" ht="12.75">
      <c r="C264" s="92"/>
      <c r="D264" s="92"/>
      <c r="E264" s="92"/>
      <c r="F264" s="92"/>
      <c r="G264" s="93"/>
      <c r="H264" s="93"/>
    </row>
    <row r="265" spans="3:8" ht="12.75">
      <c r="C265" s="92"/>
      <c r="D265" s="92"/>
      <c r="E265" s="92"/>
      <c r="F265" s="92"/>
      <c r="G265" s="93"/>
      <c r="H265" s="93"/>
    </row>
    <row r="266" spans="3:8" ht="12.75">
      <c r="C266" s="92"/>
      <c r="D266" s="92"/>
      <c r="E266" s="92"/>
      <c r="F266" s="92"/>
      <c r="G266" s="93"/>
      <c r="H266" s="93"/>
    </row>
    <row r="267" spans="3:8" ht="12.75">
      <c r="C267" s="92"/>
      <c r="D267" s="92"/>
      <c r="E267" s="92"/>
      <c r="F267" s="92"/>
      <c r="G267" s="93"/>
      <c r="H267" s="93"/>
    </row>
    <row r="268" spans="3:8" ht="12.75">
      <c r="C268" s="92"/>
      <c r="D268" s="92"/>
      <c r="E268" s="92"/>
      <c r="F268" s="92"/>
      <c r="G268" s="93"/>
      <c r="H268" s="93"/>
    </row>
    <row r="269" spans="3:8" ht="12.75">
      <c r="C269" s="92"/>
      <c r="D269" s="92"/>
      <c r="E269" s="92"/>
      <c r="F269" s="92"/>
      <c r="G269" s="93"/>
      <c r="H269" s="93"/>
    </row>
    <row r="270" spans="3:8" ht="12.75">
      <c r="C270" s="92"/>
      <c r="D270" s="92"/>
      <c r="E270" s="92"/>
      <c r="F270" s="92"/>
      <c r="G270" s="93"/>
      <c r="H270" s="93"/>
    </row>
    <row r="271" spans="3:8" ht="12.75">
      <c r="C271" s="92"/>
      <c r="D271" s="92"/>
      <c r="E271" s="92"/>
      <c r="F271" s="92"/>
      <c r="G271" s="93"/>
      <c r="H271" s="93"/>
    </row>
    <row r="272" spans="3:8" ht="12.75">
      <c r="C272" s="92"/>
      <c r="D272" s="92"/>
      <c r="E272" s="92"/>
      <c r="F272" s="92"/>
      <c r="G272" s="93"/>
      <c r="H272" s="93"/>
    </row>
    <row r="273" spans="3:8" ht="12.75">
      <c r="C273" s="92"/>
      <c r="D273" s="92"/>
      <c r="E273" s="92"/>
      <c r="F273" s="92"/>
      <c r="G273" s="93"/>
      <c r="H273" s="93"/>
    </row>
    <row r="274" spans="3:8" ht="12.75">
      <c r="C274" s="92"/>
      <c r="D274" s="92"/>
      <c r="E274" s="92"/>
      <c r="F274" s="92"/>
      <c r="G274" s="93"/>
      <c r="H274" s="93"/>
    </row>
    <row r="275" spans="3:8" ht="12.75">
      <c r="C275" s="92"/>
      <c r="D275" s="92"/>
      <c r="E275" s="92"/>
      <c r="F275" s="92"/>
      <c r="G275" s="93"/>
      <c r="H275" s="93"/>
    </row>
    <row r="276" spans="3:8" ht="12.75">
      <c r="C276" s="92"/>
      <c r="D276" s="92"/>
      <c r="E276" s="92"/>
      <c r="F276" s="92"/>
      <c r="G276" s="93"/>
      <c r="H276" s="93"/>
    </row>
    <row r="277" spans="3:8" ht="12.75">
      <c r="C277" s="92"/>
      <c r="D277" s="92"/>
      <c r="E277" s="92"/>
      <c r="F277" s="92"/>
      <c r="G277" s="93"/>
      <c r="H277" s="93"/>
    </row>
    <row r="278" spans="3:8" ht="12.75">
      <c r="C278" s="92"/>
      <c r="D278" s="92"/>
      <c r="E278" s="92"/>
      <c r="F278" s="92"/>
      <c r="G278" s="93"/>
      <c r="H278" s="93"/>
    </row>
    <row r="279" spans="3:8" ht="12.75">
      <c r="C279" s="92"/>
      <c r="D279" s="92"/>
      <c r="E279" s="92"/>
      <c r="F279" s="92"/>
      <c r="G279" s="93"/>
      <c r="H279" s="93"/>
    </row>
    <row r="280" spans="3:8" ht="12.75">
      <c r="C280" s="92"/>
      <c r="D280" s="92"/>
      <c r="E280" s="92"/>
      <c r="F280" s="92"/>
      <c r="G280" s="93"/>
      <c r="H280" s="93"/>
    </row>
    <row r="281" spans="3:8" ht="12.75">
      <c r="C281" s="92"/>
      <c r="D281" s="92"/>
      <c r="E281" s="92"/>
      <c r="F281" s="92"/>
      <c r="G281" s="93"/>
      <c r="H281" s="93"/>
    </row>
    <row r="282" spans="3:8" ht="12.75">
      <c r="C282" s="92"/>
      <c r="D282" s="92"/>
      <c r="E282" s="92"/>
      <c r="F282" s="92"/>
      <c r="G282" s="93"/>
      <c r="H282" s="93"/>
    </row>
    <row r="283" spans="3:8" ht="12.75">
      <c r="C283" s="92"/>
      <c r="D283" s="92"/>
      <c r="E283" s="92"/>
      <c r="F283" s="92"/>
      <c r="G283" s="93"/>
      <c r="H283" s="93"/>
    </row>
    <row r="284" spans="3:8" ht="12.75">
      <c r="C284" s="92"/>
      <c r="D284" s="92"/>
      <c r="E284" s="92"/>
      <c r="F284" s="92"/>
      <c r="G284" s="93"/>
      <c r="H284" s="93"/>
    </row>
    <row r="285" spans="3:8" ht="12.75">
      <c r="C285" s="92"/>
      <c r="D285" s="92"/>
      <c r="E285" s="92"/>
      <c r="F285" s="92"/>
      <c r="G285" s="93"/>
      <c r="H285" s="93"/>
    </row>
    <row r="286" spans="3:8" ht="12.75">
      <c r="C286" s="92"/>
      <c r="D286" s="92"/>
      <c r="E286" s="92"/>
      <c r="F286" s="92"/>
      <c r="G286" s="93"/>
      <c r="H286" s="93"/>
    </row>
    <row r="287" spans="3:8" ht="12.75">
      <c r="C287" s="92"/>
      <c r="D287" s="92"/>
      <c r="E287" s="92"/>
      <c r="F287" s="92"/>
      <c r="G287" s="93"/>
      <c r="H287" s="93"/>
    </row>
    <row r="288" spans="3:8" ht="12.75">
      <c r="C288" s="92"/>
      <c r="D288" s="92"/>
      <c r="E288" s="92"/>
      <c r="F288" s="92"/>
      <c r="G288" s="93"/>
      <c r="H288" s="93"/>
    </row>
    <row r="289" spans="3:8" ht="12.75">
      <c r="C289" s="92"/>
      <c r="D289" s="92"/>
      <c r="E289" s="92"/>
      <c r="F289" s="92"/>
      <c r="G289" s="93"/>
      <c r="H289" s="93"/>
    </row>
    <row r="290" spans="3:8" ht="12.75">
      <c r="C290" s="92"/>
      <c r="D290" s="92"/>
      <c r="E290" s="92"/>
      <c r="F290" s="92"/>
      <c r="G290" s="93"/>
      <c r="H290" s="93"/>
    </row>
    <row r="291" spans="3:8" ht="12.75">
      <c r="C291" s="92"/>
      <c r="D291" s="92"/>
      <c r="E291" s="92"/>
      <c r="F291" s="92"/>
      <c r="G291" s="93"/>
      <c r="H291" s="93"/>
    </row>
    <row r="292" spans="3:8" ht="12.75">
      <c r="C292" s="92"/>
      <c r="D292" s="92"/>
      <c r="E292" s="92"/>
      <c r="F292" s="92"/>
      <c r="G292" s="93"/>
      <c r="H292" s="93"/>
    </row>
    <row r="293" spans="3:8" ht="12.75">
      <c r="C293" s="92"/>
      <c r="D293" s="92"/>
      <c r="E293" s="92"/>
      <c r="F293" s="92"/>
      <c r="G293" s="93"/>
      <c r="H293" s="93"/>
    </row>
    <row r="294" spans="3:8" ht="12.75">
      <c r="C294" s="92"/>
      <c r="D294" s="92"/>
      <c r="E294" s="92"/>
      <c r="F294" s="92"/>
      <c r="G294" s="93"/>
      <c r="H294" s="93"/>
    </row>
    <row r="295" spans="3:8" ht="12.75">
      <c r="C295" s="92"/>
      <c r="D295" s="92"/>
      <c r="E295" s="92"/>
      <c r="F295" s="92"/>
      <c r="G295" s="93"/>
      <c r="H295" s="93"/>
    </row>
    <row r="296" spans="3:8" ht="12.75">
      <c r="C296" s="92"/>
      <c r="D296" s="92"/>
      <c r="E296" s="92"/>
      <c r="F296" s="92"/>
      <c r="G296" s="93"/>
      <c r="H296" s="93"/>
    </row>
    <row r="297" spans="3:8" ht="12.75">
      <c r="C297" s="92"/>
      <c r="D297" s="92"/>
      <c r="E297" s="92"/>
      <c r="F297" s="92"/>
      <c r="G297" s="93"/>
      <c r="H297" s="93"/>
    </row>
    <row r="298" spans="3:8" ht="12.75">
      <c r="C298" s="92"/>
      <c r="D298" s="92"/>
      <c r="E298" s="92"/>
      <c r="F298" s="92"/>
      <c r="G298" s="93"/>
      <c r="H298" s="93"/>
    </row>
    <row r="299" spans="3:8" ht="12.75">
      <c r="C299" s="92"/>
      <c r="D299" s="92"/>
      <c r="E299" s="92"/>
      <c r="F299" s="92"/>
      <c r="G299" s="93"/>
      <c r="H299" s="93"/>
    </row>
    <row r="300" spans="3:8" ht="12.75">
      <c r="C300" s="92"/>
      <c r="D300" s="92"/>
      <c r="E300" s="92"/>
      <c r="F300" s="92"/>
      <c r="G300" s="93"/>
      <c r="H300" s="93"/>
    </row>
    <row r="301" spans="3:8" ht="12.75">
      <c r="C301" s="92"/>
      <c r="D301" s="92"/>
      <c r="E301" s="92"/>
      <c r="F301" s="92"/>
      <c r="G301" s="93"/>
      <c r="H301" s="93"/>
    </row>
    <row r="302" spans="3:8" ht="12.75">
      <c r="C302" s="92"/>
      <c r="D302" s="92"/>
      <c r="E302" s="92"/>
      <c r="F302" s="92"/>
      <c r="G302" s="93"/>
      <c r="H302" s="93"/>
    </row>
    <row r="303" spans="3:8" ht="12.75">
      <c r="C303" s="92"/>
      <c r="D303" s="92"/>
      <c r="E303" s="92"/>
      <c r="F303" s="92"/>
      <c r="G303" s="93"/>
      <c r="H303" s="93"/>
    </row>
    <row r="304" spans="3:8" ht="12.75">
      <c r="C304" s="92"/>
      <c r="D304" s="92"/>
      <c r="E304" s="92"/>
      <c r="F304" s="92"/>
      <c r="G304" s="93"/>
      <c r="H304" s="93"/>
    </row>
    <row r="305" spans="3:8" ht="12.75">
      <c r="C305" s="92"/>
      <c r="D305" s="92"/>
      <c r="E305" s="92"/>
      <c r="F305" s="92"/>
      <c r="G305" s="93"/>
      <c r="H305" s="93"/>
    </row>
    <row r="306" spans="3:8" ht="12.75">
      <c r="C306" s="92"/>
      <c r="D306" s="92"/>
      <c r="E306" s="92"/>
      <c r="F306" s="92"/>
      <c r="G306" s="93"/>
      <c r="H306" s="93"/>
    </row>
    <row r="307" spans="3:8" ht="12.75">
      <c r="C307" s="92"/>
      <c r="D307" s="92"/>
      <c r="E307" s="92"/>
      <c r="F307" s="92"/>
      <c r="G307" s="93"/>
      <c r="H307" s="93"/>
    </row>
    <row r="308" spans="3:8" ht="12.75">
      <c r="C308" s="92"/>
      <c r="D308" s="92"/>
      <c r="E308" s="92"/>
      <c r="F308" s="92"/>
      <c r="G308" s="93"/>
      <c r="H308" s="93"/>
    </row>
    <row r="309" spans="3:8" ht="12.75">
      <c r="C309" s="92"/>
      <c r="D309" s="92"/>
      <c r="E309" s="92"/>
      <c r="F309" s="92"/>
      <c r="G309" s="93"/>
      <c r="H309" s="93"/>
    </row>
    <row r="310" spans="3:8" ht="12.75">
      <c r="C310" s="92"/>
      <c r="D310" s="92"/>
      <c r="E310" s="92"/>
      <c r="F310" s="92"/>
      <c r="G310" s="93"/>
      <c r="H310" s="93"/>
    </row>
    <row r="311" spans="3:8" ht="12.75">
      <c r="C311" s="92"/>
      <c r="D311" s="92"/>
      <c r="E311" s="92"/>
      <c r="F311" s="92"/>
      <c r="G311" s="93"/>
      <c r="H311" s="93"/>
    </row>
    <row r="312" spans="3:8" ht="12.75">
      <c r="C312" s="92"/>
      <c r="D312" s="92"/>
      <c r="E312" s="92"/>
      <c r="F312" s="92"/>
      <c r="G312" s="93"/>
      <c r="H312" s="93"/>
    </row>
    <row r="313" spans="3:8" ht="12.75">
      <c r="C313" s="92"/>
      <c r="D313" s="92"/>
      <c r="E313" s="92"/>
      <c r="F313" s="92"/>
      <c r="G313" s="93"/>
      <c r="H313" s="93"/>
    </row>
    <row r="314" spans="3:8" ht="12.75">
      <c r="C314" s="92"/>
      <c r="D314" s="92"/>
      <c r="E314" s="92"/>
      <c r="F314" s="92"/>
      <c r="G314" s="93"/>
      <c r="H314" s="93"/>
    </row>
    <row r="315" spans="3:8" ht="12.75">
      <c r="C315" s="92"/>
      <c r="D315" s="92"/>
      <c r="E315" s="92"/>
      <c r="F315" s="92"/>
      <c r="G315" s="93"/>
      <c r="H315" s="93"/>
    </row>
    <row r="316" spans="3:8" ht="12.75">
      <c r="C316" s="92"/>
      <c r="D316" s="92"/>
      <c r="E316" s="92"/>
      <c r="F316" s="92"/>
      <c r="G316" s="93"/>
      <c r="H316" s="93"/>
    </row>
    <row r="317" spans="3:8" ht="12.75">
      <c r="C317" s="92"/>
      <c r="D317" s="92"/>
      <c r="E317" s="92"/>
      <c r="F317" s="92"/>
      <c r="G317" s="93"/>
      <c r="H317" s="93"/>
    </row>
    <row r="318" spans="3:8" ht="12.75">
      <c r="C318" s="92"/>
      <c r="D318" s="92"/>
      <c r="E318" s="92"/>
      <c r="F318" s="92"/>
      <c r="G318" s="93"/>
      <c r="H318" s="93"/>
    </row>
    <row r="319" spans="3:8" ht="12.75">
      <c r="C319" s="92"/>
      <c r="D319" s="92"/>
      <c r="E319" s="92"/>
      <c r="F319" s="92"/>
      <c r="G319" s="93"/>
      <c r="H319" s="93"/>
    </row>
    <row r="320" spans="3:8" ht="12.75">
      <c r="C320" s="92"/>
      <c r="D320" s="92"/>
      <c r="E320" s="92"/>
      <c r="F320" s="92"/>
      <c r="G320" s="93"/>
      <c r="H320" s="93"/>
    </row>
    <row r="321" spans="3:8" ht="12.75">
      <c r="C321" s="92"/>
      <c r="D321" s="92"/>
      <c r="E321" s="92"/>
      <c r="F321" s="92"/>
      <c r="G321" s="93"/>
      <c r="H321" s="93"/>
    </row>
    <row r="322" spans="3:8" ht="12.75">
      <c r="C322" s="92"/>
      <c r="D322" s="92"/>
      <c r="E322" s="92"/>
      <c r="F322" s="92"/>
      <c r="G322" s="93"/>
      <c r="H322" s="93"/>
    </row>
    <row r="323" spans="3:8" ht="12.75">
      <c r="C323" s="92"/>
      <c r="D323" s="92"/>
      <c r="E323" s="92"/>
      <c r="F323" s="92"/>
      <c r="G323" s="93"/>
      <c r="H323" s="93"/>
    </row>
    <row r="324" spans="3:8" ht="12.75">
      <c r="C324" s="92"/>
      <c r="D324" s="92"/>
      <c r="E324" s="92"/>
      <c r="F324" s="92"/>
      <c r="G324" s="93"/>
      <c r="H324" s="93"/>
    </row>
    <row r="325" spans="3:8" ht="12.75">
      <c r="C325" s="92"/>
      <c r="D325" s="92"/>
      <c r="E325" s="92"/>
      <c r="F325" s="92"/>
      <c r="G325" s="93"/>
      <c r="H325" s="93"/>
    </row>
    <row r="326" spans="3:8" ht="12.75">
      <c r="C326" s="92"/>
      <c r="D326" s="92"/>
      <c r="E326" s="92"/>
      <c r="F326" s="92"/>
      <c r="G326" s="93"/>
      <c r="H326" s="93"/>
    </row>
    <row r="327" spans="3:8" ht="12.75">
      <c r="C327" s="92"/>
      <c r="D327" s="92"/>
      <c r="E327" s="92"/>
      <c r="F327" s="92"/>
      <c r="G327" s="93"/>
      <c r="H327" s="93"/>
    </row>
    <row r="328" spans="3:8" ht="12.75">
      <c r="C328" s="92"/>
      <c r="D328" s="92"/>
      <c r="E328" s="92"/>
      <c r="F328" s="92"/>
      <c r="G328" s="93"/>
      <c r="H328" s="93"/>
    </row>
    <row r="329" spans="3:8" ht="12.75">
      <c r="C329" s="92"/>
      <c r="D329" s="92"/>
      <c r="E329" s="92"/>
      <c r="F329" s="92"/>
      <c r="G329" s="93"/>
      <c r="H329" s="93"/>
    </row>
    <row r="330" spans="3:8" ht="12.75">
      <c r="C330" s="92"/>
      <c r="D330" s="92"/>
      <c r="E330" s="92"/>
      <c r="F330" s="92"/>
      <c r="G330" s="93"/>
      <c r="H330" s="93"/>
    </row>
    <row r="331" spans="3:8" ht="12.75">
      <c r="C331" s="92"/>
      <c r="D331" s="92"/>
      <c r="E331" s="92"/>
      <c r="F331" s="92"/>
      <c r="G331" s="93"/>
      <c r="H331" s="93"/>
    </row>
    <row r="332" spans="3:8" ht="12.75">
      <c r="C332" s="92"/>
      <c r="D332" s="92"/>
      <c r="E332" s="92"/>
      <c r="F332" s="92"/>
      <c r="G332" s="93"/>
      <c r="H332" s="93"/>
    </row>
    <row r="333" spans="3:8" ht="12.75">
      <c r="C333" s="92"/>
      <c r="D333" s="92"/>
      <c r="E333" s="92"/>
      <c r="F333" s="92"/>
      <c r="G333" s="93"/>
      <c r="H333" s="93"/>
    </row>
    <row r="334" spans="3:8" ht="12.75">
      <c r="C334" s="92"/>
      <c r="D334" s="92"/>
      <c r="E334" s="92"/>
      <c r="F334" s="92"/>
      <c r="G334" s="93"/>
      <c r="H334" s="93"/>
    </row>
    <row r="335" spans="3:8" ht="12.75">
      <c r="C335" s="92"/>
      <c r="D335" s="92"/>
      <c r="E335" s="92"/>
      <c r="F335" s="92"/>
      <c r="G335" s="93"/>
      <c r="H335" s="93"/>
    </row>
    <row r="336" spans="3:8" ht="12.75">
      <c r="C336" s="92"/>
      <c r="D336" s="92"/>
      <c r="E336" s="92"/>
      <c r="F336" s="92"/>
      <c r="G336" s="93"/>
      <c r="H336" s="93"/>
    </row>
    <row r="337" spans="3:8" ht="12.75">
      <c r="C337" s="92"/>
      <c r="D337" s="92"/>
      <c r="E337" s="92"/>
      <c r="F337" s="92"/>
      <c r="G337" s="93"/>
      <c r="H337" s="93"/>
    </row>
    <row r="338" spans="3:8" ht="12.75">
      <c r="C338" s="92"/>
      <c r="D338" s="92"/>
      <c r="E338" s="92"/>
      <c r="F338" s="92"/>
      <c r="G338" s="93"/>
      <c r="H338" s="93"/>
    </row>
    <row r="339" spans="3:8" ht="12.75">
      <c r="C339" s="92"/>
      <c r="D339" s="92"/>
      <c r="E339" s="92"/>
      <c r="F339" s="92"/>
      <c r="G339" s="93"/>
      <c r="H339" s="93"/>
    </row>
    <row r="340" spans="3:8" ht="12.75">
      <c r="C340" s="92"/>
      <c r="D340" s="92"/>
      <c r="E340" s="92"/>
      <c r="F340" s="92"/>
      <c r="G340" s="93"/>
      <c r="H340" s="93"/>
    </row>
    <row r="341" spans="3:8" ht="12.75">
      <c r="C341" s="92"/>
      <c r="D341" s="92"/>
      <c r="E341" s="92"/>
      <c r="F341" s="92"/>
      <c r="G341" s="93"/>
      <c r="H341" s="93"/>
    </row>
    <row r="342" spans="3:8" ht="12.75">
      <c r="C342" s="92"/>
      <c r="D342" s="92"/>
      <c r="E342" s="92"/>
      <c r="F342" s="92"/>
      <c r="G342" s="93"/>
      <c r="H342" s="93"/>
    </row>
    <row r="343" spans="3:8" ht="12.75">
      <c r="C343" s="92"/>
      <c r="D343" s="92"/>
      <c r="E343" s="92"/>
      <c r="F343" s="92"/>
      <c r="G343" s="93"/>
      <c r="H343" s="93"/>
    </row>
    <row r="344" spans="3:8" ht="12.75">
      <c r="C344" s="92"/>
      <c r="D344" s="92"/>
      <c r="E344" s="92"/>
      <c r="F344" s="92"/>
      <c r="G344" s="93"/>
      <c r="H344" s="93"/>
    </row>
    <row r="345" spans="3:8" ht="12.75">
      <c r="C345" s="92"/>
      <c r="D345" s="92"/>
      <c r="E345" s="92"/>
      <c r="F345" s="92"/>
      <c r="G345" s="93"/>
      <c r="H345" s="93"/>
    </row>
    <row r="346" spans="3:8" ht="12.75">
      <c r="C346" s="92"/>
      <c r="D346" s="92"/>
      <c r="E346" s="92"/>
      <c r="F346" s="92"/>
      <c r="G346" s="93"/>
      <c r="H346" s="93"/>
    </row>
    <row r="347" spans="3:8" ht="12.75">
      <c r="C347" s="92"/>
      <c r="D347" s="92"/>
      <c r="E347" s="92"/>
      <c r="F347" s="92"/>
      <c r="G347" s="95"/>
      <c r="H347" s="95"/>
    </row>
    <row r="348" spans="3:8" ht="12.75">
      <c r="C348" s="94"/>
      <c r="D348" s="94"/>
      <c r="E348" s="94"/>
      <c r="F348" s="94"/>
      <c r="G348" s="95"/>
      <c r="H348" s="95"/>
    </row>
    <row r="349" spans="3:8" ht="12.75">
      <c r="C349" s="94"/>
      <c r="D349" s="94"/>
      <c r="E349" s="94"/>
      <c r="F349" s="94"/>
      <c r="G349" s="95"/>
      <c r="H349" s="95"/>
    </row>
    <row r="350" spans="3:8" ht="12.75">
      <c r="C350" s="94"/>
      <c r="D350" s="94"/>
      <c r="E350" s="94"/>
      <c r="F350" s="94"/>
      <c r="G350" s="95"/>
      <c r="H350" s="95"/>
    </row>
    <row r="351" spans="3:8" ht="12.75">
      <c r="C351" s="94"/>
      <c r="D351" s="94"/>
      <c r="E351" s="94"/>
      <c r="F351" s="94"/>
      <c r="G351" s="95"/>
      <c r="H351" s="95"/>
    </row>
    <row r="352" spans="3:8" ht="12.75">
      <c r="C352" s="94"/>
      <c r="D352" s="94"/>
      <c r="E352" s="94"/>
      <c r="F352" s="94"/>
      <c r="G352" s="95"/>
      <c r="H352" s="95"/>
    </row>
    <row r="353" spans="3:8" ht="12.75">
      <c r="C353" s="94"/>
      <c r="D353" s="94"/>
      <c r="E353" s="94"/>
      <c r="F353" s="94"/>
      <c r="G353" s="95"/>
      <c r="H353" s="95"/>
    </row>
    <row r="354" spans="3:8" ht="12.75">
      <c r="C354" s="94"/>
      <c r="D354" s="94"/>
      <c r="E354" s="94"/>
      <c r="F354" s="94"/>
      <c r="G354" s="95"/>
      <c r="H354" s="95"/>
    </row>
    <row r="355" spans="3:8" ht="12.75">
      <c r="C355" s="94"/>
      <c r="D355" s="94"/>
      <c r="E355" s="94"/>
      <c r="F355" s="94"/>
      <c r="G355" s="95"/>
      <c r="H355" s="95"/>
    </row>
    <row r="356" spans="3:8" ht="12.75">
      <c r="C356" s="94"/>
      <c r="D356" s="94"/>
      <c r="E356" s="94"/>
      <c r="F356" s="94"/>
      <c r="G356" s="95"/>
      <c r="H356" s="95"/>
    </row>
    <row r="357" spans="3:8" ht="12.75">
      <c r="C357" s="94"/>
      <c r="D357" s="94"/>
      <c r="E357" s="94"/>
      <c r="F357" s="94"/>
      <c r="G357" s="95"/>
      <c r="H357" s="95"/>
    </row>
    <row r="358" spans="3:8" ht="12.75">
      <c r="C358" s="94"/>
      <c r="D358" s="94"/>
      <c r="E358" s="94"/>
      <c r="F358" s="94"/>
      <c r="G358" s="95"/>
      <c r="H358" s="95"/>
    </row>
    <row r="359" spans="3:8" ht="12.75">
      <c r="C359" s="94"/>
      <c r="D359" s="94"/>
      <c r="E359" s="94"/>
      <c r="F359" s="94"/>
      <c r="G359" s="95"/>
      <c r="H359" s="95"/>
    </row>
    <row r="360" spans="3:8" ht="12.75">
      <c r="C360" s="94"/>
      <c r="D360" s="94"/>
      <c r="E360" s="94"/>
      <c r="F360" s="94"/>
      <c r="G360" s="95"/>
      <c r="H360" s="95"/>
    </row>
    <row r="361" spans="3:8" ht="12.75">
      <c r="C361" s="94"/>
      <c r="D361" s="94"/>
      <c r="E361" s="94"/>
      <c r="F361" s="94"/>
      <c r="G361" s="95"/>
      <c r="H361" s="95"/>
    </row>
    <row r="362" spans="3:8" ht="12.75">
      <c r="C362" s="94"/>
      <c r="D362" s="94"/>
      <c r="E362" s="94"/>
      <c r="F362" s="94"/>
      <c r="G362" s="95"/>
      <c r="H362" s="95"/>
    </row>
    <row r="363" spans="3:8" ht="12.75">
      <c r="C363" s="94"/>
      <c r="D363" s="94"/>
      <c r="E363" s="94"/>
      <c r="F363" s="94"/>
      <c r="G363" s="95"/>
      <c r="H363" s="95"/>
    </row>
    <row r="364" spans="3:8" ht="12.75">
      <c r="C364" s="94"/>
      <c r="D364" s="94"/>
      <c r="E364" s="94"/>
      <c r="F364" s="94"/>
      <c r="G364" s="95"/>
      <c r="H364" s="95"/>
    </row>
    <row r="365" spans="3:8" ht="12.75">
      <c r="C365" s="94"/>
      <c r="D365" s="94"/>
      <c r="E365" s="94"/>
      <c r="F365" s="94"/>
      <c r="G365" s="95"/>
      <c r="H365" s="95"/>
    </row>
    <row r="366" spans="3:8" ht="12.75">
      <c r="C366" s="94"/>
      <c r="D366" s="94"/>
      <c r="E366" s="94"/>
      <c r="F366" s="94"/>
      <c r="G366" s="95"/>
      <c r="H366" s="95"/>
    </row>
    <row r="367" spans="3:8" ht="12.75">
      <c r="C367" s="94"/>
      <c r="D367" s="94"/>
      <c r="E367" s="94"/>
      <c r="F367" s="94"/>
      <c r="G367" s="95"/>
      <c r="H367" s="95"/>
    </row>
    <row r="368" spans="3:8" ht="12.75">
      <c r="C368" s="94"/>
      <c r="D368" s="94"/>
      <c r="E368" s="94"/>
      <c r="F368" s="94"/>
      <c r="G368" s="95"/>
      <c r="H368" s="95"/>
    </row>
    <row r="369" spans="3:8" ht="12.75">
      <c r="C369" s="94"/>
      <c r="D369" s="94"/>
      <c r="E369" s="94"/>
      <c r="F369" s="94"/>
      <c r="G369" s="95"/>
      <c r="H369" s="95"/>
    </row>
    <row r="370" spans="3:8" ht="12.75">
      <c r="C370" s="94"/>
      <c r="D370" s="94"/>
      <c r="E370" s="94"/>
      <c r="F370" s="94"/>
      <c r="G370" s="95"/>
      <c r="H370" s="95"/>
    </row>
    <row r="371" spans="3:8" ht="12.75">
      <c r="C371" s="94"/>
      <c r="D371" s="94"/>
      <c r="E371" s="94"/>
      <c r="F371" s="94"/>
      <c r="G371" s="95"/>
      <c r="H371" s="95"/>
    </row>
    <row r="372" spans="3:8" ht="12.75">
      <c r="C372" s="94"/>
      <c r="D372" s="94"/>
      <c r="E372" s="94"/>
      <c r="F372" s="94"/>
      <c r="G372" s="95"/>
      <c r="H372" s="95"/>
    </row>
    <row r="373" spans="3:8" ht="12.75">
      <c r="C373" s="94"/>
      <c r="D373" s="94"/>
      <c r="E373" s="94"/>
      <c r="F373" s="94"/>
      <c r="G373" s="95"/>
      <c r="H373" s="95"/>
    </row>
    <row r="374" spans="3:8" ht="12.75">
      <c r="C374" s="94"/>
      <c r="D374" s="94"/>
      <c r="E374" s="94"/>
      <c r="F374" s="94"/>
      <c r="G374" s="95"/>
      <c r="H374" s="95"/>
    </row>
    <row r="375" spans="3:8" ht="12.75">
      <c r="C375" s="94"/>
      <c r="D375" s="94"/>
      <c r="E375" s="94"/>
      <c r="F375" s="94"/>
      <c r="G375" s="95"/>
      <c r="H375" s="95"/>
    </row>
    <row r="376" spans="3:8" ht="12.75">
      <c r="C376" s="94"/>
      <c r="D376" s="94"/>
      <c r="E376" s="94"/>
      <c r="F376" s="94"/>
      <c r="G376" s="95"/>
      <c r="H376" s="95"/>
    </row>
    <row r="377" spans="3:8" ht="12.75">
      <c r="C377" s="94"/>
      <c r="D377" s="94"/>
      <c r="E377" s="94"/>
      <c r="F377" s="94"/>
      <c r="G377" s="95"/>
      <c r="H377" s="95"/>
    </row>
    <row r="378" spans="3:8" ht="12.75">
      <c r="C378" s="94"/>
      <c r="D378" s="94"/>
      <c r="E378" s="94"/>
      <c r="F378" s="94"/>
      <c r="G378" s="95"/>
      <c r="H378" s="95"/>
    </row>
    <row r="379" spans="3:8" ht="12.75">
      <c r="C379" s="94"/>
      <c r="D379" s="94"/>
      <c r="E379" s="94"/>
      <c r="F379" s="94"/>
      <c r="G379" s="95"/>
      <c r="H379" s="95"/>
    </row>
    <row r="380" spans="3:8" ht="12.75">
      <c r="C380" s="94"/>
      <c r="D380" s="94"/>
      <c r="E380" s="94"/>
      <c r="F380" s="94"/>
      <c r="G380" s="95"/>
      <c r="H380" s="95"/>
    </row>
    <row r="381" spans="3:8" ht="12.75">
      <c r="C381" s="94"/>
      <c r="D381" s="94"/>
      <c r="E381" s="94"/>
      <c r="F381" s="94"/>
      <c r="G381" s="95"/>
      <c r="H381" s="95"/>
    </row>
    <row r="382" spans="3:8" ht="12.75">
      <c r="C382" s="94"/>
      <c r="D382" s="94"/>
      <c r="E382" s="94"/>
      <c r="F382" s="94"/>
      <c r="G382" s="95"/>
      <c r="H382" s="95"/>
    </row>
    <row r="383" spans="3:8" ht="12.75">
      <c r="C383" s="94"/>
      <c r="D383" s="94"/>
      <c r="E383" s="94"/>
      <c r="F383" s="94"/>
      <c r="G383" s="95"/>
      <c r="H383" s="95"/>
    </row>
    <row r="384" spans="3:8" ht="12.75">
      <c r="C384" s="94"/>
      <c r="D384" s="94"/>
      <c r="E384" s="94"/>
      <c r="F384" s="94"/>
      <c r="G384" s="95"/>
      <c r="H384" s="95"/>
    </row>
    <row r="385" spans="3:8" ht="12.75">
      <c r="C385" s="94"/>
      <c r="D385" s="94"/>
      <c r="E385" s="94"/>
      <c r="F385" s="94"/>
      <c r="G385" s="95"/>
      <c r="H385" s="95"/>
    </row>
    <row r="386" spans="3:8" ht="12.75">
      <c r="C386" s="94"/>
      <c r="D386" s="94"/>
      <c r="E386" s="94"/>
      <c r="F386" s="94"/>
      <c r="G386" s="95"/>
      <c r="H386" s="95"/>
    </row>
    <row r="387" spans="3:8" ht="12.75">
      <c r="C387" s="94"/>
      <c r="D387" s="94"/>
      <c r="E387" s="94"/>
      <c r="F387" s="94"/>
      <c r="G387" s="95"/>
      <c r="H387" s="95"/>
    </row>
    <row r="388" spans="3:8" ht="12.75">
      <c r="C388" s="94"/>
      <c r="D388" s="94"/>
      <c r="E388" s="94"/>
      <c r="F388" s="94"/>
      <c r="G388" s="95"/>
      <c r="H388" s="95"/>
    </row>
    <row r="389" spans="3:8" ht="12.75">
      <c r="C389" s="94"/>
      <c r="D389" s="94"/>
      <c r="E389" s="94"/>
      <c r="F389" s="94"/>
      <c r="G389" s="95"/>
      <c r="H389" s="95"/>
    </row>
    <row r="390" spans="3:8" ht="12.75">
      <c r="C390" s="94"/>
      <c r="D390" s="94"/>
      <c r="E390" s="94"/>
      <c r="F390" s="94"/>
      <c r="G390" s="95"/>
      <c r="H390" s="95"/>
    </row>
    <row r="391" spans="3:8" ht="12.75">
      <c r="C391" s="94"/>
      <c r="D391" s="94"/>
      <c r="E391" s="94"/>
      <c r="F391" s="94"/>
      <c r="G391" s="95"/>
      <c r="H391" s="95"/>
    </row>
    <row r="392" spans="3:8" ht="12.75">
      <c r="C392" s="94"/>
      <c r="D392" s="94"/>
      <c r="E392" s="94"/>
      <c r="F392" s="94"/>
      <c r="G392" s="95"/>
      <c r="H392" s="95"/>
    </row>
    <row r="393" spans="3:8" ht="12.75">
      <c r="C393" s="94"/>
      <c r="D393" s="94"/>
      <c r="E393" s="94"/>
      <c r="F393" s="94"/>
      <c r="G393" s="95"/>
      <c r="H393" s="95"/>
    </row>
    <row r="394" spans="3:8" ht="12.75">
      <c r="C394" s="94"/>
      <c r="D394" s="94"/>
      <c r="E394" s="94"/>
      <c r="F394" s="94"/>
      <c r="G394" s="95"/>
      <c r="H394" s="95"/>
    </row>
    <row r="395" spans="3:8" ht="12.75">
      <c r="C395" s="94"/>
      <c r="D395" s="94"/>
      <c r="E395" s="94"/>
      <c r="F395" s="94"/>
      <c r="G395" s="95"/>
      <c r="H395" s="95"/>
    </row>
    <row r="396" spans="3:8" ht="12.75">
      <c r="C396" s="94"/>
      <c r="D396" s="94"/>
      <c r="E396" s="94"/>
      <c r="F396" s="94"/>
      <c r="G396" s="95"/>
      <c r="H396" s="95"/>
    </row>
    <row r="397" spans="3:8" ht="12.75">
      <c r="C397" s="94"/>
      <c r="D397" s="94"/>
      <c r="E397" s="94"/>
      <c r="F397" s="94"/>
      <c r="G397" s="95"/>
      <c r="H397" s="95"/>
    </row>
    <row r="398" spans="3:8" ht="12.75">
      <c r="C398" s="94"/>
      <c r="D398" s="94"/>
      <c r="E398" s="94"/>
      <c r="F398" s="94"/>
      <c r="G398" s="95"/>
      <c r="H398" s="95"/>
    </row>
    <row r="399" spans="3:8" ht="12.75">
      <c r="C399" s="94"/>
      <c r="D399" s="94"/>
      <c r="E399" s="94"/>
      <c r="F399" s="94"/>
      <c r="G399" s="95"/>
      <c r="H399" s="95"/>
    </row>
    <row r="400" spans="3:8" ht="12.75">
      <c r="C400" s="94"/>
      <c r="D400" s="94"/>
      <c r="E400" s="94"/>
      <c r="F400" s="94"/>
      <c r="G400" s="95"/>
      <c r="H400" s="95"/>
    </row>
    <row r="401" spans="3:8" ht="12.75">
      <c r="C401" s="94"/>
      <c r="D401" s="94"/>
      <c r="E401" s="94"/>
      <c r="F401" s="94"/>
      <c r="G401" s="95"/>
      <c r="H401" s="95"/>
    </row>
    <row r="402" spans="3:8" ht="12.75">
      <c r="C402" s="94"/>
      <c r="D402" s="94"/>
      <c r="E402" s="94"/>
      <c r="F402" s="94"/>
      <c r="G402" s="95"/>
      <c r="H402" s="95"/>
    </row>
    <row r="403" spans="3:8" ht="12.75">
      <c r="C403" s="94"/>
      <c r="D403" s="94"/>
      <c r="E403" s="94"/>
      <c r="F403" s="94"/>
      <c r="G403" s="95"/>
      <c r="H403" s="95"/>
    </row>
    <row r="404" spans="3:8" ht="12.75">
      <c r="C404" s="94"/>
      <c r="D404" s="94"/>
      <c r="E404" s="94"/>
      <c r="F404" s="94"/>
      <c r="G404" s="95"/>
      <c r="H404" s="95"/>
    </row>
    <row r="405" spans="3:8" ht="12.75">
      <c r="C405" s="94"/>
      <c r="D405" s="94"/>
      <c r="E405" s="94"/>
      <c r="F405" s="94"/>
      <c r="G405" s="95"/>
      <c r="H405" s="95"/>
    </row>
    <row r="406" spans="3:8" ht="12.75">
      <c r="C406" s="94"/>
      <c r="D406" s="94"/>
      <c r="E406" s="94"/>
      <c r="F406" s="94"/>
      <c r="G406" s="95"/>
      <c r="H406" s="95"/>
    </row>
    <row r="407" spans="3:8" ht="12.75">
      <c r="C407" s="94"/>
      <c r="D407" s="94"/>
      <c r="E407" s="94"/>
      <c r="F407" s="94"/>
      <c r="G407" s="95"/>
      <c r="H407" s="95"/>
    </row>
    <row r="408" spans="3:8" ht="12.75">
      <c r="C408" s="94"/>
      <c r="D408" s="94"/>
      <c r="E408" s="94"/>
      <c r="F408" s="94"/>
      <c r="G408" s="95"/>
      <c r="H408" s="95"/>
    </row>
    <row r="409" spans="3:8" ht="12.75">
      <c r="C409" s="94"/>
      <c r="D409" s="94"/>
      <c r="E409" s="94"/>
      <c r="F409" s="94"/>
      <c r="G409" s="95"/>
      <c r="H409" s="95"/>
    </row>
    <row r="410" spans="3:8" ht="12.75">
      <c r="C410" s="94"/>
      <c r="D410" s="94"/>
      <c r="E410" s="94"/>
      <c r="F410" s="94"/>
      <c r="G410" s="95"/>
      <c r="H410" s="95"/>
    </row>
    <row r="411" spans="3:8" ht="12.75">
      <c r="C411" s="94"/>
      <c r="D411" s="94"/>
      <c r="E411" s="94"/>
      <c r="F411" s="94"/>
      <c r="G411" s="95"/>
      <c r="H411" s="95"/>
    </row>
    <row r="412" spans="3:8" ht="12.75">
      <c r="C412" s="94"/>
      <c r="D412" s="94"/>
      <c r="E412" s="94"/>
      <c r="F412" s="94"/>
      <c r="G412" s="95"/>
      <c r="H412" s="95"/>
    </row>
    <row r="413" spans="3:8" ht="12.75">
      <c r="C413" s="94"/>
      <c r="D413" s="94"/>
      <c r="E413" s="94"/>
      <c r="F413" s="94"/>
      <c r="G413" s="95"/>
      <c r="H413" s="95"/>
    </row>
    <row r="414" spans="3:8" ht="12.75">
      <c r="C414" s="94"/>
      <c r="D414" s="94"/>
      <c r="E414" s="94"/>
      <c r="F414" s="94"/>
      <c r="G414" s="95"/>
      <c r="H414" s="95"/>
    </row>
    <row r="415" spans="3:8" ht="12.75">
      <c r="C415" s="94"/>
      <c r="D415" s="94"/>
      <c r="E415" s="94"/>
      <c r="F415" s="94"/>
      <c r="G415" s="95"/>
      <c r="H415" s="95"/>
    </row>
    <row r="416" spans="3:8" ht="12.75">
      <c r="C416" s="94"/>
      <c r="D416" s="94"/>
      <c r="E416" s="94"/>
      <c r="F416" s="94"/>
      <c r="G416" s="95"/>
      <c r="H416" s="95"/>
    </row>
    <row r="417" spans="3:8" ht="12.75">
      <c r="C417" s="94"/>
      <c r="D417" s="94"/>
      <c r="E417" s="94"/>
      <c r="F417" s="94"/>
      <c r="G417" s="95"/>
      <c r="H417" s="95"/>
    </row>
    <row r="418" spans="3:8" ht="12.75">
      <c r="C418" s="94"/>
      <c r="D418" s="94"/>
      <c r="E418" s="94"/>
      <c r="F418" s="94"/>
      <c r="G418" s="95"/>
      <c r="H418" s="95"/>
    </row>
    <row r="419" spans="3:8" ht="12.75">
      <c r="C419" s="94"/>
      <c r="D419" s="94"/>
      <c r="E419" s="94"/>
      <c r="F419" s="94"/>
      <c r="G419" s="95"/>
      <c r="H419" s="95"/>
    </row>
    <row r="420" spans="3:8" ht="12.75">
      <c r="C420" s="94"/>
      <c r="D420" s="94"/>
      <c r="E420" s="94"/>
      <c r="F420" s="94"/>
      <c r="G420" s="95"/>
      <c r="H420" s="95"/>
    </row>
    <row r="421" spans="3:8" ht="12.75">
      <c r="C421" s="94"/>
      <c r="D421" s="94"/>
      <c r="E421" s="94"/>
      <c r="F421" s="94"/>
      <c r="G421" s="95"/>
      <c r="H421" s="95"/>
    </row>
    <row r="422" spans="3:8" ht="12.75">
      <c r="C422" s="94"/>
      <c r="D422" s="94"/>
      <c r="E422" s="94"/>
      <c r="F422" s="94"/>
      <c r="G422" s="95"/>
      <c r="H422" s="95"/>
    </row>
    <row r="423" spans="3:8" ht="12.75">
      <c r="C423" s="94"/>
      <c r="D423" s="94"/>
      <c r="E423" s="94"/>
      <c r="F423" s="94"/>
      <c r="G423" s="95"/>
      <c r="H423" s="95"/>
    </row>
    <row r="424" spans="3:8" ht="12.75">
      <c r="C424" s="94"/>
      <c r="D424" s="94"/>
      <c r="E424" s="94"/>
      <c r="F424" s="94"/>
      <c r="G424" s="95"/>
      <c r="H424" s="95"/>
    </row>
    <row r="425" spans="3:8" ht="12.75">
      <c r="C425" s="94"/>
      <c r="D425" s="94"/>
      <c r="E425" s="94"/>
      <c r="F425" s="94"/>
      <c r="G425" s="95"/>
      <c r="H425" s="95"/>
    </row>
    <row r="426" spans="3:8" ht="12.75">
      <c r="C426" s="94"/>
      <c r="D426" s="94"/>
      <c r="E426" s="94"/>
      <c r="F426" s="94"/>
      <c r="G426" s="95"/>
      <c r="H426" s="95"/>
    </row>
    <row r="427" spans="3:8" ht="12.75">
      <c r="C427" s="94"/>
      <c r="D427" s="94"/>
      <c r="E427" s="94"/>
      <c r="F427" s="94"/>
      <c r="G427" s="95"/>
      <c r="H427" s="95"/>
    </row>
    <row r="428" spans="3:8" ht="12.75">
      <c r="C428" s="94"/>
      <c r="D428" s="94"/>
      <c r="E428" s="94"/>
      <c r="F428" s="94"/>
      <c r="G428" s="95"/>
      <c r="H428" s="95"/>
    </row>
    <row r="429" spans="3:8" ht="12.75">
      <c r="C429" s="94"/>
      <c r="D429" s="94"/>
      <c r="E429" s="94"/>
      <c r="F429" s="94"/>
      <c r="G429" s="95"/>
      <c r="H429" s="95"/>
    </row>
    <row r="430" spans="3:8" ht="12.75">
      <c r="C430" s="94"/>
      <c r="D430" s="94"/>
      <c r="E430" s="94"/>
      <c r="F430" s="94"/>
      <c r="G430" s="95"/>
      <c r="H430" s="95"/>
    </row>
    <row r="431" spans="3:8" ht="12.75">
      <c r="C431" s="94"/>
      <c r="D431" s="94"/>
      <c r="E431" s="94"/>
      <c r="F431" s="94"/>
      <c r="G431" s="95"/>
      <c r="H431" s="95"/>
    </row>
    <row r="432" spans="3:8" ht="12.75">
      <c r="C432" s="94"/>
      <c r="D432" s="94"/>
      <c r="E432" s="94"/>
      <c r="F432" s="94"/>
      <c r="G432" s="95"/>
      <c r="H432" s="95"/>
    </row>
    <row r="433" spans="3:8" ht="12.75">
      <c r="C433" s="94"/>
      <c r="D433" s="94"/>
      <c r="E433" s="94"/>
      <c r="F433" s="94"/>
      <c r="G433" s="95"/>
      <c r="H433" s="95"/>
    </row>
    <row r="434" spans="3:8" ht="12.75">
      <c r="C434" s="94"/>
      <c r="D434" s="94"/>
      <c r="E434" s="94"/>
      <c r="F434" s="94"/>
      <c r="G434" s="95"/>
      <c r="H434" s="95"/>
    </row>
    <row r="435" spans="3:8" ht="12.75">
      <c r="C435" s="94"/>
      <c r="D435" s="94"/>
      <c r="E435" s="94"/>
      <c r="F435" s="94"/>
      <c r="G435" s="95"/>
      <c r="H435" s="95"/>
    </row>
    <row r="436" spans="3:8" ht="12.75">
      <c r="C436" s="94"/>
      <c r="D436" s="94"/>
      <c r="E436" s="94"/>
      <c r="F436" s="94"/>
      <c r="G436" s="95"/>
      <c r="H436" s="95"/>
    </row>
    <row r="437" spans="3:8" ht="12.75">
      <c r="C437" s="94"/>
      <c r="D437" s="94"/>
      <c r="E437" s="94"/>
      <c r="F437" s="94"/>
      <c r="G437" s="95"/>
      <c r="H437" s="95"/>
    </row>
    <row r="438" spans="3:8" ht="12.75">
      <c r="C438" s="94"/>
      <c r="D438" s="94"/>
      <c r="E438" s="94"/>
      <c r="F438" s="94"/>
      <c r="G438" s="95"/>
      <c r="H438" s="95"/>
    </row>
    <row r="439" spans="3:8" ht="12.75">
      <c r="C439" s="94"/>
      <c r="D439" s="94"/>
      <c r="E439" s="94"/>
      <c r="F439" s="94"/>
      <c r="G439" s="95"/>
      <c r="H439" s="95"/>
    </row>
    <row r="440" spans="3:8" ht="12.75">
      <c r="C440" s="94"/>
      <c r="D440" s="94"/>
      <c r="E440" s="94"/>
      <c r="F440" s="94"/>
      <c r="G440" s="95"/>
      <c r="H440" s="95"/>
    </row>
    <row r="441" spans="3:8" ht="12.75">
      <c r="C441" s="94"/>
      <c r="D441" s="94"/>
      <c r="E441" s="94"/>
      <c r="F441" s="94"/>
      <c r="G441" s="95"/>
      <c r="H441" s="95"/>
    </row>
    <row r="442" spans="3:8" ht="12.75">
      <c r="C442" s="94"/>
      <c r="D442" s="94"/>
      <c r="E442" s="94"/>
      <c r="F442" s="94"/>
      <c r="G442" s="95"/>
      <c r="H442" s="95"/>
    </row>
    <row r="443" spans="3:8" ht="12.75">
      <c r="C443" s="94"/>
      <c r="D443" s="94"/>
      <c r="E443" s="94"/>
      <c r="F443" s="94"/>
      <c r="G443" s="95"/>
      <c r="H443" s="95"/>
    </row>
    <row r="444" spans="3:8" ht="12.75">
      <c r="C444" s="94"/>
      <c r="D444" s="94"/>
      <c r="E444" s="94"/>
      <c r="F444" s="94"/>
      <c r="G444" s="95"/>
      <c r="H444" s="95"/>
    </row>
    <row r="445" spans="3:8" ht="12.75">
      <c r="C445" s="94"/>
      <c r="D445" s="94"/>
      <c r="E445" s="94"/>
      <c r="F445" s="94"/>
      <c r="G445" s="95"/>
      <c r="H445" s="95"/>
    </row>
    <row r="446" spans="3:8" ht="12.75">
      <c r="C446" s="94"/>
      <c r="D446" s="94"/>
      <c r="E446" s="94"/>
      <c r="F446" s="94"/>
      <c r="G446" s="95"/>
      <c r="H446" s="95"/>
    </row>
    <row r="447" spans="3:8" ht="12.75">
      <c r="C447" s="94"/>
      <c r="D447" s="94"/>
      <c r="E447" s="94"/>
      <c r="F447" s="94"/>
      <c r="G447" s="95"/>
      <c r="H447" s="95"/>
    </row>
    <row r="448" spans="3:8" ht="12.75">
      <c r="C448" s="94"/>
      <c r="D448" s="94"/>
      <c r="E448" s="94"/>
      <c r="F448" s="94"/>
      <c r="G448" s="95"/>
      <c r="H448" s="95"/>
    </row>
    <row r="449" spans="3:8" ht="12.75">
      <c r="C449" s="94"/>
      <c r="D449" s="94"/>
      <c r="E449" s="94"/>
      <c r="F449" s="94"/>
      <c r="G449" s="95"/>
      <c r="H449" s="95"/>
    </row>
    <row r="450" spans="3:8" ht="12.75">
      <c r="C450" s="94"/>
      <c r="D450" s="94"/>
      <c r="E450" s="94"/>
      <c r="F450" s="94"/>
      <c r="G450" s="95"/>
      <c r="H450" s="95"/>
    </row>
    <row r="451" spans="3:8" ht="12.75">
      <c r="C451" s="94"/>
      <c r="D451" s="94"/>
      <c r="E451" s="94"/>
      <c r="F451" s="94"/>
      <c r="G451" s="95"/>
      <c r="H451" s="95"/>
    </row>
    <row r="452" spans="3:8" ht="12.75">
      <c r="C452" s="94"/>
      <c r="D452" s="94"/>
      <c r="E452" s="94"/>
      <c r="F452" s="94"/>
      <c r="G452" s="95"/>
      <c r="H452" s="95"/>
    </row>
    <row r="453" spans="3:8" ht="12.75">
      <c r="C453" s="94"/>
      <c r="D453" s="94"/>
      <c r="E453" s="94"/>
      <c r="F453" s="94"/>
      <c r="G453" s="95"/>
      <c r="H453" s="95"/>
    </row>
    <row r="454" spans="3:8" ht="12.75">
      <c r="C454" s="94"/>
      <c r="D454" s="94"/>
      <c r="E454" s="94"/>
      <c r="F454" s="94"/>
      <c r="G454" s="95"/>
      <c r="H454" s="95"/>
    </row>
    <row r="455" spans="3:8" ht="12.75">
      <c r="C455" s="94"/>
      <c r="D455" s="94"/>
      <c r="E455" s="94"/>
      <c r="F455" s="94"/>
      <c r="G455" s="95"/>
      <c r="H455" s="95"/>
    </row>
    <row r="456" spans="3:8" ht="12.75">
      <c r="C456" s="94"/>
      <c r="D456" s="94"/>
      <c r="E456" s="94"/>
      <c r="F456" s="94"/>
      <c r="G456" s="95"/>
      <c r="H456" s="95"/>
    </row>
    <row r="457" spans="3:8" ht="12.75">
      <c r="C457" s="94"/>
      <c r="D457" s="94"/>
      <c r="E457" s="94"/>
      <c r="F457" s="94"/>
      <c r="G457" s="95"/>
      <c r="H457" s="95"/>
    </row>
    <row r="458" spans="3:8" ht="12.75">
      <c r="C458" s="94"/>
      <c r="D458" s="94"/>
      <c r="E458" s="94"/>
      <c r="F458" s="94"/>
      <c r="G458" s="95"/>
      <c r="H458" s="95"/>
    </row>
    <row r="459" spans="3:8" ht="12.75">
      <c r="C459" s="94"/>
      <c r="D459" s="94"/>
      <c r="E459" s="94"/>
      <c r="F459" s="94"/>
      <c r="G459" s="95"/>
      <c r="H459" s="95"/>
    </row>
    <row r="460" spans="3:8" ht="12.75">
      <c r="C460" s="94"/>
      <c r="D460" s="94"/>
      <c r="E460" s="94"/>
      <c r="F460" s="94"/>
      <c r="G460" s="95"/>
      <c r="H460" s="95"/>
    </row>
    <row r="461" spans="3:8" ht="12.75">
      <c r="C461" s="94"/>
      <c r="D461" s="94"/>
      <c r="E461" s="94"/>
      <c r="F461" s="94"/>
      <c r="G461" s="95"/>
      <c r="H461" s="95"/>
    </row>
    <row r="462" spans="3:8" ht="12.75">
      <c r="C462" s="94"/>
      <c r="D462" s="94"/>
      <c r="E462" s="94"/>
      <c r="F462" s="94"/>
      <c r="G462" s="95"/>
      <c r="H462" s="95"/>
    </row>
    <row r="463" spans="3:8" ht="12.75">
      <c r="C463" s="94"/>
      <c r="D463" s="94"/>
      <c r="E463" s="94"/>
      <c r="F463" s="94"/>
      <c r="G463" s="95"/>
      <c r="H463" s="95"/>
    </row>
    <row r="464" spans="3:8" ht="12.75">
      <c r="C464" s="94"/>
      <c r="D464" s="94"/>
      <c r="E464" s="94"/>
      <c r="F464" s="94"/>
      <c r="G464" s="95"/>
      <c r="H464" s="95"/>
    </row>
    <row r="465" spans="3:8" ht="12.75">
      <c r="C465" s="94"/>
      <c r="D465" s="94"/>
      <c r="E465" s="94"/>
      <c r="F465" s="94"/>
      <c r="G465" s="95"/>
      <c r="H465" s="95"/>
    </row>
    <row r="466" spans="3:8" ht="12.75">
      <c r="C466" s="94"/>
      <c r="D466" s="94"/>
      <c r="E466" s="94"/>
      <c r="F466" s="94"/>
      <c r="G466" s="95"/>
      <c r="H466" s="95"/>
    </row>
    <row r="467" spans="3:8" ht="12.75">
      <c r="C467" s="94"/>
      <c r="D467" s="94"/>
      <c r="E467" s="94"/>
      <c r="F467" s="94"/>
      <c r="G467" s="95"/>
      <c r="H467" s="95"/>
    </row>
    <row r="468" spans="3:8" ht="12.75">
      <c r="C468" s="94"/>
      <c r="D468" s="94"/>
      <c r="E468" s="94"/>
      <c r="F468" s="94"/>
      <c r="G468" s="95"/>
      <c r="H468" s="95"/>
    </row>
    <row r="469" spans="3:8" ht="12.75">
      <c r="C469" s="94"/>
      <c r="D469" s="94"/>
      <c r="E469" s="94"/>
      <c r="F469" s="94"/>
      <c r="G469" s="95"/>
      <c r="H469" s="95"/>
    </row>
    <row r="470" spans="3:8" ht="12.75">
      <c r="C470" s="94"/>
      <c r="D470" s="94"/>
      <c r="E470" s="94"/>
      <c r="F470" s="94"/>
      <c r="G470" s="95"/>
      <c r="H470" s="95"/>
    </row>
    <row r="471" spans="3:8" ht="12.75">
      <c r="C471" s="94"/>
      <c r="D471" s="94"/>
      <c r="E471" s="94"/>
      <c r="F471" s="94"/>
      <c r="G471" s="95"/>
      <c r="H471" s="95"/>
    </row>
    <row r="472" spans="3:8" ht="12.75">
      <c r="C472" s="94"/>
      <c r="D472" s="94"/>
      <c r="E472" s="94"/>
      <c r="F472" s="94"/>
      <c r="G472" s="95"/>
      <c r="H472" s="95"/>
    </row>
    <row r="473" spans="3:8" ht="12.75">
      <c r="C473" s="94"/>
      <c r="D473" s="94"/>
      <c r="E473" s="94"/>
      <c r="F473" s="94"/>
      <c r="G473" s="95"/>
      <c r="H473" s="95"/>
    </row>
    <row r="474" spans="3:8" ht="12.75">
      <c r="C474" s="94"/>
      <c r="D474" s="94"/>
      <c r="E474" s="94"/>
      <c r="F474" s="94"/>
      <c r="G474" s="95"/>
      <c r="H474" s="95"/>
    </row>
    <row r="475" spans="3:8" ht="12.75">
      <c r="C475" s="94"/>
      <c r="D475" s="94"/>
      <c r="E475" s="94"/>
      <c r="F475" s="94"/>
      <c r="G475" s="95"/>
      <c r="H475" s="95"/>
    </row>
    <row r="476" spans="3:8" ht="12.75">
      <c r="C476" s="94"/>
      <c r="D476" s="94"/>
      <c r="E476" s="94"/>
      <c r="F476" s="94"/>
      <c r="G476" s="95"/>
      <c r="H476" s="95"/>
    </row>
    <row r="477" spans="3:8" ht="12.75">
      <c r="C477" s="94"/>
      <c r="D477" s="94"/>
      <c r="E477" s="94"/>
      <c r="F477" s="94"/>
      <c r="G477" s="95"/>
      <c r="H477" s="95"/>
    </row>
    <row r="478" spans="3:8" ht="12.75">
      <c r="C478" s="94"/>
      <c r="D478" s="94"/>
      <c r="E478" s="94"/>
      <c r="F478" s="94"/>
      <c r="G478" s="95"/>
      <c r="H478" s="95"/>
    </row>
    <row r="479" spans="3:8" ht="12.75">
      <c r="C479" s="94"/>
      <c r="D479" s="94"/>
      <c r="E479" s="94"/>
      <c r="F479" s="94"/>
      <c r="G479" s="95"/>
      <c r="H479" s="95"/>
    </row>
    <row r="480" spans="3:8" ht="12.75">
      <c r="C480" s="94"/>
      <c r="D480" s="94"/>
      <c r="E480" s="94"/>
      <c r="F480" s="94"/>
      <c r="G480" s="95"/>
      <c r="H480" s="95"/>
    </row>
    <row r="481" spans="3:8" ht="12.75">
      <c r="C481" s="94"/>
      <c r="D481" s="94"/>
      <c r="E481" s="94"/>
      <c r="F481" s="94"/>
      <c r="G481" s="95"/>
      <c r="H481" s="95"/>
    </row>
    <row r="482" spans="3:8" ht="12.75">
      <c r="C482" s="94"/>
      <c r="D482" s="94"/>
      <c r="E482" s="94"/>
      <c r="F482" s="94"/>
      <c r="G482" s="95"/>
      <c r="H482" s="95"/>
    </row>
    <row r="483" spans="3:8" ht="12.75">
      <c r="C483" s="94"/>
      <c r="D483" s="94"/>
      <c r="E483" s="94"/>
      <c r="F483" s="94"/>
      <c r="G483" s="95"/>
      <c r="H483" s="95"/>
    </row>
    <row r="484" spans="3:8" ht="12.75">
      <c r="C484" s="94"/>
      <c r="D484" s="94"/>
      <c r="E484" s="94"/>
      <c r="F484" s="94"/>
      <c r="G484" s="95"/>
      <c r="H484" s="95"/>
    </row>
    <row r="485" spans="3:8" ht="12.75">
      <c r="C485" s="94"/>
      <c r="D485" s="94"/>
      <c r="E485" s="94"/>
      <c r="F485" s="94"/>
      <c r="G485" s="95"/>
      <c r="H485" s="95"/>
    </row>
    <row r="486" spans="3:8" ht="12.75">
      <c r="C486" s="94"/>
      <c r="D486" s="94"/>
      <c r="E486" s="94"/>
      <c r="F486" s="94"/>
      <c r="G486" s="95"/>
      <c r="H486" s="95"/>
    </row>
    <row r="487" spans="3:8" ht="12.75">
      <c r="C487" s="94"/>
      <c r="D487" s="94"/>
      <c r="E487" s="94"/>
      <c r="F487" s="94"/>
      <c r="G487" s="95"/>
      <c r="H487" s="95"/>
    </row>
    <row r="488" spans="3:8" ht="12.75">
      <c r="C488" s="94"/>
      <c r="D488" s="94"/>
      <c r="E488" s="94"/>
      <c r="F488" s="94"/>
      <c r="G488" s="95"/>
      <c r="H488" s="95"/>
    </row>
    <row r="489" spans="3:8" ht="12.75">
      <c r="C489" s="94"/>
      <c r="D489" s="94"/>
      <c r="E489" s="94"/>
      <c r="F489" s="94"/>
      <c r="G489" s="95"/>
      <c r="H489" s="95"/>
    </row>
    <row r="490" spans="3:8" ht="12.75">
      <c r="C490" s="94"/>
      <c r="D490" s="94"/>
      <c r="E490" s="94"/>
      <c r="F490" s="94"/>
      <c r="G490" s="95"/>
      <c r="H490" s="95"/>
    </row>
    <row r="491" spans="3:8" ht="12.75">
      <c r="C491" s="94"/>
      <c r="D491" s="94"/>
      <c r="E491" s="94"/>
      <c r="F491" s="94"/>
      <c r="G491" s="95"/>
      <c r="H491" s="95"/>
    </row>
    <row r="492" spans="3:8" ht="12.75">
      <c r="C492" s="94"/>
      <c r="D492" s="94"/>
      <c r="E492" s="94"/>
      <c r="F492" s="94"/>
      <c r="G492" s="95"/>
      <c r="H492" s="95"/>
    </row>
    <row r="493" spans="3:8" ht="12.75">
      <c r="C493" s="94"/>
      <c r="D493" s="94"/>
      <c r="E493" s="94"/>
      <c r="F493" s="94"/>
      <c r="G493" s="95"/>
      <c r="H493" s="95"/>
    </row>
    <row r="494" spans="3:8" ht="12.75">
      <c r="C494" s="94"/>
      <c r="D494" s="94"/>
      <c r="E494" s="94"/>
      <c r="F494" s="94"/>
      <c r="G494" s="95"/>
      <c r="H494" s="95"/>
    </row>
    <row r="495" spans="3:8" ht="12.75">
      <c r="C495" s="94"/>
      <c r="D495" s="94"/>
      <c r="E495" s="94"/>
      <c r="F495" s="94"/>
      <c r="G495" s="95"/>
      <c r="H495" s="95"/>
    </row>
    <row r="496" spans="3:8" ht="12.75">
      <c r="C496" s="94"/>
      <c r="D496" s="94"/>
      <c r="E496" s="94"/>
      <c r="F496" s="94"/>
      <c r="G496" s="95"/>
      <c r="H496" s="95"/>
    </row>
    <row r="497" spans="3:8" ht="12.75">
      <c r="C497" s="94"/>
      <c r="D497" s="94"/>
      <c r="E497" s="94"/>
      <c r="F497" s="94"/>
      <c r="G497" s="95"/>
      <c r="H497" s="95"/>
    </row>
    <row r="498" spans="3:8" ht="12.75">
      <c r="C498" s="94"/>
      <c r="D498" s="94"/>
      <c r="E498" s="94"/>
      <c r="F498" s="94"/>
      <c r="G498" s="95"/>
      <c r="H498" s="95"/>
    </row>
    <row r="499" spans="3:8" ht="12.75">
      <c r="C499" s="94"/>
      <c r="D499" s="94"/>
      <c r="E499" s="94"/>
      <c r="F499" s="94"/>
      <c r="G499" s="95"/>
      <c r="H499" s="95"/>
    </row>
    <row r="500" spans="3:8" ht="12.75">
      <c r="C500" s="94"/>
      <c r="D500" s="94"/>
      <c r="E500" s="94"/>
      <c r="F500" s="94"/>
      <c r="G500" s="95"/>
      <c r="H500" s="95"/>
    </row>
    <row r="501" spans="3:8" ht="12.75">
      <c r="C501" s="94"/>
      <c r="D501" s="94"/>
      <c r="E501" s="94"/>
      <c r="F501" s="94"/>
      <c r="G501" s="95"/>
      <c r="H501" s="95"/>
    </row>
    <row r="502" spans="3:8" ht="12.75">
      <c r="C502" s="94"/>
      <c r="D502" s="94"/>
      <c r="E502" s="94"/>
      <c r="F502" s="94"/>
      <c r="G502" s="95"/>
      <c r="H502" s="95"/>
    </row>
    <row r="503" spans="3:8" ht="12.75">
      <c r="C503" s="94"/>
      <c r="D503" s="94"/>
      <c r="E503" s="94"/>
      <c r="F503" s="94"/>
      <c r="G503" s="95"/>
      <c r="H503" s="95"/>
    </row>
    <row r="504" spans="3:8" ht="12.75">
      <c r="C504" s="94"/>
      <c r="D504" s="94"/>
      <c r="E504" s="94"/>
      <c r="F504" s="94"/>
      <c r="G504" s="95"/>
      <c r="H504" s="95"/>
    </row>
    <row r="505" spans="5:8" ht="12.75">
      <c r="E505" s="1"/>
      <c r="F505" s="1"/>
      <c r="G505" s="95"/>
      <c r="H505" s="95"/>
    </row>
    <row r="506" spans="5:8" ht="12.75">
      <c r="E506" s="1"/>
      <c r="F506" s="1"/>
      <c r="G506" s="95"/>
      <c r="H506" s="95"/>
    </row>
    <row r="507" spans="5:6" ht="12.75">
      <c r="E507" s="1"/>
      <c r="F507" s="1"/>
    </row>
    <row r="508" spans="5:6" ht="12.75">
      <c r="E508" s="1"/>
      <c r="F508" s="1"/>
    </row>
    <row r="509" spans="5:6" ht="12.75">
      <c r="E509" s="1"/>
      <c r="F509" s="1"/>
    </row>
    <row r="510" spans="5:6" ht="12.75">
      <c r="E510" s="1"/>
      <c r="F510" s="1"/>
    </row>
    <row r="511" spans="5:6" ht="12.75">
      <c r="E511" s="1"/>
      <c r="F511" s="1"/>
    </row>
    <row r="512" spans="5:6" ht="12.75">
      <c r="E512" s="1"/>
      <c r="F512" s="1"/>
    </row>
    <row r="513" spans="5:6" ht="12.75">
      <c r="E513" s="1"/>
      <c r="F513" s="1"/>
    </row>
    <row r="514" spans="5:6" ht="12.75">
      <c r="E514" s="1"/>
      <c r="F514" s="1"/>
    </row>
    <row r="515" spans="5:6" ht="12.75">
      <c r="E515" s="1"/>
      <c r="F515" s="1"/>
    </row>
    <row r="516" spans="5:6" ht="12.75">
      <c r="E516" s="1"/>
      <c r="F516" s="1"/>
    </row>
    <row r="517" spans="5:6" ht="12.75">
      <c r="E517" s="1"/>
      <c r="F517" s="1"/>
    </row>
    <row r="518" spans="5:6" ht="12.75">
      <c r="E518" s="1"/>
      <c r="F518" s="1"/>
    </row>
    <row r="519" spans="5:6" ht="12.75">
      <c r="E519" s="1"/>
      <c r="F519" s="1"/>
    </row>
    <row r="520" spans="5:6" ht="12.75">
      <c r="E520" s="1"/>
      <c r="F520" s="1"/>
    </row>
    <row r="521" spans="5:6" ht="12.75">
      <c r="E521" s="1"/>
      <c r="F521" s="1"/>
    </row>
    <row r="522" spans="5:6" ht="12.75">
      <c r="E522" s="1"/>
      <c r="F522" s="1"/>
    </row>
    <row r="523" spans="5:6" ht="12.75">
      <c r="E523" s="1"/>
      <c r="F523" s="1"/>
    </row>
    <row r="524" spans="5:6" ht="12.75">
      <c r="E524" s="1"/>
      <c r="F524" s="1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5:6" ht="12.75">
      <c r="E529" s="1"/>
      <c r="F529" s="1"/>
    </row>
    <row r="530" spans="5:6" ht="12.75">
      <c r="E530" s="1"/>
      <c r="F530" s="1"/>
    </row>
    <row r="531" spans="5:6" ht="12.75">
      <c r="E531" s="1"/>
      <c r="F531" s="1"/>
    </row>
    <row r="532" spans="5:6" ht="12.75">
      <c r="E532" s="1"/>
      <c r="F532" s="1"/>
    </row>
    <row r="533" spans="5:6" ht="12.75">
      <c r="E533" s="1"/>
      <c r="F533" s="1"/>
    </row>
    <row r="534" spans="5:6" ht="12.75">
      <c r="E534" s="1"/>
      <c r="F534" s="1"/>
    </row>
    <row r="535" spans="5:6" ht="12.75">
      <c r="E535" s="1"/>
      <c r="F535" s="1"/>
    </row>
    <row r="536" spans="5:6" ht="12.75">
      <c r="E536" s="1"/>
      <c r="F536" s="1"/>
    </row>
    <row r="537" spans="5:6" ht="12.75">
      <c r="E537" s="1"/>
      <c r="F537" s="1"/>
    </row>
    <row r="538" spans="5:6" ht="12.75">
      <c r="E538" s="1"/>
      <c r="F538" s="1"/>
    </row>
    <row r="539" spans="5:6" ht="12.75">
      <c r="E539" s="1"/>
      <c r="F539" s="1"/>
    </row>
    <row r="540" spans="5:6" ht="12.75">
      <c r="E540" s="1"/>
      <c r="F540" s="1"/>
    </row>
    <row r="541" spans="5:6" ht="12.75">
      <c r="E541" s="1"/>
      <c r="F541" s="1"/>
    </row>
    <row r="542" spans="5:6" ht="12.75">
      <c r="E542" s="1"/>
      <c r="F542" s="1"/>
    </row>
    <row r="543" spans="5:6" ht="12.75">
      <c r="E543" s="1"/>
      <c r="F543" s="1"/>
    </row>
    <row r="544" spans="5:6" ht="12.75">
      <c r="E544" s="1"/>
      <c r="F544" s="1"/>
    </row>
    <row r="545" spans="5:6" ht="12.75">
      <c r="E545" s="1"/>
      <c r="F545" s="1"/>
    </row>
    <row r="546" spans="5:6" ht="12.75">
      <c r="E546" s="1"/>
      <c r="F546" s="1"/>
    </row>
    <row r="547" spans="5:6" ht="12.75">
      <c r="E547" s="1"/>
      <c r="F547" s="1"/>
    </row>
    <row r="548" spans="5:6" ht="12.75">
      <c r="E548" s="1"/>
      <c r="F548" s="1"/>
    </row>
    <row r="549" spans="5:6" ht="12.75">
      <c r="E549" s="1"/>
      <c r="F549" s="1"/>
    </row>
    <row r="550" spans="5:6" ht="12.75">
      <c r="E550" s="1"/>
      <c r="F550" s="1"/>
    </row>
    <row r="551" spans="5:6" ht="12.75">
      <c r="E551" s="1"/>
      <c r="F551" s="1"/>
    </row>
    <row r="552" spans="5:6" ht="12.75">
      <c r="E552" s="1"/>
      <c r="F552" s="1"/>
    </row>
    <row r="553" spans="5:6" ht="12.75">
      <c r="E553" s="1"/>
      <c r="F553" s="1"/>
    </row>
    <row r="554" spans="5:6" ht="12.75">
      <c r="E554" s="1"/>
      <c r="F554" s="1"/>
    </row>
    <row r="555" spans="5:6" ht="12.75">
      <c r="E555" s="1"/>
      <c r="F555" s="1"/>
    </row>
    <row r="556" spans="5:6" ht="12.75">
      <c r="E556" s="1"/>
      <c r="F556" s="1"/>
    </row>
    <row r="557" spans="5:6" ht="12.75">
      <c r="E557" s="1"/>
      <c r="F557" s="1"/>
    </row>
    <row r="558" spans="5:6" ht="12.75">
      <c r="E558" s="1"/>
      <c r="F558" s="1"/>
    </row>
    <row r="559" spans="5:6" ht="12.75">
      <c r="E559" s="1"/>
      <c r="F559" s="1"/>
    </row>
    <row r="560" spans="5:6" ht="12.75">
      <c r="E560" s="1"/>
      <c r="F560" s="1"/>
    </row>
    <row r="561" spans="5:6" ht="12.75">
      <c r="E561" s="1"/>
      <c r="F561" s="1"/>
    </row>
    <row r="562" spans="5:6" ht="12.75">
      <c r="E562" s="1"/>
      <c r="F562" s="1"/>
    </row>
    <row r="563" spans="5:6" ht="12.75">
      <c r="E563" s="1"/>
      <c r="F563" s="1"/>
    </row>
    <row r="564" spans="5:6" ht="12.75">
      <c r="E564" s="1"/>
      <c r="F564" s="1"/>
    </row>
    <row r="565" spans="5:6" ht="12.75">
      <c r="E565" s="1"/>
      <c r="F565" s="1"/>
    </row>
    <row r="566" spans="5:6" ht="12.75">
      <c r="E566" s="1"/>
      <c r="F566" s="1"/>
    </row>
    <row r="567" spans="5:6" ht="12.75">
      <c r="E567" s="1"/>
      <c r="F567" s="1"/>
    </row>
    <row r="568" spans="5:6" ht="12.75">
      <c r="E568" s="1"/>
      <c r="F568" s="1"/>
    </row>
    <row r="569" spans="5:6" ht="12.75">
      <c r="E569" s="1"/>
      <c r="F569" s="1"/>
    </row>
    <row r="570" spans="5:6" ht="12.75">
      <c r="E570" s="1"/>
      <c r="F570" s="1"/>
    </row>
    <row r="571" spans="5:6" ht="12.75">
      <c r="E571" s="1"/>
      <c r="F571" s="1"/>
    </row>
    <row r="572" spans="5:6" ht="12.75">
      <c r="E572" s="1"/>
      <c r="F572" s="1"/>
    </row>
    <row r="573" spans="5:6" ht="12.75">
      <c r="E573" s="1"/>
      <c r="F573" s="1"/>
    </row>
    <row r="574" spans="5:6" ht="12.75">
      <c r="E574" s="1"/>
      <c r="F574" s="1"/>
    </row>
    <row r="575" spans="5:6" ht="12.75">
      <c r="E575" s="1"/>
      <c r="F575" s="1"/>
    </row>
    <row r="576" spans="5:6" ht="12.75">
      <c r="E576" s="1"/>
      <c r="F576" s="1"/>
    </row>
    <row r="577" spans="5:6" ht="12.75">
      <c r="E577" s="1"/>
      <c r="F577" s="1"/>
    </row>
    <row r="578" spans="5:6" ht="12.75">
      <c r="E578" s="1"/>
      <c r="F578" s="1"/>
    </row>
    <row r="579" spans="5:6" ht="12.75">
      <c r="E579" s="1"/>
      <c r="F579" s="1"/>
    </row>
    <row r="580" spans="5:6" ht="12.75">
      <c r="E580" s="1"/>
      <c r="F580" s="1"/>
    </row>
    <row r="581" spans="5:6" ht="12.75">
      <c r="E581" s="1"/>
      <c r="F581" s="1"/>
    </row>
    <row r="582" spans="5:6" ht="12.75">
      <c r="E582" s="1"/>
      <c r="F582" s="1"/>
    </row>
    <row r="583" spans="5:6" ht="12.75">
      <c r="E583" s="1"/>
      <c r="F583" s="1"/>
    </row>
    <row r="584" spans="5:6" ht="12.75">
      <c r="E584" s="1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1"/>
      <c r="F589" s="1"/>
    </row>
    <row r="590" spans="5:6" ht="12.75">
      <c r="E590" s="1"/>
      <c r="F590" s="1"/>
    </row>
    <row r="591" spans="5:6" ht="12.75">
      <c r="E591" s="1"/>
      <c r="F591" s="1"/>
    </row>
    <row r="592" spans="5:6" ht="12.75">
      <c r="E592" s="1"/>
      <c r="F592" s="1"/>
    </row>
    <row r="593" spans="5:6" ht="12.75">
      <c r="E593" s="1"/>
      <c r="F593" s="1"/>
    </row>
    <row r="594" spans="5:6" ht="12.75">
      <c r="E594" s="1"/>
      <c r="F594" s="1"/>
    </row>
    <row r="595" spans="5:6" ht="12.75">
      <c r="E595" s="1"/>
      <c r="F595" s="1"/>
    </row>
    <row r="596" spans="5:6" ht="12.75">
      <c r="E596" s="1"/>
      <c r="F596" s="1"/>
    </row>
    <row r="597" spans="5:6" ht="12.75">
      <c r="E597" s="1"/>
      <c r="F597" s="1"/>
    </row>
    <row r="598" spans="5:6" ht="12.75">
      <c r="E598" s="1"/>
      <c r="F598" s="1"/>
    </row>
    <row r="599" spans="5:6" ht="12.75">
      <c r="E599" s="1"/>
      <c r="F599" s="1"/>
    </row>
    <row r="600" spans="5:6" ht="12.75">
      <c r="E600" s="1"/>
      <c r="F600" s="1"/>
    </row>
    <row r="601" spans="5:6" ht="12.75">
      <c r="E601" s="1"/>
      <c r="F601" s="1"/>
    </row>
    <row r="602" spans="5:6" ht="12.75">
      <c r="E602" s="1"/>
      <c r="F602" s="1"/>
    </row>
    <row r="603" spans="5:6" ht="12.75">
      <c r="E603" s="1"/>
      <c r="F603" s="1"/>
    </row>
    <row r="604" spans="5:6" ht="12.75">
      <c r="E604" s="1"/>
      <c r="F604" s="1"/>
    </row>
    <row r="605" spans="5:6" ht="12.75">
      <c r="E605" s="1"/>
      <c r="F605" s="1"/>
    </row>
    <row r="606" spans="5:6" ht="12.75"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5:6" ht="12.75">
      <c r="E609" s="1"/>
      <c r="F609" s="1"/>
    </row>
    <row r="610" spans="5:6" ht="12.75">
      <c r="E610" s="1"/>
      <c r="F610" s="1"/>
    </row>
    <row r="611" spans="5:6" ht="12.75">
      <c r="E611" s="1"/>
      <c r="F611" s="1"/>
    </row>
    <row r="612" spans="5:6" ht="12.75">
      <c r="E612" s="1"/>
      <c r="F612" s="1"/>
    </row>
    <row r="613" spans="5:6" ht="12.75">
      <c r="E613" s="1"/>
      <c r="F613" s="1"/>
    </row>
    <row r="614" spans="5:6" ht="12.75">
      <c r="E614" s="1"/>
      <c r="F614" s="1"/>
    </row>
    <row r="615" spans="5:6" ht="12.75">
      <c r="E615" s="1"/>
      <c r="F615" s="1"/>
    </row>
    <row r="616" spans="5:6" ht="12.75">
      <c r="E616" s="1"/>
      <c r="F616" s="1"/>
    </row>
    <row r="617" spans="5:6" ht="12.75">
      <c r="E617" s="1"/>
      <c r="F617" s="1"/>
    </row>
    <row r="618" spans="5:6" ht="12.75">
      <c r="E618" s="1"/>
      <c r="F618" s="1"/>
    </row>
    <row r="619" spans="5:6" ht="12.75">
      <c r="E619" s="1"/>
      <c r="F619" s="1"/>
    </row>
    <row r="620" spans="5:6" ht="12.75">
      <c r="E620" s="1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1"/>
      <c r="F623" s="1"/>
    </row>
    <row r="624" spans="5:6" ht="12.75">
      <c r="E624" s="1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1"/>
      <c r="F629" s="1"/>
    </row>
    <row r="630" spans="5:6" ht="12.75">
      <c r="E630" s="1"/>
      <c r="F630" s="1"/>
    </row>
    <row r="631" spans="5:6" ht="12.75">
      <c r="E631" s="1"/>
      <c r="F631" s="1"/>
    </row>
    <row r="632" spans="5:6" ht="12.75">
      <c r="E632" s="1"/>
      <c r="F632" s="1"/>
    </row>
    <row r="633" spans="5:6" ht="12.75">
      <c r="E633" s="1"/>
      <c r="F633" s="1"/>
    </row>
    <row r="634" spans="5:6" ht="12.75">
      <c r="E634" s="1"/>
      <c r="F634" s="1"/>
    </row>
    <row r="635" spans="5:6" ht="12.75">
      <c r="E635" s="1"/>
      <c r="F635" s="1"/>
    </row>
    <row r="636" spans="5:6" ht="12.75">
      <c r="E636" s="1"/>
      <c r="F636" s="1"/>
    </row>
    <row r="637" spans="5:6" ht="12.75">
      <c r="E637" s="1"/>
      <c r="F637" s="1"/>
    </row>
    <row r="638" spans="5:6" ht="12.75">
      <c r="E638" s="1"/>
      <c r="F638" s="1"/>
    </row>
    <row r="639" spans="5:6" ht="12.75">
      <c r="E639" s="1"/>
      <c r="F639" s="1"/>
    </row>
    <row r="640" spans="5:6" ht="12.75">
      <c r="E640" s="1"/>
      <c r="F640" s="1"/>
    </row>
    <row r="641" spans="5:6" ht="12.75">
      <c r="E641" s="1"/>
      <c r="F641" s="1"/>
    </row>
    <row r="642" spans="5:6" ht="12.75">
      <c r="E642" s="1"/>
      <c r="F642" s="1"/>
    </row>
    <row r="643" spans="5:6" ht="12.75">
      <c r="E643" s="1"/>
      <c r="F643" s="1"/>
    </row>
    <row r="644" spans="5:6" ht="12.75">
      <c r="E644" s="1"/>
      <c r="F644" s="1"/>
    </row>
    <row r="645" spans="5:6" ht="12.75">
      <c r="E645" s="1"/>
      <c r="F645" s="1"/>
    </row>
    <row r="646" spans="5:6" ht="12.75">
      <c r="E646" s="1"/>
      <c r="F646" s="1"/>
    </row>
    <row r="647" spans="5:6" ht="12.75">
      <c r="E647" s="1"/>
      <c r="F647" s="1"/>
    </row>
    <row r="648" spans="5:6" ht="12.75">
      <c r="E648" s="1"/>
      <c r="F648" s="1"/>
    </row>
    <row r="649" spans="5:6" ht="12.75">
      <c r="E649" s="1"/>
      <c r="F649" s="1"/>
    </row>
    <row r="650" spans="5:6" ht="12.75">
      <c r="E650" s="1"/>
      <c r="F650" s="1"/>
    </row>
    <row r="651" spans="5:6" ht="12.75">
      <c r="E651" s="1"/>
      <c r="F651" s="1"/>
    </row>
    <row r="652" spans="5:6" ht="12.75">
      <c r="E652" s="1"/>
      <c r="F652" s="1"/>
    </row>
    <row r="653" spans="5:6" ht="12.75">
      <c r="E653" s="1"/>
      <c r="F653" s="1"/>
    </row>
    <row r="654" spans="5:6" ht="12.75">
      <c r="E654" s="1"/>
      <c r="F654" s="1"/>
    </row>
    <row r="655" spans="5:6" ht="12.75">
      <c r="E655" s="1"/>
      <c r="F655" s="1"/>
    </row>
    <row r="656" spans="5:6" ht="12.75">
      <c r="E656" s="1"/>
      <c r="F656" s="1"/>
    </row>
    <row r="657" spans="5:6" ht="12.75">
      <c r="E657" s="1"/>
      <c r="F657" s="1"/>
    </row>
    <row r="658" spans="5:6" ht="12.75">
      <c r="E658" s="1"/>
      <c r="F658" s="1"/>
    </row>
    <row r="659" spans="5:6" ht="12.75">
      <c r="E659" s="1"/>
      <c r="F659" s="1"/>
    </row>
    <row r="660" spans="5:6" ht="12.75">
      <c r="E660" s="1"/>
      <c r="F660" s="1"/>
    </row>
    <row r="661" spans="5:6" ht="12.75">
      <c r="E661" s="1"/>
      <c r="F661" s="1"/>
    </row>
    <row r="662" spans="5:6" ht="12.75">
      <c r="E662" s="1"/>
      <c r="F662" s="1"/>
    </row>
    <row r="663" spans="5:6" ht="12.75">
      <c r="E663" s="1"/>
      <c r="F663" s="1"/>
    </row>
    <row r="664" spans="5:6" ht="12.75">
      <c r="E664" s="1"/>
      <c r="F664" s="1"/>
    </row>
    <row r="665" spans="5:6" ht="12.75">
      <c r="E665" s="1"/>
      <c r="F665" s="1"/>
    </row>
    <row r="666" spans="5:6" ht="12.75">
      <c r="E666" s="1"/>
      <c r="F666" s="1"/>
    </row>
    <row r="667" spans="5:6" ht="12.75">
      <c r="E667" s="1"/>
      <c r="F667" s="1"/>
    </row>
    <row r="668" spans="5:6" ht="12.75">
      <c r="E668" s="1"/>
      <c r="F668" s="1"/>
    </row>
    <row r="669" spans="5:6" ht="12.75">
      <c r="E669" s="1"/>
      <c r="F669" s="1"/>
    </row>
    <row r="670" spans="5:6" ht="12.75">
      <c r="E670" s="1"/>
      <c r="F670" s="1"/>
    </row>
    <row r="671" spans="5:6" ht="12.75">
      <c r="E671" s="1"/>
      <c r="F671" s="1"/>
    </row>
    <row r="672" spans="5:6" ht="12.75">
      <c r="E672" s="1"/>
      <c r="F672" s="1"/>
    </row>
    <row r="673" spans="5:6" ht="12.75">
      <c r="E673" s="1"/>
      <c r="F673" s="1"/>
    </row>
    <row r="674" spans="5:6" ht="12.75">
      <c r="E674" s="1"/>
      <c r="F674" s="1"/>
    </row>
    <row r="675" spans="5:6" ht="12.75">
      <c r="E675" s="1"/>
      <c r="F675" s="1"/>
    </row>
    <row r="676" spans="5:6" ht="12.75">
      <c r="E676" s="1"/>
      <c r="F676" s="1"/>
    </row>
    <row r="677" spans="5:6" ht="12.75">
      <c r="E677" s="1"/>
      <c r="F677" s="1"/>
    </row>
    <row r="678" spans="5:6" ht="12.75">
      <c r="E678" s="1"/>
      <c r="F678" s="1"/>
    </row>
    <row r="679" spans="5:6" ht="12.75">
      <c r="E679" s="1"/>
      <c r="F679" s="1"/>
    </row>
    <row r="680" spans="5:6" ht="12.75">
      <c r="E680" s="1"/>
      <c r="F680" s="1"/>
    </row>
    <row r="681" spans="5:6" ht="12.75">
      <c r="E681" s="1"/>
      <c r="F681" s="1"/>
    </row>
    <row r="682" spans="5:6" ht="12.75">
      <c r="E682" s="1"/>
      <c r="F682" s="1"/>
    </row>
    <row r="683" spans="5:6" ht="12.75">
      <c r="E683" s="1"/>
      <c r="F683" s="1"/>
    </row>
    <row r="684" spans="5:6" ht="12.75">
      <c r="E684" s="1"/>
      <c r="F684" s="1"/>
    </row>
    <row r="685" spans="5:6" ht="12.75">
      <c r="E685" s="1"/>
      <c r="F685" s="1"/>
    </row>
    <row r="686" spans="5:6" ht="12.75">
      <c r="E686" s="1"/>
      <c r="F686" s="1"/>
    </row>
    <row r="687" spans="5:6" ht="12.75">
      <c r="E687" s="1"/>
      <c r="F687" s="1"/>
    </row>
    <row r="688" spans="5:6" ht="12.75">
      <c r="E688" s="1"/>
      <c r="F688" s="1"/>
    </row>
    <row r="689" spans="5:6" ht="12.75">
      <c r="E689" s="1"/>
      <c r="F689" s="1"/>
    </row>
    <row r="690" spans="5:6" ht="12.75">
      <c r="E690" s="1"/>
      <c r="F690" s="1"/>
    </row>
    <row r="691" spans="5:6" ht="12.75">
      <c r="E691" s="1"/>
      <c r="F691" s="1"/>
    </row>
    <row r="692" spans="5:6" ht="12.75">
      <c r="E692" s="1"/>
      <c r="F692" s="1"/>
    </row>
    <row r="693" spans="5:6" ht="12.75">
      <c r="E693" s="1"/>
      <c r="F693" s="1"/>
    </row>
    <row r="694" spans="5:6" ht="12.75">
      <c r="E694" s="1"/>
      <c r="F694" s="1"/>
    </row>
    <row r="695" spans="5:6" ht="12.75">
      <c r="E695" s="1"/>
      <c r="F695" s="1"/>
    </row>
    <row r="696" spans="5:6" ht="12.75">
      <c r="E696" s="1"/>
      <c r="F696" s="1"/>
    </row>
    <row r="697" spans="5:6" ht="12.75">
      <c r="E697" s="1"/>
      <c r="F697" s="1"/>
    </row>
    <row r="698" spans="5:6" ht="12.75">
      <c r="E698" s="1"/>
      <c r="F698" s="1"/>
    </row>
    <row r="699" spans="5:6" ht="12.75">
      <c r="E699" s="1"/>
      <c r="F699" s="1"/>
    </row>
    <row r="700" spans="5:6" ht="12.75">
      <c r="E700" s="1"/>
      <c r="F700" s="1"/>
    </row>
    <row r="701" spans="5:6" ht="12.75">
      <c r="E701" s="1"/>
      <c r="F701" s="1"/>
    </row>
    <row r="702" spans="5:6" ht="12.75">
      <c r="E702" s="1"/>
      <c r="F702" s="1"/>
    </row>
    <row r="703" spans="5:6" ht="12.75">
      <c r="E703" s="1"/>
      <c r="F703" s="1"/>
    </row>
    <row r="704" spans="5:6" ht="12.75">
      <c r="E704" s="1"/>
      <c r="F704" s="1"/>
    </row>
    <row r="705" spans="5:6" ht="12.75">
      <c r="E705" s="1"/>
      <c r="F705" s="1"/>
    </row>
    <row r="706" spans="5:6" ht="12.75">
      <c r="E706" s="1"/>
      <c r="F706" s="1"/>
    </row>
    <row r="707" spans="5:6" ht="12.75">
      <c r="E707" s="1"/>
      <c r="F707" s="1"/>
    </row>
    <row r="708" spans="5:6" ht="12.75">
      <c r="E708" s="1"/>
      <c r="F708" s="1"/>
    </row>
    <row r="709" spans="5:6" ht="12.75">
      <c r="E709" s="1"/>
      <c r="F709" s="1"/>
    </row>
    <row r="710" spans="5:6" ht="12.75">
      <c r="E710" s="1"/>
      <c r="F710" s="1"/>
    </row>
    <row r="711" spans="5:6" ht="12.75">
      <c r="E711" s="1"/>
      <c r="F711" s="1"/>
    </row>
    <row r="712" spans="5:6" ht="12.75">
      <c r="E712" s="1"/>
      <c r="F712" s="1"/>
    </row>
    <row r="713" spans="5:6" ht="12.75">
      <c r="E713" s="1"/>
      <c r="F713" s="1"/>
    </row>
    <row r="714" spans="5:6" ht="12.75">
      <c r="E714" s="1"/>
      <c r="F714" s="1"/>
    </row>
    <row r="715" spans="5:6" ht="12.75">
      <c r="E715" s="1"/>
      <c r="F715" s="1"/>
    </row>
    <row r="716" spans="5:6" ht="12.75">
      <c r="E716" s="1"/>
      <c r="F716" s="1"/>
    </row>
    <row r="717" spans="5:6" ht="12.75">
      <c r="E717" s="1"/>
      <c r="F717" s="1"/>
    </row>
    <row r="718" spans="5:6" ht="12.75">
      <c r="E718" s="1"/>
      <c r="F718" s="1"/>
    </row>
    <row r="719" spans="5:6" ht="12.75">
      <c r="E719" s="1"/>
      <c r="F719" s="1"/>
    </row>
    <row r="720" spans="5:6" ht="12.75">
      <c r="E720" s="1"/>
      <c r="F720" s="1"/>
    </row>
    <row r="721" spans="5:6" ht="12.75">
      <c r="E721" s="1"/>
      <c r="F721" s="1"/>
    </row>
    <row r="722" spans="5:6" ht="12.75">
      <c r="E722" s="1"/>
      <c r="F722" s="1"/>
    </row>
    <row r="723" spans="5:6" ht="12.75">
      <c r="E723" s="1"/>
      <c r="F723" s="1"/>
    </row>
    <row r="724" spans="5:6" ht="12.75">
      <c r="E724" s="1"/>
      <c r="F724" s="1"/>
    </row>
    <row r="725" spans="5:6" ht="12.75">
      <c r="E725" s="1"/>
      <c r="F725" s="1"/>
    </row>
    <row r="726" spans="5:6" ht="12.75">
      <c r="E726" s="1"/>
      <c r="F726" s="1"/>
    </row>
    <row r="727" spans="5:6" ht="12.75">
      <c r="E727" s="1"/>
      <c r="F727" s="1"/>
    </row>
    <row r="728" spans="5:6" ht="12.75">
      <c r="E728" s="1"/>
      <c r="F728" s="1"/>
    </row>
    <row r="729" spans="5:6" ht="12.75">
      <c r="E729" s="1"/>
      <c r="F729" s="1"/>
    </row>
    <row r="730" spans="5:6" ht="12.75">
      <c r="E730" s="1"/>
      <c r="F730" s="1"/>
    </row>
    <row r="731" spans="5:6" ht="12.75">
      <c r="E731" s="1"/>
      <c r="F731" s="1"/>
    </row>
    <row r="732" spans="5:6" ht="12.75">
      <c r="E732" s="1"/>
      <c r="F732" s="1"/>
    </row>
    <row r="733" spans="5:6" ht="12.75">
      <c r="E733" s="1"/>
      <c r="F733" s="1"/>
    </row>
    <row r="734" spans="5:6" ht="12.75">
      <c r="E734" s="1"/>
      <c r="F734" s="1"/>
    </row>
    <row r="735" spans="5:6" ht="12.75">
      <c r="E735" s="1"/>
      <c r="F735" s="1"/>
    </row>
    <row r="736" spans="5:6" ht="12.75">
      <c r="E736" s="1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6" ht="12.75">
      <c r="E740" s="1"/>
      <c r="F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1"/>
      <c r="F744" s="1"/>
    </row>
    <row r="745" spans="5:6" ht="12.75">
      <c r="E745" s="1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51" spans="5:6" ht="12.75">
      <c r="E751" s="1"/>
      <c r="F751" s="1"/>
    </row>
    <row r="752" spans="5:6" ht="12.75">
      <c r="E752" s="1"/>
      <c r="F752" s="1"/>
    </row>
    <row r="753" spans="5:6" ht="12.75">
      <c r="E753" s="1"/>
      <c r="F753" s="1"/>
    </row>
    <row r="754" spans="5:6" ht="12.75">
      <c r="E754" s="1"/>
      <c r="F754" s="1"/>
    </row>
    <row r="755" spans="5:6" ht="12.75">
      <c r="E755" s="1"/>
      <c r="F755" s="1"/>
    </row>
    <row r="756" spans="5:6" ht="12.75">
      <c r="E756" s="1"/>
      <c r="F756" s="1"/>
    </row>
    <row r="757" spans="5:6" ht="12.75">
      <c r="E757" s="1"/>
      <c r="F757" s="1"/>
    </row>
    <row r="758" spans="5:6" ht="12.75">
      <c r="E758" s="1"/>
      <c r="F758" s="1"/>
    </row>
    <row r="759" spans="5:6" ht="12.75">
      <c r="E759" s="1"/>
      <c r="F759" s="1"/>
    </row>
    <row r="760" spans="5:6" ht="12.75">
      <c r="E760" s="1"/>
      <c r="F760" s="1"/>
    </row>
    <row r="761" spans="5:6" ht="12.75">
      <c r="E761" s="1"/>
      <c r="F761" s="1"/>
    </row>
    <row r="762" spans="5:6" ht="12.75">
      <c r="E762" s="1"/>
      <c r="F762" s="1"/>
    </row>
    <row r="763" spans="5:6" ht="12.75">
      <c r="E763" s="1"/>
      <c r="F763" s="1"/>
    </row>
    <row r="764" spans="5:6" ht="12.75">
      <c r="E764" s="1"/>
      <c r="F764" s="1"/>
    </row>
    <row r="765" spans="5:6" ht="12.75">
      <c r="E765" s="1"/>
      <c r="F765" s="1"/>
    </row>
    <row r="766" spans="5:6" ht="12.75">
      <c r="E766" s="1"/>
      <c r="F766" s="1"/>
    </row>
    <row r="767" spans="5:6" ht="12.75">
      <c r="E767" s="1"/>
      <c r="F767" s="1"/>
    </row>
    <row r="768" spans="5:6" ht="12.75">
      <c r="E768" s="1"/>
      <c r="F768" s="1"/>
    </row>
    <row r="769" spans="5:6" ht="12.75">
      <c r="E769" s="1"/>
      <c r="F769" s="1"/>
    </row>
    <row r="770" spans="5:6" ht="12.75">
      <c r="E770" s="1"/>
      <c r="F770" s="1"/>
    </row>
    <row r="771" spans="5:6" ht="12.75">
      <c r="E771" s="1"/>
      <c r="F771" s="1"/>
    </row>
    <row r="772" spans="5:6" ht="12.75">
      <c r="E772" s="1"/>
      <c r="F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5:6" ht="12.75">
      <c r="E778" s="1"/>
      <c r="F778" s="1"/>
    </row>
    <row r="779" spans="5:6" ht="12.75">
      <c r="E779" s="1"/>
      <c r="F779" s="1"/>
    </row>
    <row r="780" spans="5:6" ht="12.75">
      <c r="E780" s="1"/>
      <c r="F780" s="1"/>
    </row>
    <row r="781" spans="5:6" ht="12.75">
      <c r="E781" s="1"/>
      <c r="F781" s="1"/>
    </row>
    <row r="782" spans="5:6" ht="12.75">
      <c r="E782" s="1"/>
      <c r="F782" s="1"/>
    </row>
    <row r="783" spans="5:6" ht="12.75">
      <c r="E783" s="1"/>
      <c r="F783" s="1"/>
    </row>
    <row r="784" spans="5:6" ht="12.75">
      <c r="E784" s="1"/>
      <c r="F784" s="1"/>
    </row>
    <row r="785" spans="5:6" ht="12.75">
      <c r="E785" s="1"/>
      <c r="F785" s="1"/>
    </row>
    <row r="786" spans="5:6" ht="12.75">
      <c r="E786" s="1"/>
      <c r="F786" s="1"/>
    </row>
    <row r="787" spans="5:6" ht="12.75">
      <c r="E787" s="1"/>
      <c r="F787" s="1"/>
    </row>
    <row r="788" spans="5:6" ht="12.75">
      <c r="E788" s="1"/>
      <c r="F788" s="1"/>
    </row>
    <row r="789" spans="5:6" ht="12.75">
      <c r="E789" s="1"/>
      <c r="F789" s="1"/>
    </row>
    <row r="790" spans="5:6" ht="12.75">
      <c r="E790" s="1"/>
      <c r="F790" s="1"/>
    </row>
    <row r="791" spans="5:6" ht="12.75">
      <c r="E791" s="1"/>
      <c r="F791" s="1"/>
    </row>
    <row r="792" spans="5:6" ht="12.75">
      <c r="E792" s="1"/>
      <c r="F792" s="1"/>
    </row>
    <row r="793" spans="5:6" ht="12.75">
      <c r="E793" s="1"/>
      <c r="F793" s="1"/>
    </row>
    <row r="794" spans="5:6" ht="12.75">
      <c r="E794" s="1"/>
      <c r="F794" s="1"/>
    </row>
    <row r="795" spans="5:6" ht="12.75">
      <c r="E795" s="1"/>
      <c r="F795" s="1"/>
    </row>
    <row r="796" spans="5:6" ht="12.75">
      <c r="E796" s="1"/>
      <c r="F796" s="1"/>
    </row>
    <row r="797" spans="5:6" ht="12.75">
      <c r="E797" s="1"/>
      <c r="F797" s="1"/>
    </row>
    <row r="798" spans="5:6" ht="12.75">
      <c r="E798" s="1"/>
      <c r="F798" s="1"/>
    </row>
    <row r="799" spans="5:6" ht="12.75">
      <c r="E799" s="1"/>
      <c r="F799" s="1"/>
    </row>
    <row r="800" spans="5:6" ht="12.75">
      <c r="E800" s="1"/>
      <c r="F800" s="1"/>
    </row>
    <row r="801" spans="5:6" ht="12.75">
      <c r="E801" s="1"/>
      <c r="F801" s="1"/>
    </row>
    <row r="802" spans="5:6" ht="12.75">
      <c r="E802" s="1"/>
      <c r="F802" s="1"/>
    </row>
    <row r="803" spans="5:6" ht="12.75">
      <c r="E803" s="1"/>
      <c r="F803" s="1"/>
    </row>
    <row r="804" spans="5:6" ht="12.75">
      <c r="E804" s="1"/>
      <c r="F804" s="1"/>
    </row>
    <row r="805" spans="5:6" ht="12.75">
      <c r="E805" s="1"/>
      <c r="F805" s="1"/>
    </row>
    <row r="806" spans="5:6" ht="12.75">
      <c r="E806" s="1"/>
      <c r="F806" s="1"/>
    </row>
    <row r="807" spans="5:6" ht="12.75">
      <c r="E807" s="1"/>
      <c r="F807" s="1"/>
    </row>
    <row r="808" spans="5:6" ht="12.75">
      <c r="E808" s="1"/>
      <c r="F808" s="1"/>
    </row>
    <row r="809" spans="5:6" ht="12.75">
      <c r="E809" s="1"/>
      <c r="F809" s="1"/>
    </row>
    <row r="810" spans="5:6" ht="12.75">
      <c r="E810" s="1"/>
      <c r="F810" s="1"/>
    </row>
    <row r="811" spans="5:6" ht="12.75">
      <c r="E811" s="1"/>
      <c r="F811" s="1"/>
    </row>
    <row r="812" spans="5:6" ht="12.75">
      <c r="E812" s="1"/>
      <c r="F812" s="1"/>
    </row>
    <row r="813" spans="5:6" ht="12.75">
      <c r="E813" s="1"/>
      <c r="F813" s="1"/>
    </row>
    <row r="814" spans="5:6" ht="12.75">
      <c r="E814" s="1"/>
      <c r="F814" s="1"/>
    </row>
    <row r="815" spans="5:6" ht="12.75">
      <c r="E815" s="1"/>
      <c r="F815" s="1"/>
    </row>
    <row r="816" spans="5:6" ht="12.75">
      <c r="E816" s="1"/>
      <c r="F816" s="1"/>
    </row>
    <row r="817" spans="5:6" ht="12.75">
      <c r="E817" s="1"/>
      <c r="F817" s="1"/>
    </row>
    <row r="818" spans="5:6" ht="12.75">
      <c r="E818" s="1"/>
      <c r="F818" s="1"/>
    </row>
    <row r="819" spans="5:6" ht="12.75">
      <c r="E819" s="1"/>
      <c r="F819" s="1"/>
    </row>
    <row r="820" spans="5:6" ht="12.75">
      <c r="E820" s="1"/>
      <c r="F820" s="1"/>
    </row>
    <row r="821" spans="5:6" ht="12.75">
      <c r="E821" s="1"/>
      <c r="F821" s="1"/>
    </row>
    <row r="822" spans="5:6" ht="12.75">
      <c r="E822" s="1"/>
      <c r="F822" s="1"/>
    </row>
    <row r="823" spans="5:6" ht="12.75">
      <c r="E823" s="1"/>
      <c r="F823" s="1"/>
    </row>
    <row r="824" spans="5:6" ht="12.75">
      <c r="E824" s="1"/>
      <c r="F824" s="1"/>
    </row>
    <row r="825" spans="5:6" ht="12.75">
      <c r="E825" s="1"/>
      <c r="F825" s="1"/>
    </row>
    <row r="826" spans="5:6" ht="12.75">
      <c r="E826" s="1"/>
      <c r="F826" s="1"/>
    </row>
    <row r="827" spans="5:6" ht="12.75">
      <c r="E827" s="1"/>
      <c r="F827" s="1"/>
    </row>
    <row r="828" spans="5:6" ht="12.75">
      <c r="E828" s="1"/>
      <c r="F828" s="1"/>
    </row>
    <row r="829" spans="5:6" ht="12.75">
      <c r="E829" s="1"/>
      <c r="F829" s="1"/>
    </row>
    <row r="830" spans="5:6" ht="12.75">
      <c r="E830" s="1"/>
      <c r="F830" s="1"/>
    </row>
    <row r="831" spans="5:6" ht="12.75">
      <c r="E831" s="1"/>
      <c r="F831" s="1"/>
    </row>
    <row r="832" spans="5:6" ht="12.75">
      <c r="E832" s="1"/>
      <c r="F832" s="1"/>
    </row>
    <row r="833" spans="5:6" ht="12.75">
      <c r="E833" s="1"/>
      <c r="F833" s="1"/>
    </row>
    <row r="834" spans="5:6" ht="12.75">
      <c r="E834" s="1"/>
      <c r="F834" s="1"/>
    </row>
    <row r="835" spans="5:6" ht="12.75">
      <c r="E835" s="1"/>
      <c r="F835" s="1"/>
    </row>
    <row r="836" spans="5:6" ht="12.75">
      <c r="E836" s="1"/>
      <c r="F836" s="1"/>
    </row>
    <row r="837" spans="5:6" ht="12.75">
      <c r="E837" s="1"/>
      <c r="F837" s="1"/>
    </row>
    <row r="838" spans="5:6" ht="12.75">
      <c r="E838" s="1"/>
      <c r="F838" s="1"/>
    </row>
    <row r="839" spans="5:6" ht="12.75">
      <c r="E839" s="1"/>
      <c r="F839" s="1"/>
    </row>
    <row r="840" spans="5:6" ht="12.75">
      <c r="E840" s="1"/>
      <c r="F840" s="1"/>
    </row>
    <row r="841" spans="5:6" ht="12.75">
      <c r="E841" s="1"/>
      <c r="F841" s="1"/>
    </row>
    <row r="842" spans="5:6" ht="12.75">
      <c r="E842" s="1"/>
      <c r="F842" s="1"/>
    </row>
    <row r="843" spans="5:6" ht="12.75">
      <c r="E843" s="1"/>
      <c r="F843" s="1"/>
    </row>
    <row r="844" spans="5:6" ht="12.75">
      <c r="E844" s="1"/>
      <c r="F844" s="1"/>
    </row>
    <row r="845" spans="5:6" ht="12.75">
      <c r="E845" s="1"/>
      <c r="F845" s="1"/>
    </row>
    <row r="846" spans="5:6" ht="12.75">
      <c r="E846" s="1"/>
      <c r="F846" s="1"/>
    </row>
    <row r="847" spans="5:6" ht="12.75">
      <c r="E847" s="1"/>
      <c r="F847" s="1"/>
    </row>
    <row r="848" spans="5:6" ht="12.75">
      <c r="E848" s="1"/>
      <c r="F848" s="1"/>
    </row>
    <row r="849" spans="5:6" ht="12.75">
      <c r="E849" s="1"/>
      <c r="F849" s="1"/>
    </row>
    <row r="850" spans="5:6" ht="12.75">
      <c r="E850" s="1"/>
      <c r="F850" s="1"/>
    </row>
    <row r="851" spans="5:6" ht="12.75">
      <c r="E851" s="1"/>
      <c r="F851" s="1"/>
    </row>
    <row r="852" spans="5:6" ht="12.75">
      <c r="E852" s="1"/>
      <c r="F852" s="1"/>
    </row>
    <row r="853" spans="5:6" ht="12.75">
      <c r="E853" s="1"/>
      <c r="F853" s="1"/>
    </row>
    <row r="854" spans="5:6" ht="12.75">
      <c r="E854" s="1"/>
      <c r="F854" s="1"/>
    </row>
    <row r="855" spans="5:6" ht="12.75">
      <c r="E855" s="1"/>
      <c r="F855" s="1"/>
    </row>
    <row r="856" spans="5:6" ht="12.75">
      <c r="E856" s="1"/>
      <c r="F856" s="1"/>
    </row>
    <row r="857" spans="5:6" ht="12.75">
      <c r="E857" s="1"/>
      <c r="F857" s="1"/>
    </row>
    <row r="858" spans="5:6" ht="12.75">
      <c r="E858" s="1"/>
      <c r="F858" s="1"/>
    </row>
    <row r="859" spans="5:6" ht="12.75">
      <c r="E859" s="1"/>
      <c r="F859" s="1"/>
    </row>
    <row r="860" spans="5:6" ht="12.75">
      <c r="E860" s="1"/>
      <c r="F860" s="1"/>
    </row>
    <row r="861" spans="5:6" ht="12.75">
      <c r="E861" s="1"/>
      <c r="F861" s="1"/>
    </row>
    <row r="862" spans="5:6" ht="12.75">
      <c r="E862" s="1"/>
      <c r="F862" s="1"/>
    </row>
    <row r="863" spans="5:6" ht="12.75">
      <c r="E863" s="1"/>
      <c r="F863" s="1"/>
    </row>
    <row r="864" spans="5:6" ht="12.75">
      <c r="E864" s="1"/>
      <c r="F864" s="1"/>
    </row>
    <row r="865" spans="5:6" ht="12.75">
      <c r="E865" s="1"/>
      <c r="F865" s="1"/>
    </row>
    <row r="866" spans="5:6" ht="12.75">
      <c r="E866" s="1"/>
      <c r="F866" s="1"/>
    </row>
    <row r="867" spans="5:6" ht="12.75">
      <c r="E867" s="1"/>
      <c r="F867" s="1"/>
    </row>
    <row r="868" spans="5:6" ht="12.75">
      <c r="E868" s="1"/>
      <c r="F868" s="1"/>
    </row>
    <row r="869" spans="5:6" ht="12.75">
      <c r="E869" s="1"/>
      <c r="F869" s="1"/>
    </row>
    <row r="870" spans="5:6" ht="12.75">
      <c r="E870" s="1"/>
      <c r="F870" s="1"/>
    </row>
    <row r="871" spans="5:6" ht="12.75">
      <c r="E871" s="1"/>
      <c r="F871" s="1"/>
    </row>
    <row r="872" spans="5:6" ht="12.75">
      <c r="E872" s="1"/>
      <c r="F872" s="1"/>
    </row>
    <row r="873" spans="5:6" ht="12.75">
      <c r="E873" s="1"/>
      <c r="F873" s="1"/>
    </row>
    <row r="874" spans="5:6" ht="12.75">
      <c r="E874" s="1"/>
      <c r="F874" s="1"/>
    </row>
    <row r="875" spans="5:6" ht="12.75">
      <c r="E875" s="1"/>
      <c r="F875" s="1"/>
    </row>
    <row r="876" spans="5:6" ht="12.75">
      <c r="E876" s="1"/>
      <c r="F876" s="1"/>
    </row>
    <row r="877" spans="5:6" ht="12.75">
      <c r="E877" s="1"/>
      <c r="F877" s="1"/>
    </row>
    <row r="878" spans="5:6" ht="12.75">
      <c r="E878" s="1"/>
      <c r="F878" s="1"/>
    </row>
    <row r="879" spans="5:6" ht="12.75">
      <c r="E879" s="1"/>
      <c r="F879" s="1"/>
    </row>
    <row r="880" spans="5:6" ht="12.75">
      <c r="E880" s="1"/>
      <c r="F880" s="1"/>
    </row>
    <row r="881" spans="5:6" ht="12.75">
      <c r="E881" s="1"/>
      <c r="F881" s="1"/>
    </row>
    <row r="882" spans="5:6" ht="12.75">
      <c r="E882" s="1"/>
      <c r="F882" s="1"/>
    </row>
    <row r="883" spans="5:6" ht="12.75">
      <c r="E883" s="1"/>
      <c r="F883" s="1"/>
    </row>
    <row r="884" spans="5:6" ht="12.75">
      <c r="E884" s="1"/>
      <c r="F884" s="1"/>
    </row>
    <row r="885" spans="5:6" ht="12.75">
      <c r="E885" s="1"/>
      <c r="F885" s="1"/>
    </row>
    <row r="886" spans="5:6" ht="12.75">
      <c r="E886" s="1"/>
      <c r="F886" s="1"/>
    </row>
    <row r="887" spans="5:6" ht="12.75">
      <c r="E887" s="1"/>
      <c r="F887" s="1"/>
    </row>
    <row r="888" spans="5:6" ht="12.75">
      <c r="E888" s="1"/>
      <c r="F888" s="1"/>
    </row>
    <row r="889" spans="5:6" ht="12.75">
      <c r="E889" s="1"/>
      <c r="F889" s="1"/>
    </row>
    <row r="890" spans="5:6" ht="12.75">
      <c r="E890" s="1"/>
      <c r="F890" s="1"/>
    </row>
    <row r="891" spans="5:6" ht="12.75">
      <c r="E891" s="1"/>
      <c r="F891" s="1"/>
    </row>
    <row r="892" spans="5:6" ht="12.75">
      <c r="E892" s="1"/>
      <c r="F892" s="1"/>
    </row>
    <row r="893" spans="5:6" ht="12.75">
      <c r="E893" s="1"/>
      <c r="F893" s="1"/>
    </row>
    <row r="894" spans="5:6" ht="12.75">
      <c r="E894" s="1"/>
      <c r="F894" s="1"/>
    </row>
    <row r="895" spans="5:6" ht="12.75">
      <c r="E895" s="1"/>
      <c r="F895" s="1"/>
    </row>
    <row r="896" spans="5:6" ht="12.75">
      <c r="E896" s="1"/>
      <c r="F896" s="1"/>
    </row>
    <row r="897" spans="5:6" ht="12.75">
      <c r="E897" s="1"/>
      <c r="F897" s="1"/>
    </row>
    <row r="898" spans="5:6" ht="12.75">
      <c r="E898" s="1"/>
      <c r="F898" s="1"/>
    </row>
    <row r="899" spans="5:6" ht="12.75">
      <c r="E899" s="1"/>
      <c r="F899" s="1"/>
    </row>
    <row r="900" spans="5:6" ht="12.75">
      <c r="E900" s="1"/>
      <c r="F900" s="1"/>
    </row>
    <row r="901" spans="5:6" ht="12.75">
      <c r="E901" s="1"/>
      <c r="F901" s="1"/>
    </row>
    <row r="902" spans="5:6" ht="12.75">
      <c r="E902" s="1"/>
      <c r="F902" s="1"/>
    </row>
    <row r="903" spans="5:6" ht="12.75">
      <c r="E903" s="1"/>
      <c r="F903" s="1"/>
    </row>
    <row r="904" spans="5:6" ht="12.75">
      <c r="E904" s="1"/>
      <c r="F904" s="1"/>
    </row>
    <row r="905" spans="5:6" ht="12.75">
      <c r="E905" s="1"/>
      <c r="F905" s="1"/>
    </row>
    <row r="906" spans="5:6" ht="12.75">
      <c r="E906" s="1"/>
      <c r="F906" s="1"/>
    </row>
    <row r="907" spans="5:6" ht="12.75">
      <c r="E907" s="1"/>
      <c r="F907" s="1"/>
    </row>
    <row r="908" spans="5:6" ht="12.75">
      <c r="E908" s="1"/>
      <c r="F908" s="1"/>
    </row>
    <row r="909" spans="5:6" ht="12.75">
      <c r="E909" s="1"/>
      <c r="F909" s="1"/>
    </row>
    <row r="910" spans="5:6" ht="12.75">
      <c r="E910" s="1"/>
      <c r="F910" s="1"/>
    </row>
    <row r="911" spans="5:6" ht="12.75">
      <c r="E911" s="1"/>
      <c r="F911" s="1"/>
    </row>
    <row r="912" spans="5:6" ht="12.75">
      <c r="E912" s="1"/>
      <c r="F912" s="1"/>
    </row>
    <row r="913" spans="5:6" ht="12.75">
      <c r="E913" s="1"/>
      <c r="F913" s="1"/>
    </row>
    <row r="914" spans="5:6" ht="12.75">
      <c r="E914" s="1"/>
      <c r="F914" s="1"/>
    </row>
    <row r="915" spans="5:6" ht="12.75">
      <c r="E915" s="1"/>
      <c r="F915" s="1"/>
    </row>
    <row r="916" spans="5:6" ht="12.75">
      <c r="E916" s="1"/>
      <c r="F916" s="1"/>
    </row>
    <row r="917" spans="5:6" ht="12.75">
      <c r="E917" s="1"/>
      <c r="F917" s="1"/>
    </row>
    <row r="918" spans="5:6" ht="12.75">
      <c r="E918" s="1"/>
      <c r="F918" s="1"/>
    </row>
    <row r="919" spans="5:6" ht="12.75">
      <c r="E919" s="1"/>
      <c r="F919" s="1"/>
    </row>
    <row r="920" spans="5:6" ht="12.75">
      <c r="E920" s="1"/>
      <c r="F920" s="1"/>
    </row>
    <row r="921" spans="5:6" ht="12.75">
      <c r="E921" s="1"/>
      <c r="F921" s="1"/>
    </row>
    <row r="922" spans="5:6" ht="12.75">
      <c r="E922" s="1"/>
      <c r="F922" s="1"/>
    </row>
    <row r="923" spans="5:6" ht="12.75">
      <c r="E923" s="1"/>
      <c r="F923" s="1"/>
    </row>
    <row r="924" spans="5:6" ht="12.75">
      <c r="E924" s="1"/>
      <c r="F924" s="1"/>
    </row>
    <row r="925" spans="5:6" ht="12.75">
      <c r="E925" s="1"/>
      <c r="F925" s="1"/>
    </row>
    <row r="926" spans="5:6" ht="12.75">
      <c r="E926" s="1"/>
      <c r="F926" s="1"/>
    </row>
    <row r="927" spans="5:6" ht="12.75">
      <c r="E927" s="1"/>
      <c r="F927" s="1"/>
    </row>
    <row r="928" spans="5:6" ht="12.75">
      <c r="E928" s="1"/>
      <c r="F928" s="1"/>
    </row>
    <row r="929" spans="5:6" ht="12.75">
      <c r="E929" s="1"/>
      <c r="F929" s="1"/>
    </row>
    <row r="930" spans="5:6" ht="12.75">
      <c r="E930" s="1"/>
      <c r="F930" s="1"/>
    </row>
    <row r="931" spans="5:6" ht="12.75">
      <c r="E931" s="1"/>
      <c r="F931" s="1"/>
    </row>
    <row r="932" spans="5:6" ht="12.75">
      <c r="E932" s="1"/>
      <c r="F932" s="1"/>
    </row>
    <row r="933" spans="5:6" ht="12.75">
      <c r="E933" s="1"/>
      <c r="F933" s="1"/>
    </row>
    <row r="934" spans="5:6" ht="12.75">
      <c r="E934" s="1"/>
      <c r="F934" s="1"/>
    </row>
    <row r="935" spans="5:6" ht="12.75">
      <c r="E935" s="1"/>
      <c r="F935" s="1"/>
    </row>
    <row r="936" spans="5:6" ht="12.75">
      <c r="E936" s="1"/>
      <c r="F936" s="1"/>
    </row>
    <row r="937" spans="5:6" ht="12.75">
      <c r="E937" s="1"/>
      <c r="F937" s="1"/>
    </row>
    <row r="938" spans="5:6" ht="12.75">
      <c r="E938" s="1"/>
      <c r="F938" s="1"/>
    </row>
    <row r="939" spans="5:6" ht="12.75">
      <c r="E939" s="1"/>
      <c r="F939" s="1"/>
    </row>
    <row r="940" spans="5:6" ht="12.75">
      <c r="E940" s="1"/>
      <c r="F940" s="1"/>
    </row>
    <row r="941" spans="5:6" ht="12.75">
      <c r="E941" s="1"/>
      <c r="F941" s="1"/>
    </row>
    <row r="942" spans="5:6" ht="12.75">
      <c r="E942" s="1"/>
      <c r="F942" s="1"/>
    </row>
    <row r="943" spans="5:6" ht="12.75">
      <c r="E943" s="1"/>
      <c r="F943" s="1"/>
    </row>
    <row r="944" spans="5:6" ht="12.75">
      <c r="E944" s="1"/>
      <c r="F944" s="1"/>
    </row>
    <row r="945" spans="5:6" ht="12.75">
      <c r="E945" s="1"/>
      <c r="F945" s="1"/>
    </row>
    <row r="946" spans="5:6" ht="12.75">
      <c r="E946" s="1"/>
      <c r="F946" s="1"/>
    </row>
    <row r="947" spans="5:6" ht="12.75">
      <c r="E947" s="1"/>
      <c r="F947" s="1"/>
    </row>
    <row r="948" spans="5:6" ht="12.75">
      <c r="E948" s="1"/>
      <c r="F948" s="1"/>
    </row>
    <row r="949" spans="5:6" ht="12.75">
      <c r="E949" s="1"/>
      <c r="F949" s="1"/>
    </row>
    <row r="950" spans="5:6" ht="12.75">
      <c r="E950" s="1"/>
      <c r="F950" s="1"/>
    </row>
    <row r="951" spans="5:6" ht="12.75">
      <c r="E951" s="1"/>
      <c r="F951" s="1"/>
    </row>
    <row r="952" spans="5:6" ht="12.75">
      <c r="E952" s="1"/>
      <c r="F952" s="1"/>
    </row>
    <row r="953" spans="5:6" ht="12.75">
      <c r="E953" s="1"/>
      <c r="F953" s="1"/>
    </row>
    <row r="954" spans="5:6" ht="12.75">
      <c r="E954" s="1"/>
      <c r="F954" s="1"/>
    </row>
    <row r="955" spans="5:6" ht="12.75">
      <c r="E955" s="1"/>
      <c r="F955" s="1"/>
    </row>
    <row r="956" spans="5:6" ht="12.75">
      <c r="E956" s="1"/>
      <c r="F956" s="1"/>
    </row>
    <row r="957" spans="5:6" ht="12.75">
      <c r="E957" s="1"/>
      <c r="F957" s="1"/>
    </row>
    <row r="958" spans="5:6" ht="12.75">
      <c r="E958" s="1"/>
      <c r="F958" s="1"/>
    </row>
    <row r="959" spans="5:6" ht="12.75">
      <c r="E959" s="1"/>
      <c r="F959" s="1"/>
    </row>
    <row r="960" spans="5:6" ht="12.75">
      <c r="E960" s="1"/>
      <c r="F960" s="1"/>
    </row>
    <row r="961" spans="5:6" ht="12.75">
      <c r="E961" s="1"/>
      <c r="F961" s="1"/>
    </row>
    <row r="962" spans="5:6" ht="12.75">
      <c r="E962" s="1"/>
      <c r="F962" s="1"/>
    </row>
    <row r="963" spans="5:6" ht="12.75">
      <c r="E963" s="1"/>
      <c r="F963" s="1"/>
    </row>
    <row r="964" spans="5:6" ht="12.75">
      <c r="E964" s="1"/>
      <c r="F964" s="1"/>
    </row>
    <row r="965" spans="5:6" ht="12.75">
      <c r="E965" s="1"/>
      <c r="F965" s="1"/>
    </row>
    <row r="966" spans="5:6" ht="12.75">
      <c r="E966" s="1"/>
      <c r="F966" s="1"/>
    </row>
    <row r="967" spans="5:6" ht="12.75">
      <c r="E967" s="1"/>
      <c r="F967" s="1"/>
    </row>
    <row r="968" spans="5:6" ht="12.75">
      <c r="E968" s="1"/>
      <c r="F968" s="1"/>
    </row>
    <row r="969" spans="5:6" ht="12.75">
      <c r="E969" s="1"/>
      <c r="F969" s="1"/>
    </row>
    <row r="970" spans="5:6" ht="12.75">
      <c r="E970" s="1"/>
      <c r="F970" s="1"/>
    </row>
    <row r="971" spans="5:6" ht="12.75">
      <c r="E971" s="1"/>
      <c r="F971" s="1"/>
    </row>
    <row r="972" spans="5:6" ht="12.75">
      <c r="E972" s="1"/>
      <c r="F972" s="1"/>
    </row>
    <row r="973" spans="5:6" ht="12.75">
      <c r="E973" s="1"/>
      <c r="F973" s="1"/>
    </row>
    <row r="974" spans="5:6" ht="12.75">
      <c r="E974" s="1"/>
      <c r="F974" s="1"/>
    </row>
    <row r="975" spans="5:6" ht="12.75">
      <c r="E975" s="1"/>
      <c r="F975" s="1"/>
    </row>
    <row r="976" spans="5:6" ht="12.75">
      <c r="E976" s="1"/>
      <c r="F976" s="1"/>
    </row>
    <row r="977" spans="5:6" ht="12.75">
      <c r="E977" s="1"/>
      <c r="F977" s="1"/>
    </row>
    <row r="978" spans="5:6" ht="12.75">
      <c r="E978" s="1"/>
      <c r="F978" s="1"/>
    </row>
    <row r="979" spans="5:6" ht="12.75">
      <c r="E979" s="1"/>
      <c r="F979" s="1"/>
    </row>
    <row r="980" spans="5:6" ht="12.75">
      <c r="E980" s="1"/>
      <c r="F980" s="1"/>
    </row>
    <row r="981" spans="5:6" ht="12.75">
      <c r="E981" s="1"/>
      <c r="F981" s="1"/>
    </row>
    <row r="982" spans="5:6" ht="12.75">
      <c r="E982" s="1"/>
      <c r="F982" s="1"/>
    </row>
    <row r="983" spans="5:6" ht="12.75">
      <c r="E983" s="1"/>
      <c r="F983" s="1"/>
    </row>
    <row r="984" spans="5:6" ht="12.75">
      <c r="E984" s="1"/>
      <c r="F984" s="1"/>
    </row>
    <row r="985" spans="5:6" ht="12.75">
      <c r="E985" s="1"/>
      <c r="F985" s="1"/>
    </row>
    <row r="986" spans="5:6" ht="12.75">
      <c r="E986" s="1"/>
      <c r="F986" s="1"/>
    </row>
    <row r="987" spans="5:6" ht="12.75">
      <c r="E987" s="1"/>
      <c r="F987" s="1"/>
    </row>
    <row r="988" spans="5:6" ht="12.75">
      <c r="E988" s="1"/>
      <c r="F988" s="1"/>
    </row>
    <row r="989" spans="5:6" ht="12.75">
      <c r="E989" s="1"/>
      <c r="F989" s="1"/>
    </row>
    <row r="990" spans="5:6" ht="12.75">
      <c r="E990" s="1"/>
      <c r="F990" s="1"/>
    </row>
    <row r="991" spans="5:6" ht="12.75">
      <c r="E991" s="1"/>
      <c r="F991" s="1"/>
    </row>
    <row r="992" spans="5:6" ht="12.75">
      <c r="E992" s="1"/>
      <c r="F992" s="1"/>
    </row>
    <row r="993" spans="5:6" ht="12.75">
      <c r="E993" s="1"/>
      <c r="F993" s="1"/>
    </row>
    <row r="994" spans="5:6" ht="12.75">
      <c r="E994" s="1"/>
      <c r="F994" s="1"/>
    </row>
    <row r="995" spans="5:6" ht="12.75">
      <c r="E995" s="1"/>
      <c r="F995" s="1"/>
    </row>
    <row r="996" spans="5:6" ht="12.75">
      <c r="E996" s="1"/>
      <c r="F996" s="1"/>
    </row>
    <row r="997" spans="5:6" ht="12.75">
      <c r="E997" s="1"/>
      <c r="F997" s="1"/>
    </row>
    <row r="998" spans="5:6" ht="12.75">
      <c r="E998" s="1"/>
      <c r="F998" s="1"/>
    </row>
    <row r="999" spans="5:6" ht="12.75">
      <c r="E999" s="1"/>
      <c r="F999" s="1"/>
    </row>
    <row r="1000" spans="5:6" ht="12.75">
      <c r="E1000" s="1"/>
      <c r="F1000" s="1"/>
    </row>
    <row r="1001" spans="5:6" ht="12.75">
      <c r="E1001" s="1"/>
      <c r="F1001" s="1"/>
    </row>
    <row r="1002" spans="5:6" ht="12.75">
      <c r="E1002" s="1"/>
      <c r="F1002" s="1"/>
    </row>
    <row r="1003" spans="5:6" ht="12.75">
      <c r="E1003" s="1"/>
      <c r="F1003" s="1"/>
    </row>
    <row r="1004" spans="5:6" ht="12.75">
      <c r="E1004" s="1"/>
      <c r="F1004" s="1"/>
    </row>
    <row r="1005" spans="5:6" ht="12.75">
      <c r="E1005" s="1"/>
      <c r="F1005" s="1"/>
    </row>
    <row r="1006" spans="5:6" ht="12.75">
      <c r="E1006" s="1"/>
      <c r="F1006" s="1"/>
    </row>
    <row r="1007" spans="5:6" ht="12.75">
      <c r="E1007" s="1"/>
      <c r="F1007" s="1"/>
    </row>
    <row r="1008" spans="5:6" ht="12.75">
      <c r="E1008" s="1"/>
      <c r="F1008" s="1"/>
    </row>
    <row r="1009" spans="5:6" ht="12.75">
      <c r="E1009" s="1"/>
      <c r="F1009" s="1"/>
    </row>
    <row r="1010" spans="5:6" ht="12.75">
      <c r="E1010" s="1"/>
      <c r="F1010" s="1"/>
    </row>
    <row r="1011" spans="5:6" ht="12.75">
      <c r="E1011" s="1"/>
      <c r="F1011" s="1"/>
    </row>
    <row r="1012" spans="5:6" ht="12.75">
      <c r="E1012" s="1"/>
      <c r="F1012" s="1"/>
    </row>
    <row r="1013" spans="5:6" ht="12.75">
      <c r="E1013" s="1"/>
      <c r="F1013" s="1"/>
    </row>
    <row r="1014" spans="5:6" ht="12.75">
      <c r="E1014" s="1"/>
      <c r="F1014" s="1"/>
    </row>
    <row r="1015" spans="5:6" ht="12.75">
      <c r="E1015" s="1"/>
      <c r="F1015" s="1"/>
    </row>
    <row r="1016" spans="5:6" ht="12.75">
      <c r="E1016" s="1"/>
      <c r="F1016" s="1"/>
    </row>
    <row r="1017" spans="5:6" ht="12.75">
      <c r="E1017" s="1"/>
      <c r="F1017" s="1"/>
    </row>
    <row r="1018" spans="5:6" ht="12.75">
      <c r="E1018" s="1"/>
      <c r="F1018" s="1"/>
    </row>
    <row r="1019" spans="5:6" ht="12.75">
      <c r="E1019" s="1"/>
      <c r="F1019" s="1"/>
    </row>
    <row r="1020" spans="5:6" ht="12.75">
      <c r="E1020" s="1"/>
      <c r="F1020" s="1"/>
    </row>
    <row r="1021" spans="5:6" ht="12.75">
      <c r="E1021" s="1"/>
      <c r="F1021" s="1"/>
    </row>
    <row r="1022" spans="5:6" ht="12.75">
      <c r="E1022" s="1"/>
      <c r="F1022" s="1"/>
    </row>
    <row r="1023" spans="5:6" ht="12.75">
      <c r="E1023" s="1"/>
      <c r="F1023" s="1"/>
    </row>
    <row r="1024" spans="5:6" ht="12.75">
      <c r="E1024" s="1"/>
      <c r="F1024" s="1"/>
    </row>
    <row r="1025" spans="5:6" ht="12.75">
      <c r="E1025" s="1"/>
      <c r="F1025" s="1"/>
    </row>
    <row r="1026" spans="5:6" ht="12.75">
      <c r="E1026" s="1"/>
      <c r="F1026" s="1"/>
    </row>
    <row r="1027" spans="5:6" ht="12.75">
      <c r="E1027" s="1"/>
      <c r="F1027" s="1"/>
    </row>
    <row r="1028" spans="5:6" ht="12.75">
      <c r="E1028" s="1"/>
      <c r="F1028" s="1"/>
    </row>
    <row r="1029" spans="5:6" ht="12.75">
      <c r="E1029" s="1"/>
      <c r="F1029" s="1"/>
    </row>
    <row r="1030" spans="5:6" ht="12.75">
      <c r="E1030" s="1"/>
      <c r="F1030" s="1"/>
    </row>
    <row r="1031" spans="5:6" ht="12.75">
      <c r="E1031" s="1"/>
      <c r="F1031" s="1"/>
    </row>
    <row r="1032" spans="5:6" ht="12.75">
      <c r="E1032" s="1"/>
      <c r="F1032" s="1"/>
    </row>
    <row r="1033" spans="5:6" ht="12.75">
      <c r="E1033" s="1"/>
      <c r="F1033" s="1"/>
    </row>
    <row r="1034" spans="5:6" ht="12.75">
      <c r="E1034" s="1"/>
      <c r="F1034" s="1"/>
    </row>
    <row r="1035" spans="5:6" ht="12.75">
      <c r="E1035" s="1"/>
      <c r="F1035" s="1"/>
    </row>
    <row r="1036" spans="5:6" ht="12.75">
      <c r="E1036" s="1"/>
      <c r="F1036" s="1"/>
    </row>
    <row r="1037" spans="5:6" ht="12.75">
      <c r="E1037" s="1"/>
      <c r="F1037" s="1"/>
    </row>
    <row r="1038" spans="5:6" ht="12.75">
      <c r="E1038" s="1"/>
      <c r="F1038" s="1"/>
    </row>
    <row r="1039" spans="5:6" ht="12.75">
      <c r="E1039" s="1"/>
      <c r="F1039" s="1"/>
    </row>
    <row r="1040" spans="5:6" ht="12.75">
      <c r="E1040" s="1"/>
      <c r="F1040" s="1"/>
    </row>
    <row r="1041" spans="5:6" ht="12.75">
      <c r="E1041" s="1"/>
      <c r="F1041" s="1"/>
    </row>
    <row r="1042" spans="5:6" ht="12.75">
      <c r="E1042" s="1"/>
      <c r="F1042" s="1"/>
    </row>
    <row r="1043" spans="5:6" ht="12.75">
      <c r="E1043" s="1"/>
      <c r="F1043" s="1"/>
    </row>
    <row r="1044" spans="5:6" ht="12.75">
      <c r="E1044" s="1"/>
      <c r="F1044" s="1"/>
    </row>
    <row r="1045" spans="5:6" ht="12.75">
      <c r="E1045" s="1"/>
      <c r="F1045" s="1"/>
    </row>
    <row r="1046" spans="5:6" ht="12.75">
      <c r="E1046" s="1"/>
      <c r="F1046" s="1"/>
    </row>
    <row r="1047" spans="5:6" ht="12.75">
      <c r="E1047" s="1"/>
      <c r="F1047" s="1"/>
    </row>
    <row r="1048" spans="5:6" ht="12.75">
      <c r="E1048" s="1"/>
      <c r="F1048" s="1"/>
    </row>
    <row r="1049" spans="5:6" ht="12.75">
      <c r="E1049" s="1"/>
      <c r="F1049" s="1"/>
    </row>
    <row r="1050" spans="5:6" ht="12.75">
      <c r="E1050" s="1"/>
      <c r="F1050" s="1"/>
    </row>
    <row r="1051" spans="5:6" ht="12.75">
      <c r="E1051" s="1"/>
      <c r="F1051" s="1"/>
    </row>
    <row r="1052" spans="5:6" ht="12.75">
      <c r="E1052" s="1"/>
      <c r="F1052" s="1"/>
    </row>
    <row r="1053" spans="5:6" ht="12.75">
      <c r="E1053" s="1"/>
      <c r="F1053" s="1"/>
    </row>
    <row r="1054" spans="5:6" ht="12.75">
      <c r="E1054" s="1"/>
      <c r="F1054" s="1"/>
    </row>
    <row r="1055" spans="5:6" ht="12.75">
      <c r="E1055" s="1"/>
      <c r="F1055" s="1"/>
    </row>
    <row r="1056" spans="5:6" ht="12.75">
      <c r="E1056" s="1"/>
      <c r="F1056" s="1"/>
    </row>
    <row r="1057" spans="5:6" ht="12.75">
      <c r="E1057" s="1"/>
      <c r="F1057" s="1"/>
    </row>
    <row r="1058" spans="5:6" ht="12.75">
      <c r="E1058" s="1"/>
      <c r="F1058" s="1"/>
    </row>
    <row r="1059" spans="5:6" ht="12.75">
      <c r="E1059" s="1"/>
      <c r="F1059" s="1"/>
    </row>
    <row r="1060" spans="5:6" ht="12.75">
      <c r="E1060" s="1"/>
      <c r="F1060" s="1"/>
    </row>
    <row r="1061" spans="5:6" ht="12.75">
      <c r="E1061" s="1"/>
      <c r="F1061" s="1"/>
    </row>
    <row r="1062" spans="5:6" ht="12.75">
      <c r="E1062" s="1"/>
      <c r="F1062" s="1"/>
    </row>
    <row r="1063" spans="5:6" ht="12.75">
      <c r="E1063" s="1"/>
      <c r="F1063" s="1"/>
    </row>
    <row r="1064" spans="5:6" ht="12.75">
      <c r="E1064" s="1"/>
      <c r="F1064" s="1"/>
    </row>
    <row r="1065" spans="5:6" ht="12.75">
      <c r="E1065" s="1"/>
      <c r="F1065" s="1"/>
    </row>
    <row r="1066" spans="5:6" ht="12.75">
      <c r="E1066" s="1"/>
      <c r="F1066" s="1"/>
    </row>
    <row r="1067" spans="5:6" ht="12.75">
      <c r="E1067" s="1"/>
      <c r="F1067" s="1"/>
    </row>
    <row r="1068" spans="5:6" ht="12.75">
      <c r="E1068" s="1"/>
      <c r="F1068" s="1"/>
    </row>
    <row r="1069" spans="5:6" ht="12.75">
      <c r="E1069" s="1"/>
      <c r="F1069" s="1"/>
    </row>
    <row r="1070" spans="5:6" ht="12.75">
      <c r="E1070" s="1"/>
      <c r="F1070" s="1"/>
    </row>
    <row r="1071" spans="5:6" ht="12.75">
      <c r="E1071" s="1"/>
      <c r="F1071" s="1"/>
    </row>
    <row r="1072" spans="5:6" ht="12.75">
      <c r="E1072" s="1"/>
      <c r="F1072" s="1"/>
    </row>
    <row r="1073" spans="5:6" ht="12.75">
      <c r="E1073" s="1"/>
      <c r="F1073" s="1"/>
    </row>
    <row r="1074" spans="5:6" ht="12.75">
      <c r="E1074" s="1"/>
      <c r="F1074" s="1"/>
    </row>
    <row r="1075" spans="5:6" ht="12.75">
      <c r="E1075" s="1"/>
      <c r="F1075" s="1"/>
    </row>
    <row r="1076" spans="5:6" ht="12.75">
      <c r="E1076" s="1"/>
      <c r="F1076" s="1"/>
    </row>
    <row r="1077" spans="5:6" ht="12.75">
      <c r="E1077" s="1"/>
      <c r="F1077" s="1"/>
    </row>
    <row r="1078" spans="5:6" ht="12.75">
      <c r="E1078" s="1"/>
      <c r="F1078" s="1"/>
    </row>
    <row r="1079" spans="5:6" ht="12.75">
      <c r="E1079" s="1"/>
      <c r="F1079" s="1"/>
    </row>
    <row r="1080" spans="5:6" ht="12.75">
      <c r="E1080" s="1"/>
      <c r="F1080" s="1"/>
    </row>
    <row r="1081" spans="5:6" ht="12.75">
      <c r="E1081" s="1"/>
      <c r="F1081" s="1"/>
    </row>
    <row r="1082" spans="5:6" ht="12.75">
      <c r="E1082" s="1"/>
      <c r="F1082" s="1"/>
    </row>
    <row r="1083" spans="5:6" ht="12.75">
      <c r="E1083" s="1"/>
      <c r="F1083" s="1"/>
    </row>
    <row r="1084" spans="5:6" ht="12.75">
      <c r="E1084" s="1"/>
      <c r="F1084" s="1"/>
    </row>
    <row r="1085" spans="5:6" ht="12.75">
      <c r="E1085" s="1"/>
      <c r="F1085" s="1"/>
    </row>
    <row r="1086" spans="5:6" ht="12.75">
      <c r="E1086" s="1"/>
      <c r="F1086" s="1"/>
    </row>
    <row r="1087" spans="5:6" ht="12.75">
      <c r="E1087" s="1"/>
      <c r="F1087" s="1"/>
    </row>
    <row r="1088" spans="5:6" ht="12.75">
      <c r="E1088" s="1"/>
      <c r="F1088" s="1"/>
    </row>
    <row r="1089" spans="5:6" ht="12.75">
      <c r="E1089" s="1"/>
      <c r="F1089" s="1"/>
    </row>
    <row r="1090" spans="5:6" ht="12.75">
      <c r="E1090" s="1"/>
      <c r="F1090" s="1"/>
    </row>
    <row r="1091" spans="5:6" ht="12.75">
      <c r="E1091" s="1"/>
      <c r="F1091" s="1"/>
    </row>
    <row r="1092" spans="5:6" ht="12.75">
      <c r="E1092" s="1"/>
      <c r="F1092" s="1"/>
    </row>
    <row r="1093" spans="5:6" ht="12.75">
      <c r="E1093" s="1"/>
      <c r="F1093" s="1"/>
    </row>
    <row r="1094" spans="5:6" ht="12.75">
      <c r="E1094" s="1"/>
      <c r="F1094" s="1"/>
    </row>
    <row r="1095" spans="5:6" ht="12.75">
      <c r="E1095" s="1"/>
      <c r="F1095" s="1"/>
    </row>
    <row r="1096" spans="5:6" ht="12.75">
      <c r="E1096" s="1"/>
      <c r="F1096" s="1"/>
    </row>
    <row r="1097" spans="5:6" ht="12.75">
      <c r="E1097" s="1"/>
      <c r="F1097" s="1"/>
    </row>
    <row r="1098" spans="5:6" ht="12.75">
      <c r="E1098" s="1"/>
      <c r="F1098" s="1"/>
    </row>
    <row r="1099" spans="5:6" ht="12.75">
      <c r="E1099" s="1"/>
      <c r="F1099" s="1"/>
    </row>
    <row r="1100" spans="5:6" ht="12.75">
      <c r="E1100" s="1"/>
      <c r="F1100" s="1"/>
    </row>
    <row r="1101" spans="5:6" ht="12.75">
      <c r="E1101" s="1"/>
      <c r="F1101" s="1"/>
    </row>
    <row r="1102" spans="5:6" ht="12.75">
      <c r="E1102" s="1"/>
      <c r="F1102" s="1"/>
    </row>
    <row r="1103" spans="5:6" ht="12.75">
      <c r="E1103" s="1"/>
      <c r="F1103" s="1"/>
    </row>
    <row r="1104" spans="5:6" ht="12.75">
      <c r="E1104" s="1"/>
      <c r="F1104" s="1"/>
    </row>
    <row r="1105" spans="5:6" ht="12.75">
      <c r="E1105" s="1"/>
      <c r="F1105" s="1"/>
    </row>
    <row r="1106" spans="5:6" ht="12.75">
      <c r="E1106" s="1"/>
      <c r="F1106" s="1"/>
    </row>
    <row r="1107" spans="5:6" ht="12.75">
      <c r="E1107" s="1"/>
      <c r="F1107" s="1"/>
    </row>
    <row r="1108" spans="5:6" ht="12.75">
      <c r="E1108" s="1"/>
      <c r="F1108" s="1"/>
    </row>
    <row r="1109" spans="5:6" ht="12.75">
      <c r="E1109" s="1"/>
      <c r="F1109" s="1"/>
    </row>
    <row r="1110" spans="5:6" ht="12.75">
      <c r="E1110" s="1"/>
      <c r="F1110" s="1"/>
    </row>
    <row r="1111" spans="5:6" ht="12.75">
      <c r="E1111" s="1"/>
      <c r="F1111" s="1"/>
    </row>
    <row r="1112" spans="5:6" ht="12.75">
      <c r="E1112" s="1"/>
      <c r="F1112" s="1"/>
    </row>
    <row r="1113" spans="5:6" ht="12.75">
      <c r="E1113" s="1"/>
      <c r="F1113" s="1"/>
    </row>
    <row r="1114" spans="5:6" ht="12.75">
      <c r="E1114" s="1"/>
      <c r="F1114" s="1"/>
    </row>
    <row r="1115" spans="5:6" ht="12.75">
      <c r="E1115" s="1"/>
      <c r="F1115" s="1"/>
    </row>
    <row r="1116" spans="5:6" ht="12.75">
      <c r="E1116" s="1"/>
      <c r="F1116" s="1"/>
    </row>
    <row r="1117" spans="5:6" ht="12.75">
      <c r="E1117" s="1"/>
      <c r="F1117" s="1"/>
    </row>
    <row r="1118" spans="5:6" ht="12.75">
      <c r="E1118" s="1"/>
      <c r="F1118" s="1"/>
    </row>
    <row r="1119" spans="5:6" ht="12.75">
      <c r="E1119" s="1"/>
      <c r="F1119" s="1"/>
    </row>
    <row r="1120" spans="5:6" ht="12.75">
      <c r="E1120" s="1"/>
      <c r="F1120" s="1"/>
    </row>
    <row r="1121" spans="5:6" ht="12.75">
      <c r="E1121" s="1"/>
      <c r="F1121" s="1"/>
    </row>
    <row r="1122" spans="5:6" ht="12.75">
      <c r="E1122" s="1"/>
      <c r="F1122" s="1"/>
    </row>
    <row r="1123" spans="5:6" ht="12.75">
      <c r="E1123" s="1"/>
      <c r="F1123" s="1"/>
    </row>
    <row r="1124" spans="5:6" ht="12.75">
      <c r="E1124" s="1"/>
      <c r="F1124" s="1"/>
    </row>
    <row r="1125" spans="5:6" ht="12.75">
      <c r="E1125" s="1"/>
      <c r="F1125" s="1"/>
    </row>
    <row r="1126" spans="5:6" ht="12.75">
      <c r="E1126" s="1"/>
      <c r="F1126" s="1"/>
    </row>
    <row r="1127" spans="5:6" ht="12.75">
      <c r="E1127" s="1"/>
      <c r="F1127" s="1"/>
    </row>
    <row r="1128" spans="5:6" ht="12.75">
      <c r="E1128" s="1"/>
      <c r="F1128" s="1"/>
    </row>
    <row r="1129" spans="5:6" ht="12.75">
      <c r="E1129" s="1"/>
      <c r="F1129" s="1"/>
    </row>
    <row r="1130" spans="5:6" ht="12.75">
      <c r="E1130" s="1"/>
      <c r="F1130" s="1"/>
    </row>
    <row r="1131" spans="5:6" ht="12.75">
      <c r="E1131" s="1"/>
      <c r="F1131" s="1"/>
    </row>
    <row r="1132" spans="5:6" ht="12.75">
      <c r="E1132" s="1"/>
      <c r="F1132" s="1"/>
    </row>
    <row r="1133" spans="5:6" ht="12.75">
      <c r="E1133" s="1"/>
      <c r="F1133" s="1"/>
    </row>
    <row r="1134" spans="5:6" ht="12.75">
      <c r="E1134" s="1"/>
      <c r="F1134" s="1"/>
    </row>
    <row r="1135" spans="5:6" ht="12.75">
      <c r="E1135" s="1"/>
      <c r="F1135" s="1"/>
    </row>
    <row r="1136" spans="5:6" ht="12.75">
      <c r="E1136" s="1"/>
      <c r="F1136" s="1"/>
    </row>
    <row r="1137" spans="5:6" ht="12.75">
      <c r="E1137" s="1"/>
      <c r="F1137" s="1"/>
    </row>
    <row r="1138" spans="5:6" ht="12.75">
      <c r="E1138" s="1"/>
      <c r="F1138" s="1"/>
    </row>
    <row r="1139" spans="5:6" ht="12.75">
      <c r="E1139" s="1"/>
      <c r="F1139" s="1"/>
    </row>
    <row r="1140" spans="5:6" ht="12.75">
      <c r="E1140" s="1"/>
      <c r="F1140" s="1"/>
    </row>
    <row r="1141" spans="5:6" ht="12.75">
      <c r="E1141" s="1"/>
      <c r="F1141" s="1"/>
    </row>
    <row r="1142" spans="5:6" ht="12.75">
      <c r="E1142" s="1"/>
      <c r="F1142" s="1"/>
    </row>
    <row r="1143" spans="5:6" ht="12.75">
      <c r="E1143" s="1"/>
      <c r="F1143" s="1"/>
    </row>
    <row r="1144" spans="5:6" ht="12.75">
      <c r="E1144" s="1"/>
      <c r="F1144" s="1"/>
    </row>
    <row r="1145" spans="5:6" ht="12.75">
      <c r="E1145" s="1"/>
      <c r="F1145" s="1"/>
    </row>
    <row r="1146" spans="5:6" ht="12.75">
      <c r="E1146" s="1"/>
      <c r="F1146" s="1"/>
    </row>
    <row r="1147" spans="5:6" ht="12.75">
      <c r="E1147" s="1"/>
      <c r="F1147" s="1"/>
    </row>
    <row r="1148" spans="5:6" ht="12.75">
      <c r="E1148" s="1"/>
      <c r="F1148" s="1"/>
    </row>
    <row r="1149" spans="5:6" ht="12.75">
      <c r="E1149" s="1"/>
      <c r="F1149" s="1"/>
    </row>
    <row r="1150" spans="5:6" ht="12.75">
      <c r="E1150" s="1"/>
      <c r="F1150" s="1"/>
    </row>
    <row r="1151" spans="5:6" ht="12.75">
      <c r="E1151" s="1"/>
      <c r="F1151" s="1"/>
    </row>
    <row r="1152" spans="5:6" ht="12.75">
      <c r="E1152" s="1"/>
      <c r="F1152" s="1"/>
    </row>
    <row r="1153" spans="5:6" ht="12.75">
      <c r="E1153" s="1"/>
      <c r="F1153" s="1"/>
    </row>
    <row r="1154" spans="5:6" ht="12.75">
      <c r="E1154" s="1"/>
      <c r="F1154" s="1"/>
    </row>
    <row r="1155" spans="5:6" ht="12.75">
      <c r="E1155" s="1"/>
      <c r="F1155" s="1"/>
    </row>
    <row r="1156" spans="5:6" ht="12.75">
      <c r="E1156" s="1"/>
      <c r="F1156" s="1"/>
    </row>
    <row r="1157" spans="5:6" ht="12.75">
      <c r="E1157" s="1"/>
      <c r="F1157" s="1"/>
    </row>
    <row r="1158" spans="5:6" ht="12.75">
      <c r="E1158" s="1"/>
      <c r="F1158" s="1"/>
    </row>
    <row r="1159" spans="5:6" ht="12.75">
      <c r="E1159" s="1"/>
      <c r="F1159" s="1"/>
    </row>
    <row r="1160" spans="5:6" ht="12.75">
      <c r="E1160" s="1"/>
      <c r="F1160" s="1"/>
    </row>
    <row r="1161" spans="5:6" ht="12.75">
      <c r="E1161" s="1"/>
      <c r="F1161" s="1"/>
    </row>
    <row r="1162" spans="5:6" ht="12.75">
      <c r="E1162" s="1"/>
      <c r="F1162" s="1"/>
    </row>
    <row r="1163" spans="5:6" ht="12.75">
      <c r="E1163" s="1"/>
      <c r="F1163" s="1"/>
    </row>
    <row r="1164" spans="5:6" ht="12.75">
      <c r="E1164" s="1"/>
      <c r="F1164" s="1"/>
    </row>
    <row r="1165" spans="5:6" ht="12.75">
      <c r="E1165" s="1"/>
      <c r="F1165" s="1"/>
    </row>
    <row r="1166" spans="5:6" ht="12.75">
      <c r="E1166" s="1"/>
      <c r="F1166" s="1"/>
    </row>
    <row r="1167" spans="5:6" ht="12.75">
      <c r="E1167" s="1"/>
      <c r="F1167" s="1"/>
    </row>
    <row r="1168" spans="5:6" ht="12.75">
      <c r="E1168" s="1"/>
      <c r="F1168" s="1"/>
    </row>
    <row r="1169" spans="5:6" ht="12.75">
      <c r="E1169" s="1"/>
      <c r="F1169" s="1"/>
    </row>
    <row r="1170" spans="5:6" ht="12.75">
      <c r="E1170" s="1"/>
      <c r="F1170" s="1"/>
    </row>
    <row r="1171" spans="5:6" ht="12.75">
      <c r="E1171" s="1"/>
      <c r="F1171" s="1"/>
    </row>
    <row r="1172" spans="5:6" ht="12.75">
      <c r="E1172" s="1"/>
      <c r="F1172" s="1"/>
    </row>
    <row r="1173" spans="5:6" ht="12.75">
      <c r="E1173" s="1"/>
      <c r="F1173" s="1"/>
    </row>
    <row r="1174" spans="5:6" ht="12.75">
      <c r="E1174" s="1"/>
      <c r="F1174" s="1"/>
    </row>
    <row r="1175" spans="5:6" ht="12.75">
      <c r="E1175" s="1"/>
      <c r="F1175" s="1"/>
    </row>
    <row r="1176" spans="5:6" ht="12.75">
      <c r="E1176" s="1"/>
      <c r="F1176" s="1"/>
    </row>
    <row r="1177" spans="5:6" ht="12.75">
      <c r="E1177" s="1"/>
      <c r="F1177" s="1"/>
    </row>
    <row r="1178" spans="5:6" ht="12.75">
      <c r="E1178" s="1"/>
      <c r="F1178" s="1"/>
    </row>
    <row r="1179" spans="5:6" ht="12.75">
      <c r="E1179" s="1"/>
      <c r="F1179" s="1"/>
    </row>
    <row r="1180" spans="5:6" ht="12.75">
      <c r="E1180" s="1"/>
      <c r="F1180" s="1"/>
    </row>
    <row r="1181" spans="5:6" ht="12.75">
      <c r="E1181" s="1"/>
      <c r="F1181" s="1"/>
    </row>
    <row r="1182" spans="5:6" ht="12.75">
      <c r="E1182" s="1"/>
      <c r="F1182" s="1"/>
    </row>
    <row r="1183" spans="5:6" ht="12.75">
      <c r="E1183" s="1"/>
      <c r="F1183" s="1"/>
    </row>
    <row r="1184" spans="5:6" ht="12.75">
      <c r="E1184" s="1"/>
      <c r="F1184" s="1"/>
    </row>
    <row r="1185" spans="5:6" ht="12.75">
      <c r="E1185" s="1"/>
      <c r="F1185" s="1"/>
    </row>
    <row r="1186" spans="5:6" ht="12.75">
      <c r="E1186" s="1"/>
      <c r="F1186" s="1"/>
    </row>
    <row r="1187" spans="5:6" ht="12.75">
      <c r="E1187" s="1"/>
      <c r="F1187" s="1"/>
    </row>
    <row r="1188" spans="5:6" ht="12.75">
      <c r="E1188" s="1"/>
      <c r="F1188" s="1"/>
    </row>
    <row r="1189" spans="5:6" ht="12.75">
      <c r="E1189" s="1"/>
      <c r="F1189" s="1"/>
    </row>
    <row r="1190" spans="5:6" ht="12.75">
      <c r="E1190" s="1"/>
      <c r="F1190" s="1"/>
    </row>
    <row r="1191" spans="5:6" ht="12.75">
      <c r="E1191" s="1"/>
      <c r="F1191" s="1"/>
    </row>
    <row r="1192" spans="5:6" ht="12.75">
      <c r="E1192" s="1"/>
      <c r="F1192" s="1"/>
    </row>
    <row r="1193" spans="5:6" ht="12.75">
      <c r="E1193" s="1"/>
      <c r="F1193" s="1"/>
    </row>
    <row r="1194" spans="5:6" ht="12.75">
      <c r="E1194" s="1"/>
      <c r="F1194" s="1"/>
    </row>
    <row r="1195" spans="5:6" ht="12.75">
      <c r="E1195" s="1"/>
      <c r="F1195" s="1"/>
    </row>
    <row r="1196" spans="5:6" ht="12.75">
      <c r="E1196" s="1"/>
      <c r="F1196" s="1"/>
    </row>
    <row r="1197" spans="5:6" ht="12.75">
      <c r="E1197" s="1"/>
      <c r="F1197" s="1"/>
    </row>
    <row r="1198" spans="5:6" ht="12.75">
      <c r="E1198" s="1"/>
      <c r="F1198" s="1"/>
    </row>
    <row r="1199" spans="5:6" ht="12.75">
      <c r="E1199" s="1"/>
      <c r="F1199" s="1"/>
    </row>
    <row r="1200" spans="5:6" ht="12.75">
      <c r="E1200" s="1"/>
      <c r="F1200" s="1"/>
    </row>
    <row r="1201" spans="5:6" ht="12.75">
      <c r="E1201" s="1"/>
      <c r="F1201" s="1"/>
    </row>
    <row r="1202" spans="5:6" ht="12.75">
      <c r="E1202" s="1"/>
      <c r="F1202" s="1"/>
    </row>
    <row r="1203" spans="5:6" ht="12.75">
      <c r="E1203" s="1"/>
      <c r="F1203" s="1"/>
    </row>
    <row r="1204" spans="5:6" ht="12.75">
      <c r="E1204" s="1"/>
      <c r="F1204" s="1"/>
    </row>
    <row r="1205" spans="5:6" ht="12.75">
      <c r="E1205" s="1"/>
      <c r="F1205" s="1"/>
    </row>
    <row r="1206" spans="5:6" ht="12.75">
      <c r="E1206" s="1"/>
      <c r="F1206" s="1"/>
    </row>
    <row r="1207" spans="5:6" ht="12.75">
      <c r="E1207" s="1"/>
      <c r="F1207" s="1"/>
    </row>
    <row r="1208" spans="5:6" ht="12.75">
      <c r="E1208" s="1"/>
      <c r="F1208" s="1"/>
    </row>
    <row r="1209" spans="5:6" ht="12.75">
      <c r="E1209" s="1"/>
      <c r="F1209" s="1"/>
    </row>
    <row r="1210" spans="5:6" ht="12.75">
      <c r="E1210" s="1"/>
      <c r="F1210" s="1"/>
    </row>
    <row r="1211" spans="5:6" ht="12.75">
      <c r="E1211" s="1"/>
      <c r="F1211" s="1"/>
    </row>
    <row r="1212" spans="5:6" ht="12.75">
      <c r="E1212" s="1"/>
      <c r="F1212" s="1"/>
    </row>
    <row r="1213" spans="5:6" ht="12.75">
      <c r="E1213" s="1"/>
      <c r="F1213" s="1"/>
    </row>
    <row r="1214" spans="5:6" ht="12.75">
      <c r="E1214" s="1"/>
      <c r="F1214" s="1"/>
    </row>
    <row r="1215" spans="5:6" ht="12.75">
      <c r="E1215" s="1"/>
      <c r="F1215" s="1"/>
    </row>
    <row r="1216" spans="5:6" ht="12.75">
      <c r="E1216" s="1"/>
      <c r="F1216" s="1"/>
    </row>
    <row r="1217" spans="5:6" ht="12.75">
      <c r="E1217" s="1"/>
      <c r="F1217" s="1"/>
    </row>
    <row r="1218" spans="5:6" ht="12.75">
      <c r="E1218" s="1"/>
      <c r="F1218" s="1"/>
    </row>
    <row r="1219" spans="5:6" ht="12.75">
      <c r="E1219" s="1"/>
      <c r="F1219" s="1"/>
    </row>
    <row r="1220" spans="5:6" ht="12.75">
      <c r="E1220" s="1"/>
      <c r="F1220" s="1"/>
    </row>
    <row r="1221" spans="5:6" ht="12.75">
      <c r="E1221" s="1"/>
      <c r="F1221" s="1"/>
    </row>
    <row r="1222" spans="5:6" ht="12.75">
      <c r="E1222" s="1"/>
      <c r="F1222" s="1"/>
    </row>
    <row r="1223" spans="5:6" ht="12.75">
      <c r="E1223" s="1"/>
      <c r="F1223" s="1"/>
    </row>
    <row r="1224" spans="5:6" ht="12.75">
      <c r="E1224" s="1"/>
      <c r="F1224" s="1"/>
    </row>
    <row r="1225" spans="5:6" ht="12.75">
      <c r="E1225" s="1"/>
      <c r="F1225" s="1"/>
    </row>
    <row r="1226" spans="5:6" ht="12.75">
      <c r="E1226" s="1"/>
      <c r="F1226" s="1"/>
    </row>
    <row r="1227" spans="5:6" ht="12.75">
      <c r="E1227" s="1"/>
      <c r="F1227" s="1"/>
    </row>
    <row r="1228" spans="5:6" ht="12.75">
      <c r="E1228" s="1"/>
      <c r="F1228" s="1"/>
    </row>
    <row r="1229" spans="5:6" ht="12.75">
      <c r="E1229" s="1"/>
      <c r="F1229" s="1"/>
    </row>
    <row r="1230" spans="5:6" ht="12.75">
      <c r="E1230" s="1"/>
      <c r="F1230" s="1"/>
    </row>
    <row r="1231" spans="5:6" ht="12.75">
      <c r="E1231" s="1"/>
      <c r="F1231" s="1"/>
    </row>
    <row r="1232" spans="5:6" ht="12.75">
      <c r="E1232" s="1"/>
      <c r="F1232" s="1"/>
    </row>
    <row r="1233" spans="5:6" ht="12.75">
      <c r="E1233" s="1"/>
      <c r="F1233" s="1"/>
    </row>
    <row r="1234" spans="5:6" ht="12.75">
      <c r="E1234" s="1"/>
      <c r="F1234" s="1"/>
    </row>
    <row r="1235" spans="5:6" ht="12.75">
      <c r="E1235" s="1"/>
      <c r="F1235" s="1"/>
    </row>
    <row r="1236" spans="5:6" ht="12.75">
      <c r="E1236" s="1"/>
      <c r="F1236" s="1"/>
    </row>
    <row r="1237" spans="5:6" ht="12.75">
      <c r="E1237" s="1"/>
      <c r="F1237" s="1"/>
    </row>
    <row r="1238" spans="5:6" ht="12.75">
      <c r="E1238" s="1"/>
      <c r="F1238" s="1"/>
    </row>
    <row r="1239" spans="5:6" ht="12.75">
      <c r="E1239" s="1"/>
      <c r="F1239" s="1"/>
    </row>
    <row r="1240" spans="5:6" ht="12.75">
      <c r="E1240" s="1"/>
      <c r="F1240" s="1"/>
    </row>
    <row r="1241" spans="5:6" ht="12.75">
      <c r="E1241" s="1"/>
      <c r="F1241" s="1"/>
    </row>
    <row r="1242" spans="5:6" ht="12.75">
      <c r="E1242" s="1"/>
      <c r="F1242" s="1"/>
    </row>
    <row r="1243" spans="5:6" ht="12.75">
      <c r="E1243" s="1"/>
      <c r="F1243" s="1"/>
    </row>
    <row r="1244" spans="5:6" ht="12.75">
      <c r="E1244" s="1"/>
      <c r="F1244" s="1"/>
    </row>
    <row r="1245" spans="5:6" ht="12.75">
      <c r="E1245" s="1"/>
      <c r="F1245" s="1"/>
    </row>
    <row r="1246" spans="5:6" ht="12.75">
      <c r="E1246" s="1"/>
      <c r="F1246" s="1"/>
    </row>
    <row r="1247" spans="5:6" ht="12.75">
      <c r="E1247" s="1"/>
      <c r="F1247" s="1"/>
    </row>
    <row r="1248" spans="5:6" ht="12.75">
      <c r="E1248" s="1"/>
      <c r="F1248" s="1"/>
    </row>
    <row r="1249" spans="5:6" ht="12.75">
      <c r="E1249" s="1"/>
      <c r="F1249" s="1"/>
    </row>
    <row r="1250" spans="5:6" ht="12.75">
      <c r="E1250" s="1"/>
      <c r="F1250" s="1"/>
    </row>
    <row r="1251" spans="5:6" ht="12.75">
      <c r="E1251" s="1"/>
      <c r="F1251" s="1"/>
    </row>
    <row r="1252" spans="5:6" ht="12.75">
      <c r="E1252" s="1"/>
      <c r="F1252" s="1"/>
    </row>
    <row r="1253" spans="5:6" ht="12.75">
      <c r="E1253" s="1"/>
      <c r="F1253" s="1"/>
    </row>
    <row r="1254" spans="5:6" ht="12.75">
      <c r="E1254" s="1"/>
      <c r="F1254" s="1"/>
    </row>
    <row r="1255" spans="5:6" ht="12.75">
      <c r="E1255" s="1"/>
      <c r="F1255" s="1"/>
    </row>
    <row r="1256" spans="5:6" ht="12.75">
      <c r="E1256" s="1"/>
      <c r="F1256" s="1"/>
    </row>
    <row r="1257" spans="5:6" ht="12.75">
      <c r="E1257" s="1"/>
      <c r="F1257" s="1"/>
    </row>
    <row r="1258" spans="5:6" ht="12.75">
      <c r="E1258" s="1"/>
      <c r="F1258" s="1"/>
    </row>
    <row r="1259" spans="5:6" ht="12.75">
      <c r="E1259" s="1"/>
      <c r="F1259" s="1"/>
    </row>
    <row r="1260" spans="5:6" ht="12.75">
      <c r="E1260" s="1"/>
      <c r="F1260" s="1"/>
    </row>
    <row r="1261" spans="5:6" ht="12.75">
      <c r="E1261" s="1"/>
      <c r="F1261" s="1"/>
    </row>
    <row r="1262" spans="5:6" ht="12.75">
      <c r="E1262" s="1"/>
      <c r="F1262" s="1"/>
    </row>
    <row r="1263" spans="5:6" ht="12.75">
      <c r="E1263" s="1"/>
      <c r="F1263" s="1"/>
    </row>
    <row r="1264" spans="5:6" ht="12.75">
      <c r="E1264" s="1"/>
      <c r="F1264" s="1"/>
    </row>
    <row r="1265" spans="5:6" ht="12.75">
      <c r="E1265" s="1"/>
      <c r="F1265" s="1"/>
    </row>
    <row r="1266" spans="5:6" ht="12.75">
      <c r="E1266" s="1"/>
      <c r="F1266" s="1"/>
    </row>
    <row r="1267" spans="5:6" ht="12.75">
      <c r="E1267" s="1"/>
      <c r="F1267" s="1"/>
    </row>
    <row r="1268" spans="5:6" ht="12.75">
      <c r="E1268" s="1"/>
      <c r="F1268" s="1"/>
    </row>
    <row r="1269" spans="5:6" ht="12.75">
      <c r="E1269" s="1"/>
      <c r="F1269" s="1"/>
    </row>
    <row r="1270" spans="5:6" ht="12.75">
      <c r="E1270" s="1"/>
      <c r="F1270" s="1"/>
    </row>
    <row r="1271" spans="5:6" ht="12.75">
      <c r="E1271" s="1"/>
      <c r="F1271" s="1"/>
    </row>
    <row r="1272" spans="5:6" ht="12.75">
      <c r="E1272" s="1"/>
      <c r="F1272" s="1"/>
    </row>
    <row r="1273" spans="5:6" ht="12.75">
      <c r="E1273" s="1"/>
      <c r="F1273" s="1"/>
    </row>
    <row r="1274" spans="5:6" ht="12.75">
      <c r="E1274" s="1"/>
      <c r="F1274" s="1"/>
    </row>
    <row r="1275" spans="5:6" ht="12.75">
      <c r="E1275" s="1"/>
      <c r="F1275" s="1"/>
    </row>
    <row r="1276" spans="5:6" ht="12.75">
      <c r="E1276" s="1"/>
      <c r="F1276" s="1"/>
    </row>
    <row r="1277" spans="5:6" ht="12.75">
      <c r="E1277" s="1"/>
      <c r="F1277" s="1"/>
    </row>
    <row r="1278" spans="5:6" ht="12.75">
      <c r="E1278" s="1"/>
      <c r="F1278" s="1"/>
    </row>
    <row r="1279" spans="5:6" ht="12.75">
      <c r="E1279" s="1"/>
      <c r="F1279" s="1"/>
    </row>
    <row r="1280" spans="5:6" ht="12.75">
      <c r="E1280" s="1"/>
      <c r="F1280" s="1"/>
    </row>
    <row r="1281" spans="5:6" ht="12.75">
      <c r="E1281" s="1"/>
      <c r="F1281" s="1"/>
    </row>
    <row r="1282" spans="5:6" ht="12.75">
      <c r="E1282" s="1"/>
      <c r="F1282" s="1"/>
    </row>
    <row r="1283" spans="5:6" ht="12.75">
      <c r="E1283" s="1"/>
      <c r="F1283" s="1"/>
    </row>
    <row r="1284" spans="5:6" ht="12.75">
      <c r="E1284" s="1"/>
      <c r="F1284" s="1"/>
    </row>
    <row r="1285" spans="5:6" ht="12.75">
      <c r="E1285" s="1"/>
      <c r="F1285" s="1"/>
    </row>
    <row r="1286" spans="5:6" ht="12.75">
      <c r="E1286" s="1"/>
      <c r="F1286" s="1"/>
    </row>
    <row r="1287" spans="5:6" ht="12.75">
      <c r="E1287" s="1"/>
      <c r="F1287" s="1"/>
    </row>
    <row r="1288" spans="5:6" ht="12.75">
      <c r="E1288" s="1"/>
      <c r="F1288" s="1"/>
    </row>
    <row r="1289" spans="5:6" ht="12.75">
      <c r="E1289" s="1"/>
      <c r="F1289" s="1"/>
    </row>
    <row r="1290" spans="5:6" ht="12.75">
      <c r="E1290" s="1"/>
      <c r="F1290" s="1"/>
    </row>
    <row r="1291" spans="5:6" ht="12.75">
      <c r="E1291" s="1"/>
      <c r="F1291" s="1"/>
    </row>
    <row r="1292" spans="5:6" ht="12.75">
      <c r="E1292" s="1"/>
      <c r="F1292" s="1"/>
    </row>
    <row r="1293" spans="5:6" ht="12.75">
      <c r="E1293" s="1"/>
      <c r="F1293" s="1"/>
    </row>
    <row r="1294" spans="5:6" ht="12.75">
      <c r="E1294" s="1"/>
      <c r="F1294" s="1"/>
    </row>
    <row r="1295" spans="5:6" ht="12.75">
      <c r="E1295" s="1"/>
      <c r="F1295" s="1"/>
    </row>
    <row r="1296" spans="5:6" ht="12.75">
      <c r="E1296" s="1"/>
      <c r="F1296" s="1"/>
    </row>
    <row r="1297" spans="5:6" ht="12.75">
      <c r="E1297" s="1"/>
      <c r="F1297" s="1"/>
    </row>
    <row r="1298" spans="5:6" ht="12.75">
      <c r="E1298" s="1"/>
      <c r="F1298" s="1"/>
    </row>
    <row r="1299" spans="5:6" ht="12.75">
      <c r="E1299" s="1"/>
      <c r="F1299" s="1"/>
    </row>
    <row r="1300" spans="5:6" ht="12.75">
      <c r="E1300" s="1"/>
      <c r="F1300" s="1"/>
    </row>
    <row r="1301" spans="5:6" ht="12.75">
      <c r="E1301" s="1"/>
      <c r="F1301" s="1"/>
    </row>
    <row r="1302" spans="5:6" ht="12.75">
      <c r="E1302" s="1"/>
      <c r="F1302" s="1"/>
    </row>
    <row r="1303" spans="5:6" ht="12.75">
      <c r="E1303" s="1"/>
      <c r="F1303" s="1"/>
    </row>
    <row r="1304" spans="5:6" ht="12.75">
      <c r="E1304" s="1"/>
      <c r="F1304" s="1"/>
    </row>
    <row r="1305" spans="5:6" ht="12.75">
      <c r="E1305" s="1"/>
      <c r="F1305" s="1"/>
    </row>
    <row r="1306" spans="5:6" ht="12.75">
      <c r="E1306" s="1"/>
      <c r="F1306" s="1"/>
    </row>
    <row r="1307" spans="5:6" ht="12.75">
      <c r="E1307" s="1"/>
      <c r="F1307" s="1"/>
    </row>
    <row r="1308" spans="5:6" ht="12.75">
      <c r="E1308" s="1"/>
      <c r="F1308" s="1"/>
    </row>
    <row r="1309" spans="5:6" ht="12.75">
      <c r="E1309" s="1"/>
      <c r="F1309" s="1"/>
    </row>
    <row r="1310" spans="5:6" ht="12.75">
      <c r="E1310" s="1"/>
      <c r="F1310" s="1"/>
    </row>
    <row r="1311" spans="5:6" ht="12.75">
      <c r="E1311" s="1"/>
      <c r="F1311" s="1"/>
    </row>
    <row r="1312" spans="5:6" ht="12.75">
      <c r="E1312" s="1"/>
      <c r="F1312" s="1"/>
    </row>
    <row r="1313" spans="5:6" ht="12.75">
      <c r="E1313" s="1"/>
      <c r="F1313" s="1"/>
    </row>
    <row r="1314" spans="5:6" ht="12.75">
      <c r="E1314" s="1"/>
      <c r="F1314" s="1"/>
    </row>
    <row r="1315" spans="5:6" ht="12.75">
      <c r="E1315" s="1"/>
      <c r="F1315" s="1"/>
    </row>
    <row r="1316" spans="5:6" ht="12.75">
      <c r="E1316" s="1"/>
      <c r="F1316" s="1"/>
    </row>
    <row r="1317" spans="5:6" ht="12.75">
      <c r="E1317" s="1"/>
      <c r="F1317" s="1"/>
    </row>
    <row r="1318" spans="5:6" ht="12.75">
      <c r="E1318" s="1"/>
      <c r="F1318" s="1"/>
    </row>
    <row r="1319" spans="5:6" ht="12.75">
      <c r="E1319" s="1"/>
      <c r="F1319" s="1"/>
    </row>
    <row r="1320" spans="5:6" ht="12.75">
      <c r="E1320" s="1"/>
      <c r="F1320" s="1"/>
    </row>
    <row r="1321" spans="5:6" ht="12.75">
      <c r="E1321" s="1"/>
      <c r="F1321" s="1"/>
    </row>
    <row r="1322" spans="5:6" ht="12.75">
      <c r="E1322" s="1"/>
      <c r="F1322" s="1"/>
    </row>
    <row r="1323" spans="5:6" ht="12.75">
      <c r="E1323" s="1"/>
      <c r="F1323" s="1"/>
    </row>
    <row r="1324" spans="5:6" ht="12.75">
      <c r="E1324" s="1"/>
      <c r="F1324" s="1"/>
    </row>
    <row r="1325" spans="5:6" ht="12.75">
      <c r="E1325" s="1"/>
      <c r="F1325" s="1"/>
    </row>
    <row r="1326" spans="5:6" ht="12.75">
      <c r="E1326" s="1"/>
      <c r="F1326" s="1"/>
    </row>
    <row r="1327" spans="5:6" ht="12.75">
      <c r="E1327" s="1"/>
      <c r="F1327" s="1"/>
    </row>
    <row r="1328" spans="5:6" ht="12.75">
      <c r="E1328" s="1"/>
      <c r="F1328" s="1"/>
    </row>
    <row r="1329" spans="5:6" ht="12.75">
      <c r="E1329" s="1"/>
      <c r="F1329" s="1"/>
    </row>
    <row r="1330" spans="5:6" ht="12.75">
      <c r="E1330" s="1"/>
      <c r="F1330" s="1"/>
    </row>
    <row r="1331" spans="5:6" ht="12.75">
      <c r="E1331" s="1"/>
      <c r="F1331" s="1"/>
    </row>
    <row r="1332" spans="5:6" ht="12.75">
      <c r="E1332" s="1"/>
      <c r="F1332" s="1"/>
    </row>
    <row r="1333" spans="5:6" ht="12.75">
      <c r="E1333" s="1"/>
      <c r="F1333" s="1"/>
    </row>
    <row r="1334" spans="5:6" ht="12.75">
      <c r="E1334" s="1"/>
      <c r="F1334" s="1"/>
    </row>
    <row r="1335" spans="5:6" ht="12.75">
      <c r="E1335" s="1"/>
      <c r="F1335" s="1"/>
    </row>
    <row r="1336" spans="5:6" ht="12.75">
      <c r="E1336" s="1"/>
      <c r="F1336" s="1"/>
    </row>
    <row r="1337" spans="5:6" ht="12.75">
      <c r="E1337" s="1"/>
      <c r="F1337" s="1"/>
    </row>
    <row r="1338" spans="5:6" ht="12.75">
      <c r="E1338" s="1"/>
      <c r="F1338" s="1"/>
    </row>
    <row r="1339" spans="5:6" ht="12.75">
      <c r="E1339" s="1"/>
      <c r="F1339" s="1"/>
    </row>
    <row r="1340" spans="5:6" ht="12.75">
      <c r="E1340" s="1"/>
      <c r="F1340" s="1"/>
    </row>
    <row r="1341" spans="5:6" ht="12.75">
      <c r="E1341" s="1"/>
      <c r="F1341" s="1"/>
    </row>
    <row r="1342" spans="5:6" ht="12.75">
      <c r="E1342" s="1"/>
      <c r="F1342" s="1"/>
    </row>
    <row r="1343" spans="5:6" ht="12.75">
      <c r="E1343" s="1"/>
      <c r="F1343" s="1"/>
    </row>
    <row r="1344" spans="5:6" ht="12.75">
      <c r="E1344" s="1"/>
      <c r="F1344" s="1"/>
    </row>
    <row r="1345" spans="5:6" ht="12.75">
      <c r="E1345" s="1"/>
      <c r="F1345" s="1"/>
    </row>
    <row r="1346" spans="5:6" ht="12.75">
      <c r="E1346" s="1"/>
      <c r="F1346" s="1"/>
    </row>
    <row r="1347" spans="5:6" ht="12.75">
      <c r="E1347" s="1"/>
      <c r="F1347" s="1"/>
    </row>
    <row r="1348" spans="5:6" ht="12.75">
      <c r="E1348" s="1"/>
      <c r="F1348" s="1"/>
    </row>
    <row r="1349" spans="5:6" ht="12.75">
      <c r="E1349" s="1"/>
      <c r="F1349" s="1"/>
    </row>
    <row r="1350" spans="5:6" ht="12.75">
      <c r="E1350" s="1"/>
      <c r="F1350" s="1"/>
    </row>
    <row r="1351" spans="5:6" ht="12.75">
      <c r="E1351" s="1"/>
      <c r="F1351" s="1"/>
    </row>
    <row r="1352" spans="5:6" ht="12.75">
      <c r="E1352" s="1"/>
      <c r="F1352" s="1"/>
    </row>
    <row r="1353" spans="5:6" ht="12.75">
      <c r="E1353" s="1"/>
      <c r="F1353" s="1"/>
    </row>
    <row r="1354" spans="5:6" ht="12.75">
      <c r="E1354" s="1"/>
      <c r="F1354" s="1"/>
    </row>
    <row r="1355" spans="5:6" ht="12.75">
      <c r="E1355" s="1"/>
      <c r="F1355" s="1"/>
    </row>
    <row r="1356" spans="5:6" ht="12.75">
      <c r="E1356" s="1"/>
      <c r="F1356" s="1"/>
    </row>
    <row r="1357" spans="5:6" ht="12.75">
      <c r="E1357" s="1"/>
      <c r="F1357" s="1"/>
    </row>
    <row r="1358" spans="5:6" ht="12.75">
      <c r="E1358" s="1"/>
      <c r="F1358" s="1"/>
    </row>
    <row r="1359" spans="5:6" ht="12.75">
      <c r="E1359" s="1"/>
      <c r="F1359" s="1"/>
    </row>
    <row r="1360" spans="5:6" ht="12.75">
      <c r="E1360" s="1"/>
      <c r="F1360" s="1"/>
    </row>
    <row r="1361" spans="5:6" ht="12.75">
      <c r="E1361" s="1"/>
      <c r="F1361" s="1"/>
    </row>
    <row r="1362" spans="5:6" ht="12.75">
      <c r="E1362" s="1"/>
      <c r="F1362" s="1"/>
    </row>
    <row r="1363" spans="5:6" ht="12.75">
      <c r="E1363" s="1"/>
      <c r="F1363" s="1"/>
    </row>
    <row r="1364" spans="5:6" ht="12.75">
      <c r="E1364" s="1"/>
      <c r="F1364" s="1"/>
    </row>
    <row r="1365" spans="5:6" ht="12.75">
      <c r="E1365" s="1"/>
      <c r="F1365" s="1"/>
    </row>
    <row r="1366" spans="5:6" ht="12.75">
      <c r="E1366" s="1"/>
      <c r="F1366" s="1"/>
    </row>
    <row r="1367" spans="5:6" ht="12.75">
      <c r="E1367" s="1"/>
      <c r="F1367" s="1"/>
    </row>
    <row r="1368" spans="5:6" ht="12.75">
      <c r="E1368" s="1"/>
      <c r="F1368" s="1"/>
    </row>
    <row r="1369" spans="5:6" ht="12.75">
      <c r="E1369" s="1"/>
      <c r="F1369" s="1"/>
    </row>
    <row r="1370" spans="5:6" ht="12.75">
      <c r="E1370" s="1"/>
      <c r="F1370" s="1"/>
    </row>
    <row r="1371" spans="5:6" ht="12.75">
      <c r="E1371" s="1"/>
      <c r="F1371" s="1"/>
    </row>
    <row r="1372" spans="5:6" ht="12.75">
      <c r="E1372" s="1"/>
      <c r="F1372" s="1"/>
    </row>
    <row r="1373" spans="5:6" ht="12.75">
      <c r="E1373" s="1"/>
      <c r="F1373" s="1"/>
    </row>
    <row r="1374" spans="5:6" ht="12.75">
      <c r="E1374" s="1"/>
      <c r="F1374" s="1"/>
    </row>
    <row r="1375" spans="5:6" ht="12.75">
      <c r="E1375" s="1"/>
      <c r="F1375" s="1"/>
    </row>
    <row r="1376" spans="5:6" ht="12.75">
      <c r="E1376" s="1"/>
      <c r="F1376" s="1"/>
    </row>
    <row r="1377" spans="5:6" ht="12.75">
      <c r="E1377" s="1"/>
      <c r="F1377" s="1"/>
    </row>
    <row r="1378" spans="5:6" ht="12.75">
      <c r="E1378" s="1"/>
      <c r="F1378" s="1"/>
    </row>
    <row r="1379" spans="5:6" ht="12.75">
      <c r="E1379" s="1"/>
      <c r="F1379" s="1"/>
    </row>
    <row r="1380" spans="5:6" ht="12.75">
      <c r="E1380" s="1"/>
      <c r="F1380" s="1"/>
    </row>
    <row r="1381" spans="5:6" ht="12.75">
      <c r="E1381" s="1"/>
      <c r="F1381" s="1"/>
    </row>
    <row r="1382" spans="5:6" ht="12.75">
      <c r="E1382" s="1"/>
      <c r="F1382" s="1"/>
    </row>
    <row r="1383" spans="5:6" ht="12.75">
      <c r="E1383" s="1"/>
      <c r="F1383" s="1"/>
    </row>
    <row r="1384" spans="5:6" ht="12.75">
      <c r="E1384" s="1"/>
      <c r="F1384" s="1"/>
    </row>
    <row r="1385" spans="5:6" ht="12.75">
      <c r="E1385" s="1"/>
      <c r="F1385" s="1"/>
    </row>
    <row r="1386" spans="5:6" ht="12.75">
      <c r="E1386" s="1"/>
      <c r="F1386" s="1"/>
    </row>
    <row r="1387" spans="5:6" ht="12.75">
      <c r="E1387" s="1"/>
      <c r="F1387" s="1"/>
    </row>
    <row r="1388" spans="5:6" ht="12.75">
      <c r="E1388" s="1"/>
      <c r="F1388" s="1"/>
    </row>
    <row r="1389" spans="5:6" ht="12.75">
      <c r="E1389" s="1"/>
      <c r="F1389" s="1"/>
    </row>
    <row r="1390" spans="5:6" ht="12.75">
      <c r="E1390" s="1"/>
      <c r="F1390" s="1"/>
    </row>
    <row r="1391" spans="5:6" ht="12.75">
      <c r="E1391" s="1"/>
      <c r="F1391" s="1"/>
    </row>
    <row r="1392" spans="5:6" ht="12.75">
      <c r="E1392" s="1"/>
      <c r="F1392" s="1"/>
    </row>
    <row r="1393" spans="5:6" ht="12.75">
      <c r="E1393" s="1"/>
      <c r="F1393" s="1"/>
    </row>
    <row r="1394" spans="5:6" ht="12.75">
      <c r="E1394" s="1"/>
      <c r="F1394" s="1"/>
    </row>
    <row r="1395" spans="5:6" ht="12.75">
      <c r="E1395" s="1"/>
      <c r="F1395" s="1"/>
    </row>
    <row r="1396" spans="5:6" ht="12.75">
      <c r="E1396" s="1"/>
      <c r="F1396" s="1"/>
    </row>
    <row r="1397" spans="5:6" ht="12.75">
      <c r="E1397" s="1"/>
      <c r="F1397" s="1"/>
    </row>
    <row r="1398" spans="5:6" ht="12.75">
      <c r="E1398" s="1"/>
      <c r="F1398" s="1"/>
    </row>
    <row r="1399" spans="5:6" ht="12.75">
      <c r="E1399" s="1"/>
      <c r="F1399" s="1"/>
    </row>
    <row r="1400" spans="5:6" ht="12.75">
      <c r="E1400" s="1"/>
      <c r="F1400" s="1"/>
    </row>
    <row r="1401" spans="5:6" ht="12.75">
      <c r="E1401" s="1"/>
      <c r="F1401" s="1"/>
    </row>
    <row r="1402" spans="5:6" ht="12.75">
      <c r="E1402" s="1"/>
      <c r="F1402" s="1"/>
    </row>
    <row r="1403" spans="5:6" ht="12.75">
      <c r="E1403" s="1"/>
      <c r="F1403" s="1"/>
    </row>
    <row r="1404" spans="5:6" ht="12.75">
      <c r="E1404" s="1"/>
      <c r="F1404" s="1"/>
    </row>
    <row r="1405" spans="5:6" ht="12.75">
      <c r="E1405" s="1"/>
      <c r="F1405" s="1"/>
    </row>
    <row r="1406" spans="5:6" ht="12.75">
      <c r="E1406" s="1"/>
      <c r="F1406" s="1"/>
    </row>
    <row r="1407" spans="5:6" ht="12.75">
      <c r="E1407" s="1"/>
      <c r="F1407" s="1"/>
    </row>
    <row r="1408" spans="5:6" ht="12.75">
      <c r="E1408" s="1"/>
      <c r="F1408" s="1"/>
    </row>
    <row r="1409" spans="5:6" ht="12.75">
      <c r="E1409" s="1"/>
      <c r="F1409" s="1"/>
    </row>
    <row r="1410" spans="5:6" ht="12.75">
      <c r="E1410" s="1"/>
      <c r="F1410" s="1"/>
    </row>
    <row r="1411" spans="5:6" ht="12.75">
      <c r="E1411" s="1"/>
      <c r="F1411" s="1"/>
    </row>
    <row r="1412" spans="5:6" ht="12.75">
      <c r="E1412" s="1"/>
      <c r="F1412" s="1"/>
    </row>
    <row r="1413" spans="5:6" ht="12.75">
      <c r="E1413" s="1"/>
      <c r="F1413" s="1"/>
    </row>
    <row r="1414" spans="5:6" ht="12.75">
      <c r="E1414" s="1"/>
      <c r="F1414" s="1"/>
    </row>
    <row r="1415" spans="5:6" ht="12.75">
      <c r="E1415" s="1"/>
      <c r="F1415" s="1"/>
    </row>
    <row r="1416" spans="5:6" ht="12.75">
      <c r="E1416" s="1"/>
      <c r="F1416" s="1"/>
    </row>
    <row r="1417" spans="5:6" ht="12.75">
      <c r="E1417" s="1"/>
      <c r="F1417" s="1"/>
    </row>
    <row r="1418" spans="5:6" ht="12.75">
      <c r="E1418" s="1"/>
      <c r="F1418" s="1"/>
    </row>
    <row r="1419" spans="5:6" ht="12.75">
      <c r="E1419" s="1"/>
      <c r="F1419" s="1"/>
    </row>
    <row r="1420" spans="5:6" ht="12.75">
      <c r="E1420" s="1"/>
      <c r="F1420" s="1"/>
    </row>
    <row r="1421" spans="5:6" ht="12.75">
      <c r="E1421" s="1"/>
      <c r="F1421" s="1"/>
    </row>
    <row r="1422" spans="5:6" ht="12.75">
      <c r="E1422" s="1"/>
      <c r="F1422" s="1"/>
    </row>
    <row r="1423" spans="5:6" ht="12.75">
      <c r="E1423" s="1"/>
      <c r="F1423" s="1"/>
    </row>
    <row r="1424" spans="5:6" ht="12.75">
      <c r="E1424" s="1"/>
      <c r="F1424" s="1"/>
    </row>
    <row r="1425" spans="5:6" ht="12.75">
      <c r="E1425" s="1"/>
      <c r="F1425" s="1"/>
    </row>
    <row r="1426" spans="5:6" ht="12.75">
      <c r="E1426" s="1"/>
      <c r="F1426" s="1"/>
    </row>
    <row r="1427" spans="5:6" ht="12.75">
      <c r="E1427" s="1"/>
      <c r="F1427" s="1"/>
    </row>
    <row r="1428" spans="5:6" ht="12.75">
      <c r="E1428" s="1"/>
      <c r="F1428" s="1"/>
    </row>
    <row r="1429" spans="5:6" ht="12.75">
      <c r="E1429" s="1"/>
      <c r="F1429" s="1"/>
    </row>
    <row r="1430" spans="5:6" ht="12.75">
      <c r="E1430" s="1"/>
      <c r="F1430" s="1"/>
    </row>
    <row r="1431" spans="5:6" ht="12.75">
      <c r="E1431" s="1"/>
      <c r="F1431" s="1"/>
    </row>
    <row r="1432" spans="5:6" ht="12.75">
      <c r="E1432" s="1"/>
      <c r="F1432" s="1"/>
    </row>
    <row r="1433" spans="5:6" ht="12.75">
      <c r="E1433" s="1"/>
      <c r="F1433" s="1"/>
    </row>
    <row r="1434" spans="5:6" ht="12.75">
      <c r="E1434" s="1"/>
      <c r="F1434" s="1"/>
    </row>
    <row r="1435" spans="5:6" ht="12.75">
      <c r="E1435" s="1"/>
      <c r="F1435" s="1"/>
    </row>
    <row r="1436" spans="5:6" ht="12.75">
      <c r="E1436" s="1"/>
      <c r="F1436" s="1"/>
    </row>
    <row r="1437" spans="5:6" ht="12.75">
      <c r="E1437" s="1"/>
      <c r="F1437" s="1"/>
    </row>
    <row r="1438" spans="5:6" ht="12.75">
      <c r="E1438" s="1"/>
      <c r="F1438" s="1"/>
    </row>
    <row r="1439" spans="5:6" ht="12.75">
      <c r="E1439" s="1"/>
      <c r="F1439" s="1"/>
    </row>
    <row r="1440" spans="5:6" ht="12.75">
      <c r="E1440" s="1"/>
      <c r="F1440" s="1"/>
    </row>
    <row r="1441" spans="5:6" ht="12.75">
      <c r="E1441" s="1"/>
      <c r="F1441" s="1"/>
    </row>
    <row r="1442" spans="5:6" ht="12.75">
      <c r="E1442" s="1"/>
      <c r="F1442" s="1"/>
    </row>
    <row r="1443" spans="5:6" ht="12.75">
      <c r="E1443" s="1"/>
      <c r="F1443" s="1"/>
    </row>
    <row r="1444" spans="5:6" ht="12.75">
      <c r="E1444" s="1"/>
      <c r="F1444" s="1"/>
    </row>
    <row r="1445" spans="5:6" ht="12.75">
      <c r="E1445" s="1"/>
      <c r="F1445" s="1"/>
    </row>
    <row r="1446" spans="5:6" ht="12.75">
      <c r="E1446" s="1"/>
      <c r="F1446" s="1"/>
    </row>
    <row r="1447" spans="5:6" ht="12.75">
      <c r="E1447" s="1"/>
      <c r="F1447" s="1"/>
    </row>
    <row r="1448" spans="5:6" ht="12.75">
      <c r="E1448" s="1"/>
      <c r="F1448" s="1"/>
    </row>
    <row r="1449" spans="5:6" ht="12.75">
      <c r="E1449" s="1"/>
      <c r="F1449" s="1"/>
    </row>
    <row r="1450" spans="5:6" ht="12.75">
      <c r="E1450" s="1"/>
      <c r="F1450" s="1"/>
    </row>
    <row r="1451" spans="5:6" ht="12.75">
      <c r="E1451" s="1"/>
      <c r="F1451" s="1"/>
    </row>
    <row r="1452" spans="5:6" ht="12.75">
      <c r="E1452" s="1"/>
      <c r="F1452" s="1"/>
    </row>
    <row r="1453" spans="5:6" ht="12.75">
      <c r="E1453" s="1"/>
      <c r="F1453" s="1"/>
    </row>
    <row r="1454" spans="5:6" ht="12.75">
      <c r="E1454" s="1"/>
      <c r="F1454" s="1"/>
    </row>
    <row r="1455" spans="5:6" ht="12.75">
      <c r="E1455" s="1"/>
      <c r="F1455" s="1"/>
    </row>
    <row r="1456" spans="5:6" ht="12.75">
      <c r="E1456" s="1"/>
      <c r="F1456" s="1"/>
    </row>
    <row r="1457" spans="5:6" ht="12.75">
      <c r="E1457" s="1"/>
      <c r="F1457" s="1"/>
    </row>
    <row r="1458" spans="5:6" ht="12.75">
      <c r="E1458" s="1"/>
      <c r="F1458" s="1"/>
    </row>
    <row r="1459" spans="5:6" ht="12.75">
      <c r="E1459" s="1"/>
      <c r="F1459" s="1"/>
    </row>
    <row r="1460" spans="5:6" ht="12.75">
      <c r="E1460" s="1"/>
      <c r="F1460" s="1"/>
    </row>
    <row r="1461" spans="5:6" ht="12.75">
      <c r="E1461" s="1"/>
      <c r="F1461" s="1"/>
    </row>
    <row r="1462" spans="5:6" ht="12.75">
      <c r="E1462" s="1"/>
      <c r="F1462" s="1"/>
    </row>
    <row r="1463" spans="5:6" ht="12.75">
      <c r="E1463" s="1"/>
      <c r="F1463" s="1"/>
    </row>
    <row r="1464" spans="5:6" ht="12.75">
      <c r="E1464" s="1"/>
      <c r="F1464" s="1"/>
    </row>
    <row r="1465" spans="5:6" ht="12.75">
      <c r="E1465" s="1"/>
      <c r="F1465" s="1"/>
    </row>
    <row r="1466" spans="5:6" ht="12.75">
      <c r="E1466" s="1"/>
      <c r="F1466" s="1"/>
    </row>
    <row r="1467" spans="5:6" ht="12.75">
      <c r="E1467" s="1"/>
      <c r="F1467" s="1"/>
    </row>
    <row r="1468" spans="5:6" ht="12.75">
      <c r="E1468" s="1"/>
      <c r="F1468" s="1"/>
    </row>
    <row r="1469" spans="5:6" ht="12.75">
      <c r="E1469" s="1"/>
      <c r="F1469" s="1"/>
    </row>
    <row r="1470" spans="5:6" ht="12.75">
      <c r="E1470" s="1"/>
      <c r="F1470" s="1"/>
    </row>
    <row r="1471" spans="5:6" ht="12.75">
      <c r="E1471" s="1"/>
      <c r="F1471" s="1"/>
    </row>
    <row r="1472" spans="5:6" ht="12.75">
      <c r="E1472" s="1"/>
      <c r="F1472" s="1"/>
    </row>
    <row r="1473" spans="5:6" ht="12.75">
      <c r="E1473" s="1"/>
      <c r="F1473" s="1"/>
    </row>
    <row r="1474" spans="5:6" ht="12.75">
      <c r="E1474" s="1"/>
      <c r="F1474" s="1"/>
    </row>
    <row r="1475" spans="5:6" ht="12.75">
      <c r="E1475" s="1"/>
      <c r="F1475" s="1"/>
    </row>
    <row r="1476" spans="5:6" ht="12.75">
      <c r="E1476" s="1"/>
      <c r="F1476" s="1"/>
    </row>
    <row r="1477" spans="5:6" ht="12.75">
      <c r="E1477" s="1"/>
      <c r="F1477" s="1"/>
    </row>
    <row r="1478" spans="5:6" ht="12.75">
      <c r="E1478" s="1"/>
      <c r="F1478" s="1"/>
    </row>
    <row r="1479" spans="5:6" ht="12.75">
      <c r="E1479" s="1"/>
      <c r="F1479" s="1"/>
    </row>
    <row r="1480" spans="5:6" ht="12.75">
      <c r="E1480" s="1"/>
      <c r="F1480" s="1"/>
    </row>
    <row r="1481" spans="5:6" ht="12.75">
      <c r="E1481" s="1"/>
      <c r="F1481" s="1"/>
    </row>
    <row r="1482" spans="5:6" ht="12.75">
      <c r="E1482" s="1"/>
      <c r="F1482" s="1"/>
    </row>
    <row r="1483" spans="5:6" ht="12.75">
      <c r="E1483" s="1"/>
      <c r="F1483" s="1"/>
    </row>
    <row r="1484" spans="5:6" ht="12.75">
      <c r="E1484" s="1"/>
      <c r="F1484" s="1"/>
    </row>
    <row r="1485" spans="5:6" ht="12.75">
      <c r="E1485" s="1"/>
      <c r="F1485" s="1"/>
    </row>
    <row r="1486" spans="5:6" ht="12.75">
      <c r="E1486" s="1"/>
      <c r="F1486" s="1"/>
    </row>
    <row r="1487" spans="5:6" ht="12.75">
      <c r="E1487" s="1"/>
      <c r="F1487" s="1"/>
    </row>
    <row r="1488" spans="5:6" ht="12.75">
      <c r="E1488" s="1"/>
      <c r="F1488" s="1"/>
    </row>
    <row r="1489" spans="5:6" ht="12.75">
      <c r="E1489" s="1"/>
      <c r="F1489" s="1"/>
    </row>
    <row r="1490" spans="5:6" ht="12.75">
      <c r="E1490" s="1"/>
      <c r="F1490" s="1"/>
    </row>
    <row r="1491" spans="5:6" ht="12.75">
      <c r="E1491" s="1"/>
      <c r="F1491" s="1"/>
    </row>
    <row r="1492" spans="5:6" ht="12.75">
      <c r="E1492" s="1"/>
      <c r="F1492" s="1"/>
    </row>
    <row r="1493" spans="5:6" ht="12.75">
      <c r="E1493" s="1"/>
      <c r="F1493" s="1"/>
    </row>
    <row r="1494" spans="5:6" ht="12.75">
      <c r="E1494" s="1"/>
      <c r="F1494" s="1"/>
    </row>
    <row r="1495" spans="5:6" ht="12.75">
      <c r="E1495" s="1"/>
      <c r="F1495" s="1"/>
    </row>
    <row r="1496" spans="5:6" ht="12.75">
      <c r="E1496" s="1"/>
      <c r="F1496" s="1"/>
    </row>
    <row r="1497" spans="5:6" ht="12.75">
      <c r="E1497" s="1"/>
      <c r="F1497" s="1"/>
    </row>
    <row r="1498" spans="5:6" ht="12.75">
      <c r="E1498" s="1"/>
      <c r="F1498" s="1"/>
    </row>
    <row r="1499" spans="5:6" ht="12.75">
      <c r="E1499" s="1"/>
      <c r="F1499" s="1"/>
    </row>
    <row r="1500" spans="5:6" ht="12.75">
      <c r="E1500" s="1"/>
      <c r="F1500" s="1"/>
    </row>
    <row r="1501" spans="5:6" ht="12.75">
      <c r="E1501" s="1"/>
      <c r="F1501" s="1"/>
    </row>
    <row r="1502" spans="5:6" ht="12.75">
      <c r="E1502" s="1"/>
      <c r="F1502" s="1"/>
    </row>
    <row r="1503" spans="5:6" ht="12.75">
      <c r="E1503" s="1"/>
      <c r="F1503" s="1"/>
    </row>
    <row r="1504" spans="5:6" ht="12.75">
      <c r="E1504" s="1"/>
      <c r="F1504" s="1"/>
    </row>
    <row r="1505" spans="5:6" ht="12.75">
      <c r="E1505" s="1"/>
      <c r="F1505" s="1"/>
    </row>
    <row r="1506" spans="5:6" ht="12.75">
      <c r="E1506" s="1"/>
      <c r="F1506" s="1"/>
    </row>
    <row r="1507" spans="5:6" ht="12.75">
      <c r="E1507" s="1"/>
      <c r="F1507" s="1"/>
    </row>
    <row r="1508" spans="5:6" ht="12.75">
      <c r="E1508" s="1"/>
      <c r="F1508" s="1"/>
    </row>
    <row r="1509" spans="5:6" ht="12.75">
      <c r="E1509" s="1"/>
      <c r="F1509" s="1"/>
    </row>
    <row r="1510" spans="5:6" ht="12.75">
      <c r="E1510" s="1"/>
      <c r="F1510" s="1"/>
    </row>
    <row r="1511" spans="5:6" ht="12.75">
      <c r="E1511" s="1"/>
      <c r="F1511" s="1"/>
    </row>
    <row r="1512" spans="5:6" ht="12.75">
      <c r="E1512" s="1"/>
      <c r="F1512" s="1"/>
    </row>
    <row r="1513" spans="5:6" ht="12.75">
      <c r="E1513" s="1"/>
      <c r="F1513" s="1"/>
    </row>
    <row r="1514" spans="5:6" ht="12.75">
      <c r="E1514" s="1"/>
      <c r="F1514" s="1"/>
    </row>
    <row r="1515" spans="5:6" ht="12.75">
      <c r="E1515" s="1"/>
      <c r="F1515" s="1"/>
    </row>
    <row r="1516" spans="5:6" ht="12.75">
      <c r="E1516" s="1"/>
      <c r="F1516" s="1"/>
    </row>
    <row r="1517" spans="5:6" ht="12.75">
      <c r="E1517" s="1"/>
      <c r="F1517" s="1"/>
    </row>
    <row r="1518" spans="5:6" ht="12.75">
      <c r="E1518" s="1"/>
      <c r="F1518" s="1"/>
    </row>
    <row r="1519" spans="5:6" ht="12.75">
      <c r="E1519" s="1"/>
      <c r="F1519" s="1"/>
    </row>
    <row r="1520" spans="5:6" ht="12.75">
      <c r="E1520" s="1"/>
      <c r="F1520" s="1"/>
    </row>
    <row r="1521" spans="5:6" ht="12.75">
      <c r="E1521" s="1"/>
      <c r="F1521" s="1"/>
    </row>
    <row r="1522" spans="5:6" ht="12.75">
      <c r="E1522" s="1"/>
      <c r="F1522" s="1"/>
    </row>
    <row r="1523" spans="5:6" ht="12.75">
      <c r="E1523" s="1"/>
      <c r="F1523" s="1"/>
    </row>
    <row r="1524" spans="5:6" ht="12.75">
      <c r="E1524" s="1"/>
      <c r="F1524" s="1"/>
    </row>
    <row r="1525" spans="5:6" ht="12.75">
      <c r="E1525" s="1"/>
      <c r="F1525" s="1"/>
    </row>
    <row r="1526" spans="5:6" ht="12.75">
      <c r="E1526" s="1"/>
      <c r="F1526" s="1"/>
    </row>
    <row r="1527" spans="5:6" ht="12.75">
      <c r="E1527" s="1"/>
      <c r="F1527" s="1"/>
    </row>
    <row r="1528" spans="5:6" ht="12.75">
      <c r="E1528" s="1"/>
      <c r="F1528" s="1"/>
    </row>
    <row r="1529" spans="5:6" ht="12.75">
      <c r="E1529" s="1"/>
      <c r="F1529" s="1"/>
    </row>
    <row r="1530" spans="5:6" ht="12.75">
      <c r="E1530" s="1"/>
      <c r="F1530" s="1"/>
    </row>
    <row r="1531" spans="5:6" ht="12.75">
      <c r="E1531" s="1"/>
      <c r="F1531" s="1"/>
    </row>
    <row r="1532" spans="5:6" ht="12.75">
      <c r="E1532" s="1"/>
      <c r="F1532" s="1"/>
    </row>
    <row r="1533" spans="5:6" ht="12.75">
      <c r="E1533" s="1"/>
      <c r="F1533" s="1"/>
    </row>
    <row r="1534" spans="5:6" ht="12.75">
      <c r="E1534" s="1"/>
      <c r="F1534" s="1"/>
    </row>
    <row r="1535" spans="5:6" ht="12.75">
      <c r="E1535" s="1"/>
      <c r="F1535" s="1"/>
    </row>
    <row r="1536" spans="5:6" ht="12.75">
      <c r="E1536" s="1"/>
      <c r="F1536" s="1"/>
    </row>
    <row r="1537" spans="5:6" ht="12.75">
      <c r="E1537" s="1"/>
      <c r="F1537" s="1"/>
    </row>
    <row r="1538" spans="5:6" ht="12.75">
      <c r="E1538" s="1"/>
      <c r="F1538" s="1"/>
    </row>
    <row r="1539" spans="5:6" ht="12.75">
      <c r="E1539" s="1"/>
      <c r="F1539" s="1"/>
    </row>
    <row r="1540" spans="5:6" ht="12.75">
      <c r="E1540" s="1"/>
      <c r="F1540" s="1"/>
    </row>
    <row r="1541" spans="5:6" ht="12.75">
      <c r="E1541" s="1"/>
      <c r="F1541" s="1"/>
    </row>
    <row r="1542" spans="5:6" ht="12.75">
      <c r="E1542" s="1"/>
      <c r="F1542" s="1"/>
    </row>
    <row r="1543" spans="5:6" ht="12.75">
      <c r="E1543" s="1"/>
      <c r="F1543" s="1"/>
    </row>
    <row r="1544" spans="5:6" ht="12.75">
      <c r="E1544" s="1"/>
      <c r="F1544" s="1"/>
    </row>
    <row r="1545" spans="5:6" ht="12.75">
      <c r="E1545" s="1"/>
      <c r="F1545" s="1"/>
    </row>
    <row r="1546" spans="5:6" ht="12.75">
      <c r="E1546" s="1"/>
      <c r="F1546" s="1"/>
    </row>
    <row r="1547" spans="5:6" ht="12.75">
      <c r="E1547" s="1"/>
      <c r="F1547" s="1"/>
    </row>
    <row r="1548" spans="5:6" ht="12.75">
      <c r="E1548" s="1"/>
      <c r="F1548" s="1"/>
    </row>
    <row r="1549" spans="5:6" ht="12.75">
      <c r="E1549" s="1"/>
      <c r="F1549" s="1"/>
    </row>
    <row r="1550" spans="5:6" ht="12.75">
      <c r="E1550" s="1"/>
      <c r="F1550" s="1"/>
    </row>
    <row r="1551" spans="5:6" ht="12.75">
      <c r="E1551" s="1"/>
      <c r="F1551" s="1"/>
    </row>
    <row r="1552" spans="5:6" ht="12.75">
      <c r="E1552" s="1"/>
      <c r="F1552" s="1"/>
    </row>
    <row r="1553" spans="5:6" ht="12.75">
      <c r="E1553" s="1"/>
      <c r="F1553" s="1"/>
    </row>
    <row r="1554" spans="5:6" ht="12.75">
      <c r="E1554" s="1"/>
      <c r="F1554" s="1"/>
    </row>
    <row r="1555" spans="5:6" ht="12.75">
      <c r="E1555" s="1"/>
      <c r="F1555" s="1"/>
    </row>
    <row r="1556" spans="5:6" ht="12.75">
      <c r="E1556" s="1"/>
      <c r="F1556" s="1"/>
    </row>
    <row r="1557" spans="5:6" ht="12.75">
      <c r="E1557" s="1"/>
      <c r="F1557" s="1"/>
    </row>
    <row r="1558" spans="5:6" ht="12.75">
      <c r="E1558" s="1"/>
      <c r="F1558" s="1"/>
    </row>
    <row r="1559" spans="5:6" ht="12.75">
      <c r="E1559" s="1"/>
      <c r="F1559" s="1"/>
    </row>
    <row r="1560" spans="5:6" ht="12.75">
      <c r="E1560" s="1"/>
      <c r="F1560" s="1"/>
    </row>
    <row r="1561" spans="5:6" ht="12.75">
      <c r="E1561" s="1"/>
      <c r="F1561" s="1"/>
    </row>
    <row r="1562" spans="5:6" ht="12.75">
      <c r="E1562" s="1"/>
      <c r="F1562" s="1"/>
    </row>
    <row r="1563" spans="5:6" ht="12.75">
      <c r="E1563" s="1"/>
      <c r="F1563" s="1"/>
    </row>
    <row r="1564" spans="5:6" ht="12.75">
      <c r="E1564" s="1"/>
      <c r="F1564" s="1"/>
    </row>
    <row r="1565" spans="5:6" ht="12.75">
      <c r="E1565" s="1"/>
      <c r="F1565" s="1"/>
    </row>
    <row r="1566" spans="5:6" ht="12.75">
      <c r="E1566" s="1"/>
      <c r="F1566" s="1"/>
    </row>
    <row r="1567" spans="5:6" ht="12.75">
      <c r="E1567" s="1"/>
      <c r="F1567" s="1"/>
    </row>
    <row r="1568" spans="5:6" ht="12.75">
      <c r="E1568" s="1"/>
      <c r="F1568" s="1"/>
    </row>
    <row r="1569" spans="5:6" ht="12.75">
      <c r="E1569" s="1"/>
      <c r="F1569" s="1"/>
    </row>
    <row r="1570" spans="5:6" ht="12.75">
      <c r="E1570" s="1"/>
      <c r="F1570" s="1"/>
    </row>
    <row r="1571" spans="5:6" ht="12.75">
      <c r="E1571" s="1"/>
      <c r="F1571" s="1"/>
    </row>
    <row r="1572" spans="5:6" ht="12.75">
      <c r="E1572" s="1"/>
      <c r="F1572" s="1"/>
    </row>
    <row r="1573" spans="5:6" ht="12.75">
      <c r="E1573" s="1"/>
      <c r="F1573" s="1"/>
    </row>
    <row r="1574" spans="5:6" ht="12.75">
      <c r="E1574" s="1"/>
      <c r="F1574" s="1"/>
    </row>
    <row r="1575" spans="5:6" ht="12.75">
      <c r="E1575" s="1"/>
      <c r="F1575" s="1"/>
    </row>
    <row r="1576" spans="5:6" ht="12.75">
      <c r="E1576" s="1"/>
      <c r="F1576" s="1"/>
    </row>
    <row r="1577" spans="5:6" ht="12.75">
      <c r="E1577" s="1"/>
      <c r="F1577" s="1"/>
    </row>
    <row r="1578" spans="5:6" ht="12.75">
      <c r="E1578" s="1"/>
      <c r="F1578" s="1"/>
    </row>
    <row r="1579" spans="5:6" ht="12.75">
      <c r="E1579" s="1"/>
      <c r="F1579" s="1"/>
    </row>
    <row r="1580" spans="5:6" ht="12.75">
      <c r="E1580" s="1"/>
      <c r="F1580" s="1"/>
    </row>
    <row r="1581" spans="5:6" ht="12.75">
      <c r="E1581" s="1"/>
      <c r="F1581" s="1"/>
    </row>
    <row r="1582" spans="5:6" ht="12.75">
      <c r="E1582" s="1"/>
      <c r="F1582" s="1"/>
    </row>
    <row r="1583" spans="5:6" ht="12.75">
      <c r="E1583" s="1"/>
      <c r="F1583" s="1"/>
    </row>
    <row r="1584" spans="5:6" ht="12.75">
      <c r="E1584" s="1"/>
      <c r="F1584" s="1"/>
    </row>
    <row r="1585" spans="5:6" ht="12.75">
      <c r="E1585" s="1"/>
      <c r="F1585" s="1"/>
    </row>
    <row r="1586" spans="5:6" ht="12.75">
      <c r="E1586" s="1"/>
      <c r="F1586" s="1"/>
    </row>
    <row r="1587" spans="5:6" ht="12.75">
      <c r="E1587" s="1"/>
      <c r="F1587" s="1"/>
    </row>
    <row r="1588" spans="5:6" ht="12.75">
      <c r="E1588" s="1"/>
      <c r="F1588" s="1"/>
    </row>
    <row r="1589" spans="5:6" ht="12.75">
      <c r="E1589" s="1"/>
      <c r="F1589" s="1"/>
    </row>
    <row r="1590" spans="5:6" ht="12.75">
      <c r="E1590" s="1"/>
      <c r="F1590" s="1"/>
    </row>
    <row r="1591" spans="5:6" ht="12.75">
      <c r="E1591" s="1"/>
      <c r="F1591" s="1"/>
    </row>
    <row r="1592" spans="5:6" ht="12.75">
      <c r="E1592" s="1"/>
      <c r="F1592" s="1"/>
    </row>
    <row r="1593" spans="5:6" ht="12.75">
      <c r="E1593" s="1"/>
      <c r="F1593" s="1"/>
    </row>
    <row r="1594" spans="5:6" ht="12.75">
      <c r="E1594" s="1"/>
      <c r="F1594" s="1"/>
    </row>
    <row r="1595" spans="5:6" ht="12.75">
      <c r="E1595" s="1"/>
      <c r="F1595" s="1"/>
    </row>
    <row r="1596" spans="5:6" ht="12.75">
      <c r="E1596" s="1"/>
      <c r="F1596" s="1"/>
    </row>
    <row r="1597" spans="5:6" ht="12.75">
      <c r="E1597" s="1"/>
      <c r="F1597" s="1"/>
    </row>
    <row r="1598" spans="5:6" ht="12.75">
      <c r="E1598" s="1"/>
      <c r="F1598" s="1"/>
    </row>
    <row r="1599" spans="5:6" ht="12.75">
      <c r="E1599" s="1"/>
      <c r="F1599" s="1"/>
    </row>
    <row r="1600" spans="5:6" ht="12.75">
      <c r="E1600" s="1"/>
      <c r="F1600" s="1"/>
    </row>
    <row r="1601" spans="5:6" ht="12.75">
      <c r="E1601" s="1"/>
      <c r="F1601" s="1"/>
    </row>
    <row r="1602" spans="5:6" ht="12.75">
      <c r="E1602" s="1"/>
      <c r="F1602" s="1"/>
    </row>
    <row r="1603" spans="5:6" ht="12.75">
      <c r="E1603" s="1"/>
      <c r="F1603" s="1"/>
    </row>
    <row r="1604" spans="5:6" ht="12.75">
      <c r="E1604" s="1"/>
      <c r="F1604" s="1"/>
    </row>
    <row r="1605" spans="5:6" ht="12.75">
      <c r="E1605" s="1"/>
      <c r="F1605" s="1"/>
    </row>
    <row r="1606" spans="5:6" ht="12.75">
      <c r="E1606" s="1"/>
      <c r="F1606" s="1"/>
    </row>
    <row r="1607" spans="5:6" ht="12.75">
      <c r="E1607" s="1"/>
      <c r="F1607" s="1"/>
    </row>
    <row r="1608" spans="5:6" ht="12.75">
      <c r="E1608" s="1"/>
      <c r="F1608" s="1"/>
    </row>
    <row r="1609" spans="5:6" ht="12.75">
      <c r="E1609" s="1"/>
      <c r="F1609" s="1"/>
    </row>
    <row r="1610" spans="5:6" ht="12.75">
      <c r="E1610" s="1"/>
      <c r="F1610" s="1"/>
    </row>
    <row r="1611" spans="5:6" ht="12.75">
      <c r="E1611" s="1"/>
      <c r="F1611" s="1"/>
    </row>
    <row r="1612" spans="5:6" ht="12.75">
      <c r="E1612" s="1"/>
      <c r="F1612" s="1"/>
    </row>
    <row r="1613" spans="5:6" ht="12.75">
      <c r="E1613" s="1"/>
      <c r="F1613" s="1"/>
    </row>
    <row r="1614" spans="5:6" ht="12.75">
      <c r="E1614" s="1"/>
      <c r="F1614" s="1"/>
    </row>
    <row r="1615" spans="5:6" ht="12.75">
      <c r="E1615" s="1"/>
      <c r="F1615" s="1"/>
    </row>
    <row r="1616" spans="5:6" ht="12.75">
      <c r="E1616" s="1"/>
      <c r="F1616" s="1"/>
    </row>
    <row r="1617" spans="5:6" ht="12.75">
      <c r="E1617" s="1"/>
      <c r="F1617" s="1"/>
    </row>
    <row r="1618" spans="5:6" ht="12.75">
      <c r="E1618" s="1"/>
      <c r="F1618" s="1"/>
    </row>
    <row r="1619" spans="5:6" ht="12.75">
      <c r="E1619" s="1"/>
      <c r="F1619" s="1"/>
    </row>
    <row r="1620" spans="5:6" ht="12.75">
      <c r="E1620" s="1"/>
      <c r="F1620" s="1"/>
    </row>
    <row r="1621" spans="5:6" ht="12.75">
      <c r="E1621" s="1"/>
      <c r="F1621" s="1"/>
    </row>
    <row r="1622" spans="5:6" ht="12.75">
      <c r="E1622" s="1"/>
      <c r="F1622" s="1"/>
    </row>
    <row r="1623" spans="5:6" ht="12.75">
      <c r="E1623" s="1"/>
      <c r="F1623" s="1"/>
    </row>
    <row r="1624" spans="5:6" ht="12.75">
      <c r="E1624" s="1"/>
      <c r="F1624" s="1"/>
    </row>
    <row r="1625" spans="5:6" ht="12.75">
      <c r="E1625" s="1"/>
      <c r="F1625" s="1"/>
    </row>
    <row r="1626" spans="5:6" ht="12.75">
      <c r="E1626" s="1"/>
      <c r="F1626" s="1"/>
    </row>
    <row r="1627" spans="5:6" ht="12.75">
      <c r="E1627" s="1"/>
      <c r="F1627" s="1"/>
    </row>
    <row r="1628" spans="5:6" ht="12.75">
      <c r="E1628" s="1"/>
      <c r="F1628" s="1"/>
    </row>
    <row r="1629" spans="5:6" ht="12.75">
      <c r="E1629" s="1"/>
      <c r="F1629" s="1"/>
    </row>
    <row r="1630" spans="5:6" ht="12.75">
      <c r="E1630" s="1"/>
      <c r="F1630" s="1"/>
    </row>
    <row r="1631" spans="5:6" ht="12.75">
      <c r="E1631" s="1"/>
      <c r="F1631" s="1"/>
    </row>
    <row r="1632" spans="5:6" ht="12.75">
      <c r="E1632" s="1"/>
      <c r="F1632" s="1"/>
    </row>
    <row r="1633" spans="5:6" ht="12.75">
      <c r="E1633" s="1"/>
      <c r="F1633" s="1"/>
    </row>
    <row r="1634" spans="5:6" ht="12.75">
      <c r="E1634" s="1"/>
      <c r="F1634" s="1"/>
    </row>
    <row r="1635" spans="5:6" ht="12.75">
      <c r="E1635" s="1"/>
      <c r="F1635" s="1"/>
    </row>
    <row r="1636" spans="5:6" ht="12.75">
      <c r="E1636" s="1"/>
      <c r="F1636" s="1"/>
    </row>
    <row r="1637" spans="5:6" ht="12.75">
      <c r="E1637" s="1"/>
      <c r="F1637" s="1"/>
    </row>
    <row r="1638" spans="5:6" ht="12.75">
      <c r="E1638" s="1"/>
      <c r="F1638" s="1"/>
    </row>
    <row r="1639" spans="5:6" ht="12.75">
      <c r="E1639" s="1"/>
      <c r="F1639" s="1"/>
    </row>
    <row r="1640" spans="5:6" ht="12.75">
      <c r="E1640" s="1"/>
      <c r="F1640" s="1"/>
    </row>
    <row r="1641" spans="5:6" ht="12.75">
      <c r="E1641" s="1"/>
      <c r="F1641" s="1"/>
    </row>
    <row r="1642" spans="5:6" ht="12.75">
      <c r="E1642" s="1"/>
      <c r="F1642" s="1"/>
    </row>
    <row r="1643" spans="5:6" ht="12.75">
      <c r="E1643" s="1"/>
      <c r="F1643" s="1"/>
    </row>
    <row r="1644" spans="5:6" ht="12.75">
      <c r="E1644" s="1"/>
      <c r="F1644" s="1"/>
    </row>
    <row r="1645" spans="5:6" ht="12.75">
      <c r="E1645" s="1"/>
      <c r="F1645" s="1"/>
    </row>
    <row r="1646" spans="5:6" ht="12.75">
      <c r="E1646" s="1"/>
      <c r="F1646" s="1"/>
    </row>
    <row r="1647" spans="5:6" ht="12.75">
      <c r="E1647" s="1"/>
      <c r="F1647" s="1"/>
    </row>
    <row r="1648" spans="5:6" ht="12.75">
      <c r="E1648" s="1"/>
      <c r="F1648" s="1"/>
    </row>
    <row r="1649" spans="5:6" ht="12.75">
      <c r="E1649" s="1"/>
      <c r="F1649" s="1"/>
    </row>
    <row r="1650" spans="5:6" ht="12.75">
      <c r="E1650" s="1"/>
      <c r="F1650" s="1"/>
    </row>
    <row r="1651" spans="5:6" ht="12.75">
      <c r="E1651" s="1"/>
      <c r="F1651" s="1"/>
    </row>
    <row r="1652" spans="5:6" ht="12.75">
      <c r="E1652" s="1"/>
      <c r="F1652" s="1"/>
    </row>
    <row r="1653" spans="5:6" ht="12.75">
      <c r="E1653" s="1"/>
      <c r="F1653" s="1"/>
    </row>
    <row r="1654" spans="5:6" ht="12.75">
      <c r="E1654" s="1"/>
      <c r="F1654" s="1"/>
    </row>
    <row r="1655" spans="5:6" ht="12.75">
      <c r="E1655" s="1"/>
      <c r="F1655" s="1"/>
    </row>
    <row r="1656" spans="5:6" ht="12.75">
      <c r="E1656" s="1"/>
      <c r="F1656" s="1"/>
    </row>
    <row r="1657" spans="5:6" ht="12.75">
      <c r="E1657" s="1"/>
      <c r="F1657" s="1"/>
    </row>
    <row r="1658" spans="5:6" ht="12.75">
      <c r="E1658" s="1"/>
      <c r="F1658" s="1"/>
    </row>
    <row r="1659" spans="5:6" ht="12.75">
      <c r="E1659" s="1"/>
      <c r="F1659" s="1"/>
    </row>
    <row r="1660" spans="5:6" ht="12.75">
      <c r="E1660" s="1"/>
      <c r="F1660" s="1"/>
    </row>
    <row r="1661" spans="5:6" ht="12.75">
      <c r="E1661" s="1"/>
      <c r="F1661" s="1"/>
    </row>
    <row r="1662" spans="5:6" ht="12.75">
      <c r="E1662" s="1"/>
      <c r="F1662" s="1"/>
    </row>
    <row r="1663" spans="5:6" ht="12.75">
      <c r="E1663" s="1"/>
      <c r="F1663" s="1"/>
    </row>
    <row r="1664" spans="5:6" ht="12.75">
      <c r="E1664" s="1"/>
      <c r="F1664" s="1"/>
    </row>
    <row r="1665" spans="5:6" ht="12.75">
      <c r="E1665" s="1"/>
      <c r="F1665" s="1"/>
    </row>
    <row r="1666" spans="5:6" ht="12.75">
      <c r="E1666" s="1"/>
      <c r="F1666" s="1"/>
    </row>
    <row r="1667" spans="5:6" ht="12.75">
      <c r="E1667" s="1"/>
      <c r="F1667" s="1"/>
    </row>
    <row r="1668" spans="5:6" ht="12.75">
      <c r="E1668" s="1"/>
      <c r="F1668" s="1"/>
    </row>
    <row r="1669" spans="5:6" ht="12.75">
      <c r="E1669" s="1"/>
      <c r="F1669" s="1"/>
    </row>
    <row r="1670" spans="5:6" ht="12.75">
      <c r="E1670" s="1"/>
      <c r="F1670" s="1"/>
    </row>
    <row r="1671" spans="5:6" ht="12.75">
      <c r="E1671" s="1"/>
      <c r="F1671" s="1"/>
    </row>
    <row r="1672" spans="5:6" ht="12.75">
      <c r="E1672" s="1"/>
      <c r="F1672" s="1"/>
    </row>
    <row r="1673" spans="5:6" ht="12.75">
      <c r="E1673" s="1"/>
      <c r="F1673" s="1"/>
    </row>
    <row r="1674" spans="5:6" ht="12.75">
      <c r="E1674" s="1"/>
      <c r="F1674" s="1"/>
    </row>
    <row r="1675" spans="5:6" ht="12.75">
      <c r="E1675" s="1"/>
      <c r="F1675" s="1"/>
    </row>
    <row r="1676" spans="5:6" ht="12.75">
      <c r="E1676" s="1"/>
      <c r="F1676" s="1"/>
    </row>
    <row r="1677" spans="5:6" ht="12.75">
      <c r="E1677" s="1"/>
      <c r="F1677" s="1"/>
    </row>
    <row r="1678" spans="5:6" ht="12.75">
      <c r="E1678" s="1"/>
      <c r="F1678" s="1"/>
    </row>
    <row r="1679" spans="5:6" ht="12.75">
      <c r="E1679" s="1"/>
      <c r="F1679" s="1"/>
    </row>
    <row r="1680" spans="5:6" ht="12.75">
      <c r="E1680" s="1"/>
      <c r="F1680" s="1"/>
    </row>
    <row r="1681" spans="5:6" ht="12.75">
      <c r="E1681" s="1"/>
      <c r="F1681" s="1"/>
    </row>
    <row r="1682" spans="5:6" ht="12.75">
      <c r="E1682" s="1"/>
      <c r="F1682" s="1"/>
    </row>
    <row r="1683" spans="5:6" ht="12.75">
      <c r="E1683" s="1"/>
      <c r="F1683" s="1"/>
    </row>
    <row r="1684" spans="5:6" ht="12.75">
      <c r="E1684" s="1"/>
      <c r="F1684" s="1"/>
    </row>
    <row r="1685" spans="5:6" ht="12.75">
      <c r="E1685" s="1"/>
      <c r="F1685" s="1"/>
    </row>
    <row r="1686" spans="5:6" ht="12.75">
      <c r="E1686" s="1"/>
      <c r="F1686" s="1"/>
    </row>
    <row r="1687" spans="5:6" ht="12.75">
      <c r="E1687" s="1"/>
      <c r="F1687" s="1"/>
    </row>
    <row r="1688" spans="5:6" ht="12.75">
      <c r="E1688" s="1"/>
      <c r="F1688" s="1"/>
    </row>
    <row r="1689" spans="5:6" ht="12.75">
      <c r="E1689" s="1"/>
      <c r="F1689" s="1"/>
    </row>
    <row r="1690" spans="5:6" ht="12.75">
      <c r="E1690" s="1"/>
      <c r="F1690" s="1"/>
    </row>
    <row r="1691" spans="5:6" ht="12.75">
      <c r="E1691" s="1"/>
      <c r="F1691" s="1"/>
    </row>
    <row r="1692" spans="5:6" ht="12.75">
      <c r="E1692" s="1"/>
      <c r="F1692" s="1"/>
    </row>
    <row r="1693" spans="5:6" ht="12.75">
      <c r="E1693" s="1"/>
      <c r="F1693" s="1"/>
    </row>
    <row r="1694" spans="5:6" ht="12.75">
      <c r="E1694" s="1"/>
      <c r="F1694" s="1"/>
    </row>
    <row r="1695" spans="5:6" ht="12.75">
      <c r="E1695" s="1"/>
      <c r="F1695" s="1"/>
    </row>
    <row r="1696" spans="5:6" ht="12.75">
      <c r="E1696" s="1"/>
      <c r="F1696" s="1"/>
    </row>
    <row r="1697" spans="5:6" ht="12.75">
      <c r="E1697" s="1"/>
      <c r="F1697" s="1"/>
    </row>
    <row r="1698" spans="5:6" ht="12.75">
      <c r="E1698" s="1"/>
      <c r="F1698" s="1"/>
    </row>
    <row r="1699" spans="5:6" ht="12.75">
      <c r="E1699" s="1"/>
      <c r="F1699" s="1"/>
    </row>
    <row r="1700" spans="5:6" ht="12.75">
      <c r="E1700" s="1"/>
      <c r="F1700" s="1"/>
    </row>
    <row r="1701" spans="5:6" ht="12.75">
      <c r="E1701" s="1"/>
      <c r="F1701" s="1"/>
    </row>
    <row r="1702" spans="5:6" ht="12.75">
      <c r="E1702" s="1"/>
      <c r="F1702" s="1"/>
    </row>
    <row r="1703" spans="5:6" ht="12.75">
      <c r="E1703" s="1"/>
      <c r="F1703" s="1"/>
    </row>
    <row r="1704" spans="5:6" ht="12.75">
      <c r="E1704" s="1"/>
      <c r="F1704" s="1"/>
    </row>
    <row r="1705" spans="5:6" ht="12.75">
      <c r="E1705" s="1"/>
      <c r="F1705" s="1"/>
    </row>
    <row r="1706" spans="5:6" ht="12.75">
      <c r="E1706" s="1"/>
      <c r="F1706" s="1"/>
    </row>
    <row r="1707" spans="5:6" ht="12.75">
      <c r="E1707" s="1"/>
      <c r="F1707" s="1"/>
    </row>
    <row r="1708" spans="5:6" ht="12.75">
      <c r="E1708" s="1"/>
      <c r="F1708" s="1"/>
    </row>
    <row r="1709" spans="5:6" ht="12.75">
      <c r="E1709" s="1"/>
      <c r="F1709" s="1"/>
    </row>
    <row r="1710" spans="5:6" ht="12.75">
      <c r="E1710" s="1"/>
      <c r="F1710" s="1"/>
    </row>
    <row r="1711" spans="5:6" ht="12.75">
      <c r="E1711" s="1"/>
      <c r="F1711" s="1"/>
    </row>
    <row r="1712" spans="5:6" ht="12.75">
      <c r="E1712" s="1"/>
      <c r="F1712" s="1"/>
    </row>
    <row r="1713" spans="5:6" ht="12.75">
      <c r="E1713" s="1"/>
      <c r="F1713" s="1"/>
    </row>
    <row r="1714" spans="5:6" ht="12.75">
      <c r="E1714" s="1"/>
      <c r="F1714" s="1"/>
    </row>
    <row r="1715" spans="5:6" ht="12.75">
      <c r="E1715" s="1"/>
      <c r="F1715" s="1"/>
    </row>
    <row r="1716" spans="5:6" ht="12.75">
      <c r="E1716" s="1"/>
      <c r="F1716" s="1"/>
    </row>
    <row r="1717" spans="5:6" ht="12.75">
      <c r="E1717" s="1"/>
      <c r="F1717" s="1"/>
    </row>
    <row r="1718" spans="5:6" ht="12.75">
      <c r="E1718" s="1"/>
      <c r="F1718" s="1"/>
    </row>
    <row r="1719" spans="5:6" ht="12.75">
      <c r="E1719" s="1"/>
      <c r="F1719" s="1"/>
    </row>
    <row r="1720" spans="5:6" ht="12.75">
      <c r="E1720" s="1"/>
      <c r="F1720" s="1"/>
    </row>
    <row r="1721" spans="5:6" ht="12.75">
      <c r="E1721" s="1"/>
      <c r="F1721" s="1"/>
    </row>
    <row r="1722" spans="5:6" ht="12.75">
      <c r="E1722" s="1"/>
      <c r="F1722" s="1"/>
    </row>
    <row r="1723" spans="5:6" ht="12.75">
      <c r="E1723" s="1"/>
      <c r="F1723" s="1"/>
    </row>
    <row r="1724" spans="5:6" ht="12.75">
      <c r="E1724" s="1"/>
      <c r="F1724" s="1"/>
    </row>
    <row r="1725" spans="5:6" ht="12.75">
      <c r="E1725" s="1"/>
      <c r="F1725" s="1"/>
    </row>
    <row r="1726" spans="5:6" ht="12.75">
      <c r="E1726" s="1"/>
      <c r="F1726" s="1"/>
    </row>
    <row r="1727" spans="5:6" ht="12.75">
      <c r="E1727" s="1"/>
      <c r="F1727" s="1"/>
    </row>
    <row r="1728" spans="5:6" ht="12.75">
      <c r="E1728" s="1"/>
      <c r="F1728" s="1"/>
    </row>
    <row r="1729" spans="5:6" ht="12.75">
      <c r="E1729" s="1"/>
      <c r="F1729" s="1"/>
    </row>
    <row r="1730" spans="5:6" ht="12.75">
      <c r="E1730" s="1"/>
      <c r="F1730" s="1"/>
    </row>
    <row r="1731" spans="5:6" ht="12.75">
      <c r="E1731" s="1"/>
      <c r="F1731" s="1"/>
    </row>
    <row r="1732" spans="5:6" ht="12.75">
      <c r="E1732" s="1"/>
      <c r="F1732" s="1"/>
    </row>
    <row r="1733" spans="5:6" ht="12.75">
      <c r="E1733" s="1"/>
      <c r="F1733" s="1"/>
    </row>
    <row r="1734" spans="5:6" ht="12.75">
      <c r="E1734" s="1"/>
      <c r="F1734" s="1"/>
    </row>
    <row r="1735" spans="5:6" ht="12.75">
      <c r="E1735" s="1"/>
      <c r="F1735" s="1"/>
    </row>
    <row r="1736" spans="5:6" ht="12.75">
      <c r="E1736" s="1"/>
      <c r="F1736" s="1"/>
    </row>
    <row r="1737" spans="5:6" ht="12.75">
      <c r="E1737" s="1"/>
      <c r="F1737" s="1"/>
    </row>
    <row r="1738" spans="5:6" ht="12.75">
      <c r="E1738" s="1"/>
      <c r="F1738" s="1"/>
    </row>
  </sheetData>
  <mergeCells count="19">
    <mergeCell ref="A212:B212"/>
    <mergeCell ref="A38:B38"/>
    <mergeCell ref="A210:B210"/>
    <mergeCell ref="A178:B178"/>
    <mergeCell ref="A204:B204"/>
    <mergeCell ref="A207:B207"/>
    <mergeCell ref="A195:B195"/>
    <mergeCell ref="A198:B198"/>
    <mergeCell ref="A202:B202"/>
    <mergeCell ref="A103:B103"/>
    <mergeCell ref="A101:B101"/>
    <mergeCell ref="A88:B88"/>
    <mergeCell ref="A5:B5"/>
    <mergeCell ref="A36:B36"/>
    <mergeCell ref="A2:F2"/>
    <mergeCell ref="C3:D3"/>
    <mergeCell ref="E3:F3"/>
    <mergeCell ref="B3:B4"/>
    <mergeCell ref="A3:A4"/>
  </mergeCells>
  <printOptions/>
  <pageMargins left="0.61" right="0.47" top="0.64" bottom="0.68" header="0.23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kbaza</cp:lastModifiedBy>
  <cp:lastPrinted>2011-08-18T13:25:55Z</cp:lastPrinted>
  <dcterms:created xsi:type="dcterms:W3CDTF">2011-07-22T10:25:24Z</dcterms:created>
  <dcterms:modified xsi:type="dcterms:W3CDTF">2011-09-23T10:38:29Z</dcterms:modified>
  <cp:category/>
  <cp:version/>
  <cp:contentType/>
  <cp:contentStatus/>
</cp:coreProperties>
</file>