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65" windowWidth="9435" windowHeight="4545" activeTab="0"/>
  </bookViews>
  <sheets>
    <sheet name="doch bieżące grudz2011" sheetId="1" r:id="rId1"/>
    <sheet name="doch majątk. grudz2011" sheetId="2" r:id="rId2"/>
  </sheets>
  <definedNames/>
  <calcPr fullCalcOnLoad="1"/>
</workbook>
</file>

<file path=xl/sharedStrings.xml><?xml version="1.0" encoding="utf-8"?>
<sst xmlns="http://schemas.openxmlformats.org/spreadsheetml/2006/main" count="231" uniqueCount="205">
  <si>
    <t xml:space="preserve">Wykonanie dochodów bieżących budżetu miasta Gdyni według źródeł                za okres I - XII 2011r.                                </t>
  </si>
  <si>
    <t xml:space="preserve">Wykonanie dochodów majątkowych budżetu miasta Gdyni według źródeł          za okres I - XII 2011r.                                </t>
  </si>
  <si>
    <t>Lp.</t>
  </si>
  <si>
    <t>Treść</t>
  </si>
  <si>
    <t>DOCHODY BIEŻĄCE OGÓŁEM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</si>
  <si>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</si>
  <si>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Podatki i opłaty pobierane przez miasto</t>
  </si>
  <si>
    <t xml:space="preserve">podatek od nieruchomości </t>
  </si>
  <si>
    <t xml:space="preserve">podatek od środków transportowych </t>
  </si>
  <si>
    <t>podatek rolny</t>
  </si>
  <si>
    <t xml:space="preserve">podatek leśny </t>
  </si>
  <si>
    <t>zaległości z podatków zniesionych</t>
  </si>
  <si>
    <t xml:space="preserve">rekompensata utraconych dochodów (z PFRON - u) z tytułu zwolnień w podatkach </t>
  </si>
  <si>
    <t>opłata skarbowa</t>
  </si>
  <si>
    <t>dochody z tyt. ustawy o przeciwdziałaniu alkoholizmowi</t>
  </si>
  <si>
    <t>opłaty komunikacyjna</t>
  </si>
  <si>
    <t>opłaty lokalne (opłata targowa i miejscowa)</t>
  </si>
  <si>
    <t>opłaty za parkowanie, za zajęcie pasa drogowego, umieszczanie reklam i stoisk w pasie drogowym i in.</t>
  </si>
  <si>
    <t>opłata adiacencka i renta planistyczna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</si>
  <si>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</si>
  <si>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</si>
  <si>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</si>
  <si>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</si>
  <si>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</si>
  <si>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Dochody z majątku miasta</t>
  </si>
  <si>
    <t xml:space="preserve">                                                                                                                </t>
  </si>
  <si>
    <t>dochody z dzierżawy</t>
  </si>
  <si>
    <t>wpływy z lokali użytkowych</t>
  </si>
  <si>
    <t>użytkowanie wieczyste</t>
  </si>
  <si>
    <t>pozostałe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</si>
  <si>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</si>
  <si>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</si>
  <si>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</si>
  <si>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</si>
  <si>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ze sprzedaży biletów na "tramwaj wodny"</t>
  </si>
  <si>
    <t>wpływy Urzędu Miasta</t>
  </si>
  <si>
    <t>wpływy z opłat rodziców za pobyt dzieci w żłobku</t>
  </si>
  <si>
    <t>wpływy z opłat rodziców za pobyt dzieci w przedszkolu</t>
  </si>
  <si>
    <t>wpływy z usług opiekuńczych i opłaty za pobyt w ośrodkach wsparcia</t>
  </si>
  <si>
    <t>wpływy z opłat za korzystanie z basenów</t>
  </si>
  <si>
    <t>wpływy z usług Centrum Aktywności Seniora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</si>
  <si>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</si>
  <si>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</si>
  <si>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</si>
  <si>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</si>
  <si>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</si>
  <si>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</si>
  <si>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</si>
  <si>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</si>
  <si>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</si>
  <si>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>Dotacje od jednostek samorządu terytorialnego</t>
  </si>
  <si>
    <t xml:space="preserve">zadania oświatowe </t>
  </si>
  <si>
    <t>obsługa mieszkańców Sopotu przez Powiatowy Urząd Pracy w Gdyni</t>
  </si>
  <si>
    <t xml:space="preserve">rodziny zastępcze </t>
  </si>
  <si>
    <t>środki dla Powiatowego Zespołu ds.Orzekania o Niepełnosprawności zgodnie z zawartym porozumieniem pomiędzy Miastem Gdynia, a Miastem Sopot</t>
  </si>
  <si>
    <t>warsztaty terapii zajęciowej</t>
  </si>
  <si>
    <t>placówki opiekuńczo - wychowawcze</t>
  </si>
  <si>
    <t>środki z gmin ościennych na organizację usług komunikacyjnych na ich terenie przez ZKM w Gdyni na podstawie porozumień</t>
  </si>
  <si>
    <t>dotacje z Helu i Jastarni na dofinansowanie funkcjonowania "Tramwaju wodnego"</t>
  </si>
  <si>
    <t>Dotacje i inne środki zewnętrzne na dofinansowanie zadań własnych</t>
  </si>
  <si>
    <t>z Funduszu Pracy na finansowanie wynagrodzeń i składek na ubezpieczenie pracowników Powiatowego Urzędu Pracy</t>
  </si>
  <si>
    <t xml:space="preserve">środki na realizację projektu "Dobry zawód gwarancją sukcesu" </t>
  </si>
  <si>
    <t>projekt "Mój biznes"</t>
  </si>
  <si>
    <t>środki z Funduszu Rozwoju Systemu Edukacji na realizację zadania "Wymiana młodzieży"</t>
  </si>
  <si>
    <t>dotacja od Fundacji Współpracy Polsko - Niemieckiej na realizację projektu "Razem dla europejskiego dialogu - 25 - lecie partnerstwa miast Gdyni i Kilonii"</t>
  </si>
  <si>
    <t>dofinansowanie projektu "Efektywny samorząd - kompetentna kadra w Urzędzie Miasta Gdyni i Gminy Kosakowo"</t>
  </si>
  <si>
    <t>Projekt "Kreator innowacyjności - Laboratorium biotechnologiczne w praktyce"</t>
  </si>
  <si>
    <t>dotacja z Narodowego Centrum Kultury na realizację Ogólnopolskiego programu rozwoju chórów szkolnych Ministra Kultury i Dziedzictwa Narodowego "Śpiewająca Polska"</t>
  </si>
  <si>
    <t>Projekt "Eksperyment na plaży"</t>
  </si>
  <si>
    <t>Projekt " Świadomość ekologiczna młodzieży - nauczanie przez doświadczenie"</t>
  </si>
  <si>
    <t>Projekt "TROLLEY"</t>
  </si>
  <si>
    <t>dotacja dla Ochotniczej Straży Pożarnej Wiczlino</t>
  </si>
  <si>
    <t>środki z Funduszu Rozwoju Kultury Fizycznej na dofinansowanie programu szkolenia młodzieży uzdolnionej sportowo</t>
  </si>
  <si>
    <t>grant dla ZPS na realizacje projektu "Realizacja warsztatów aktywności twórczej"</t>
  </si>
  <si>
    <t>środki na dofinansowanie programu "Uczenie się przez całe życie" Projekt Partnerski COMENIUS</t>
  </si>
  <si>
    <t xml:space="preserve">"Leonardo da Vinci" </t>
  </si>
  <si>
    <t>"Rozwój elektronicznych usług publicznych w Gdyni"</t>
  </si>
  <si>
    <t>projekt "Doświadczenia ponad granicami gdyńsko - helsinborskie partnerstwo na rzecz osób niepełnosprawnych"</t>
  </si>
  <si>
    <t>projekt "Segment"</t>
  </si>
  <si>
    <t>projekt "EXPO 2010"</t>
  </si>
  <si>
    <t>projekt "INTERFACE""</t>
  </si>
  <si>
    <t>Projekt "South - NORth Axis"</t>
  </si>
  <si>
    <t>środki z budżetu Polsko – Litewskiego Funduszu Wymiany Młodzieży na realizację projektu „Poznajemy się przez sztukę”</t>
  </si>
  <si>
    <t>projekt TQS REVES</t>
  </si>
  <si>
    <t xml:space="preserve">projekt "Urzędnik na plus" </t>
  </si>
  <si>
    <t>dofinansowanie projektu "Rozwój proekologicznego transportu publicznego na Obszarze Metropolitarnym Trójmiasta"</t>
  </si>
  <si>
    <t>projekt " Wzmocnienie współpracy między Akademią Medyczną w Gdańsku a PPNT i GPNT"</t>
  </si>
  <si>
    <t>Program Współpracy Transgranicznej Południowy Bałtyk 2007-2013 "eduPEOPLE"</t>
  </si>
  <si>
    <t>udział w targach Let s EXPO</t>
  </si>
  <si>
    <t>Program Współpracy Transgranicznej Południowy Bałtyk 2007-2013 "Diske"</t>
  </si>
  <si>
    <t>projekt "Przyroda - eksperyment o nieograniczonych możliwościach"</t>
  </si>
  <si>
    <t>Udziały we wpływach z podatków dochodowych</t>
  </si>
  <si>
    <t xml:space="preserve">udziały w podatku dochodowym od osób fizycznych </t>
  </si>
  <si>
    <t>udziały w podatku dochodowym od osób prawnych</t>
  </si>
  <si>
    <t>część oświatowa</t>
  </si>
  <si>
    <t>część równoważąca</t>
  </si>
  <si>
    <t>III.  DOTACJE CELOWE Z BUDŻETU PAŃSTWA</t>
  </si>
  <si>
    <t>NA ZADANIA ZLECONE</t>
  </si>
  <si>
    <t>Komenda Powiatowa Państwowej Straży Pożarnej (na zadania bieżące)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</si>
  <si>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</si>
  <si>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</si>
  <si>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>ośrodki pomocy społecznej</t>
  </si>
  <si>
    <t>realizacja programu korekcyjno - edukacyjnego dla sprawców przemocy w rodzinie</t>
  </si>
  <si>
    <t xml:space="preserve"> składki na ubezp. zdrowotne</t>
  </si>
  <si>
    <t>świadczenia rodzinne</t>
  </si>
  <si>
    <t xml:space="preserve"> usługi opiekuńcze, specjalistyczne usługi opiekuńcze</t>
  </si>
  <si>
    <t>zespół ds. orzekania o stopniu niepełnosprawn.</t>
  </si>
  <si>
    <t xml:space="preserve">składki na ubezpieczenia zdrowotne </t>
  </si>
  <si>
    <t>koszty wydawania decyzji w sprawie świadczeń zdrowotnych</t>
  </si>
  <si>
    <t>wybory Prezydenta Rzeczypospolitej Polskiej</t>
  </si>
  <si>
    <t>wybory do rad gmin, rad powiatów i sejmików województw oraz wyborów wójtów, burmistrzów i prezydentów miast</t>
  </si>
  <si>
    <t>aktualizacja spisu wyborców</t>
  </si>
  <si>
    <t xml:space="preserve">spis rolny </t>
  </si>
  <si>
    <t xml:space="preserve">prace geodezyjne i kartograficzne </t>
  </si>
  <si>
    <t>opracowania geodezyjne i kartograficzne</t>
  </si>
  <si>
    <t>gospodarka gruntami i nieruchomościami</t>
  </si>
  <si>
    <t>kwalifikacja wojskowa</t>
  </si>
  <si>
    <t>NA ZADANIA REALIZOWANE NA MOCY POROZUMIEŃ Z ORGANAMI ADMINISTRACJI RZĄDOWEJ</t>
  </si>
  <si>
    <t>utrzymanie grobów wojennych</t>
  </si>
  <si>
    <t>uruchomienie punktu konsultacyjno - diagnostycznego dla rodzin i dzieci z FAS</t>
  </si>
  <si>
    <t>NA FINANSOWANIE LUB DOFINANSOWANIE ZADAŃ WŁASNYCH</t>
  </si>
  <si>
    <t>program "Radosna szkoła"</t>
  </si>
  <si>
    <t>stypendia oraz inne formy pomocy dla uczniów</t>
  </si>
  <si>
    <t>zadania z zakresu opieki społecznej:</t>
  </si>
  <si>
    <t>Pomoc państwa w zakresie dożywiania</t>
  </si>
  <si>
    <t>Dom Pomocy Społecznej</t>
  </si>
  <si>
    <t>opieka w domach o zasięgu ponadgminnym</t>
  </si>
  <si>
    <t>składki na ubezpieczenia zdrowotne</t>
  </si>
  <si>
    <t>zasiłki i pomoc w naturze</t>
  </si>
  <si>
    <t>zasiłki stałe</t>
  </si>
  <si>
    <t>DOCHODY MAJĄTKOWE OGÓŁEM</t>
  </si>
  <si>
    <r>
      <t xml:space="preserve">I. </t>
    </r>
    <r>
      <rPr>
        <b/>
        <sz val="10"/>
        <rFont val="Arial CE"/>
        <family val="0"/>
      </rPr>
      <t xml:space="preserve"> DOCHODY WŁASNE, w tym:</t>
    </r>
  </si>
  <si>
    <t>wpływy ze sprzedaży mienia komunalnego</t>
  </si>
  <si>
    <t>przekształcenie prawa użytkowania wieczystego w prawo własności</t>
  </si>
  <si>
    <t xml:space="preserve">sprzedaż składników majątkowych </t>
  </si>
  <si>
    <t>wkład beneficjentów w realizację zadania: rozwój turystyki w rejonie Zatoki Gdańskiej</t>
  </si>
  <si>
    <t>środki otrzymane z Gmin, Powiatów i z Samorządu Województwa Pomorskiego na budowę Obwodnicy Północnej Aglomeracji Trójmiejskiej</t>
  </si>
  <si>
    <t>przebudowa układu drogowego węzła Św.Maksymiliana wraz z budową tunelu drogowego pod Drogą Gdyńską, torami SKM i PKP w Gdyni</t>
  </si>
  <si>
    <t>zwrot refundacji kosztów projektu "Pomorski Park Naukowo-Technologiczny- Rozbudowa etap 3 i 4"</t>
  </si>
  <si>
    <t>Komenda Powiatowa Państwowej Straży Pożarnej (na zadania inwestycyjne)</t>
  </si>
  <si>
    <t>I.</t>
  </si>
  <si>
    <t>ŁĄCZNIE DOCHODY BIEŻĄCE I MAJĄTKOWE</t>
  </si>
  <si>
    <t>rozliczenia z lat ubiegłych oraz zwroty dotacji wykorzystanych niezgodnie z przeznaczeniem lub pobranych w nadmiernej wysokości</t>
  </si>
  <si>
    <t>kształcenie uczniów w Wojewódzkim Ośrodku Doskonalenia Uczniów</t>
  </si>
  <si>
    <t xml:space="preserve">Wykonanie </t>
  </si>
  <si>
    <t>wpływy do budżetu nadwyżki środków obrotowych Hali Widowiskowo-Sportowej</t>
  </si>
  <si>
    <t>Plan</t>
  </si>
  <si>
    <t>Wykonanie</t>
  </si>
  <si>
    <t>różnica</t>
  </si>
  <si>
    <t>wg tab doch</t>
  </si>
  <si>
    <t>odsetki od należności podatkowych pobieranych przez US</t>
  </si>
  <si>
    <t>wpływy za pobyt dzieci w placówkach opiekuńczo - wychowawczych</t>
  </si>
  <si>
    <t>spis powszechny</t>
  </si>
  <si>
    <t>wpływy Gdyńskiego Centrum Innowacji</t>
  </si>
  <si>
    <t>wpływy Gdyńskiego Ośrodka Sportu i Rekreacji</t>
  </si>
  <si>
    <t>wyk</t>
  </si>
  <si>
    <t>projekt "Młodzież w działaniu"</t>
  </si>
  <si>
    <t>środki na realizację projektu w ramach Polsko - Litewskiego Funduszu Wymiany Młodzieży</t>
  </si>
  <si>
    <t>projekt "Ochrona wód Zatoki Gdańskiej" - refundacja poniesionych środków</t>
  </si>
  <si>
    <t>"Wdrożenie zintegrowanego systemu zarządzania ruchem TRISTAR w Gdańsku, Gdyni i Sopocie"</t>
  </si>
  <si>
    <t>"Rodzina bliżej siebie"</t>
  </si>
  <si>
    <t>Projekt "Jestem z Pomorza - Jestem eko"</t>
  </si>
  <si>
    <t>Projekt "Bałtycki Festiwal Nauki"</t>
  </si>
  <si>
    <t>projekt "Policyjna foczka"</t>
  </si>
  <si>
    <t>III.  SUBWENCJA OGÓLNA</t>
  </si>
  <si>
    <t>IV.  DOTACJE CELOWE Z BUDŻETU PAŃSTWA</t>
  </si>
  <si>
    <t>administracja państwowa</t>
  </si>
  <si>
    <t>Powiatowy Inspektorat Nadzoru Budowlanego</t>
  </si>
  <si>
    <t>refundacja kosztów projektu "Pomorski Park Naukowo-Technologiczny- Rozbudowa etap 3"</t>
  </si>
  <si>
    <t>podatek Vat przekazany przez Halę Widowiskowo - Sportową</t>
  </si>
  <si>
    <t>% wyk.</t>
  </si>
  <si>
    <t>bieżące</t>
  </si>
  <si>
    <t>majątkowe</t>
  </si>
  <si>
    <t>% w dochodach ogółem</t>
  </si>
  <si>
    <t>II. ŚRODKI Z UE NA DOFINANSOWANIE REALIZACJI PROJEKTÓW</t>
  </si>
  <si>
    <t>II.   ŚRODKI Z UE NA DOFINANSOWANIE REALIZACJI PROJEKTÓW</t>
  </si>
  <si>
    <t>dochody związane z gromadzeniem środków z opłat i kar za korzystanie ze środowiska</t>
  </si>
  <si>
    <t xml:space="preserve">należna miastu część zwrotów zaliczek alimentacyjnych uzyskanych na rzecz budżetu państwa </t>
  </si>
  <si>
    <t>zwrot podatku akcyzowego zawartego w cenie oleju napędowego wykorzystywanego do produkcji rolnej</t>
  </si>
  <si>
    <t xml:space="preserve">% wykonania </t>
  </si>
  <si>
    <t>z Funduszu Ochrony Środowiska na dofinansowanie realizacji zadania "Wsparcie działań propagujących ekologiczne formy transportu na trasie Gdynia - Półwysep Helski"</t>
  </si>
  <si>
    <t>"Praktyka czyni mistrza - nowatorski program praktyk na studiach pedagogicznych PWSA"</t>
  </si>
  <si>
    <t>"Odkryj moje możliwości"</t>
  </si>
  <si>
    <t>z Ministerstwa Pracy i Polityki Społecznej na dofinansowanie realizacji zadania "Wspólnie przeciw przemocy - wsparcie systemu przeciwdziałania przemocy w Gdyni"</t>
  </si>
  <si>
    <t>środki od Samorzadu Województwa Pomorskiego na dofinansowanie lokalnego transportu zbiorowego na liniach komunikacyjnych regularnego transportu wodnego po akwenie Zatoki Gdańskiej i Zatoki Puckiej</t>
  </si>
  <si>
    <t>Z WFOŚ-u na na realizację projektu "Czynna ochrona gatunkowa roślin z rodzaju Drosera (rosiczki) oraz Sphagnum (torfowce) występujących na terenie województwa pomorskiego"</t>
  </si>
  <si>
    <t>z Wojewódzkiego Funduszu Ochrony Środowiska i Gospodarki Wodnej środki na usuwanie wyrobów zawierających azbest z terenu miasta Gdyni</t>
  </si>
  <si>
    <t>z WFOŚ "Sinice - wróg czy przyjaciel"</t>
  </si>
  <si>
    <t>z WFOŚ "Badanie jakości wody i sporządzenie profilu wody w kąpieliskach morskich w Gdyni"</t>
  </si>
  <si>
    <t>sfinansowanie pobytu dzieci cudzoziemców w rodzinach zastępczych</t>
  </si>
  <si>
    <t>wybory do sejmu i senatu</t>
  </si>
  <si>
    <t>"Program wsparcia społecznego osób z zaburzeniami"</t>
  </si>
  <si>
    <t>środki z PZU Życie S.A. na przeprowadzenie szkoleń z zakresu udzielania pierwszej pomocy wśród pracowników UM</t>
  </si>
  <si>
    <t>środki z PZU Życie S.A. na zakup apteczek walizkowych pierwszej pomocy</t>
  </si>
  <si>
    <t>sfinansowanie prac komisji kwalifikacyjnych i egzaminacyjnych powołanych w 2011r. do spraw awansu zawodowego nauczycieli</t>
  </si>
  <si>
    <t>realizacja rządowego programu wspierania osób pobierających świadczenie pielęgnacyjne</t>
  </si>
  <si>
    <t>Łączne wykonanie dochodów budzetu miasta Gdyni za okres I - XII 2011r.</t>
  </si>
  <si>
    <t>Z Narodowego Centrum Badań i Rozwoju na realizację projektu BioBusLab</t>
  </si>
  <si>
    <t>środki z Narodowego Funduszu Ochrony Środowiska na dofinansowanie w zakresie zbierania pojazdów wycofanych z eksploatacji</t>
  </si>
  <si>
    <t>wpływy dotyczące zwrotu kosztów wyceny nieruchomości</t>
  </si>
  <si>
    <t>funkcjonowanie punktu katechetycznego</t>
  </si>
  <si>
    <t>RÓŻNICA</t>
  </si>
  <si>
    <r>
      <t xml:space="preserve">środki na dofinansowanie realizacji projektu "Kompleksowa termomodernizacja </t>
    </r>
    <r>
      <rPr>
        <u val="single"/>
        <sz val="8"/>
        <rFont val="Arial CE"/>
        <family val="0"/>
      </rPr>
      <t xml:space="preserve">dziewięciu </t>
    </r>
    <r>
      <rPr>
        <sz val="8"/>
        <rFont val="Arial CE"/>
        <family val="0"/>
      </rPr>
      <t>budynków placówek oświatowych na terenie Gdyni"</t>
    </r>
  </si>
  <si>
    <t>Plan 2011</t>
  </si>
  <si>
    <t>wpływy ze sprzedaży map, danych z ewidencji gruntów i budynków oraz innych materiałów i informacji z zasobów powiatowych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</si>
</sst>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</numFmts>
  <fonts count="17">
    <font>
      <sz val="10"/>
      <name val="Arial CE"/>
      <family val="0"/>
    </font>
    <font>
      <b/>
      <sz val="13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MS Sans Serif"/>
      <family val="0"/>
    </font>
    <font>
      <sz val="8"/>
      <name val="Arial CE"/>
      <family val="0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b/>
      <sz val="12"/>
      <name val="Arial CE"/>
      <family val="0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u val="single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/>
      <protection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3" fontId="5" fillId="0" borderId="2" xfId="18" applyNumberFormat="1" applyFont="1" applyFill="1" applyBorder="1" applyAlignment="1">
      <alignment horizontal="right" vertical="center" wrapText="1"/>
      <protection/>
    </xf>
    <xf numFmtId="3" fontId="5" fillId="0" borderId="1" xfId="18" applyNumberFormat="1" applyFont="1" applyFill="1" applyBorder="1" applyAlignment="1">
      <alignment horizontal="right" vertical="center" wrapText="1"/>
      <protection/>
    </xf>
    <xf numFmtId="3" fontId="5" fillId="0" borderId="2" xfId="18" applyNumberFormat="1" applyFont="1" applyFill="1" applyBorder="1" applyAlignment="1">
      <alignment vertical="center"/>
      <protection/>
    </xf>
    <xf numFmtId="1" fontId="7" fillId="0" borderId="1" xfId="18" applyNumberFormat="1" applyFont="1" applyFill="1" applyBorder="1" applyAlignment="1">
      <alignment horizontal="center" vertical="center"/>
      <protection/>
    </xf>
    <xf numFmtId="4" fontId="7" fillId="0" borderId="1" xfId="18" applyNumberFormat="1" applyFont="1" applyFill="1" applyBorder="1" applyAlignment="1">
      <alignment vertical="center" wrapText="1"/>
      <protection/>
    </xf>
    <xf numFmtId="3" fontId="7" fillId="0" borderId="1" xfId="18" applyNumberFormat="1" applyFont="1" applyFill="1" applyBorder="1" applyAlignment="1">
      <alignment vertical="center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3" fontId="9" fillId="0" borderId="1" xfId="18" applyNumberFormat="1" applyFont="1" applyFill="1" applyBorder="1" applyAlignment="1">
      <alignment horizontal="right" vertical="center" wrapText="1"/>
      <protection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vertical="center" wrapText="1"/>
      <protection/>
    </xf>
    <xf numFmtId="3" fontId="3" fillId="0" borderId="1" xfId="18" applyNumberFormat="1" applyFont="1" applyFill="1" applyBorder="1" applyAlignment="1">
      <alignment horizontal="right" vertical="center" wrapText="1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/>
      <protection/>
    </xf>
    <xf numFmtId="4" fontId="9" fillId="0" borderId="1" xfId="18" applyNumberFormat="1" applyFont="1" applyFill="1" applyBorder="1" applyAlignment="1">
      <alignment horizontal="left" vertical="center" wrapText="1"/>
      <protection/>
    </xf>
    <xf numFmtId="1" fontId="9" fillId="0" borderId="1" xfId="18" applyNumberFormat="1" applyFont="1" applyFill="1" applyBorder="1" applyAlignment="1">
      <alignment horizontal="center" vertical="center"/>
      <protection/>
    </xf>
    <xf numFmtId="4" fontId="9" fillId="0" borderId="1" xfId="18" applyNumberFormat="1" applyFont="1" applyFill="1" applyBorder="1" applyAlignment="1">
      <alignment vertical="center" wrapText="1"/>
      <protection/>
    </xf>
    <xf numFmtId="1" fontId="9" fillId="0" borderId="1" xfId="18" applyNumberFormat="1" applyFont="1" applyFill="1" applyBorder="1" applyAlignment="1">
      <alignment horizontal="center" vertical="center"/>
      <protection/>
    </xf>
    <xf numFmtId="4" fontId="9" fillId="0" borderId="1" xfId="18" applyNumberFormat="1" applyFont="1" applyFill="1" applyBorder="1" applyAlignment="1">
      <alignment vertical="center" wrapText="1"/>
      <protection/>
    </xf>
    <xf numFmtId="4" fontId="7" fillId="0" borderId="1" xfId="18" applyNumberFormat="1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vertical="center" wrapText="1"/>
      <protection/>
    </xf>
    <xf numFmtId="3" fontId="7" fillId="0" borderId="1" xfId="18" applyNumberFormat="1" applyFont="1" applyFill="1" applyBorder="1" applyAlignment="1">
      <alignment horizontal="right"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vertical="center" wrapText="1"/>
      <protection/>
    </xf>
    <xf numFmtId="9" fontId="9" fillId="0" borderId="1" xfId="17" applyNumberFormat="1" applyFont="1" applyFill="1" applyBorder="1" applyAlignment="1">
      <alignment vertical="center" wrapText="1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left" vertical="center" wrapText="1"/>
      <protection/>
    </xf>
    <xf numFmtId="4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" xfId="17" applyFont="1" applyFill="1" applyBorder="1" applyAlignment="1">
      <alignment vertical="center" wrapText="1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3" fontId="7" fillId="0" borderId="1" xfId="18" applyNumberFormat="1" applyFont="1" applyFill="1" applyBorder="1" applyAlignment="1">
      <alignment horizontal="left" vertical="center" wrapText="1"/>
      <protection/>
    </xf>
    <xf numFmtId="1" fontId="9" fillId="0" borderId="1" xfId="18" applyNumberFormat="1" applyFont="1" applyFill="1" applyBorder="1" applyAlignment="1">
      <alignment vertical="center" wrapText="1"/>
      <protection/>
    </xf>
    <xf numFmtId="1" fontId="3" fillId="0" borderId="1" xfId="18" applyNumberFormat="1" applyFont="1" applyFill="1" applyBorder="1" applyAlignment="1">
      <alignment horizontal="center" vertical="center"/>
      <protection/>
    </xf>
    <xf numFmtId="1" fontId="3" fillId="0" borderId="1" xfId="18" applyNumberFormat="1" applyFont="1" applyFill="1" applyBorder="1" applyAlignment="1">
      <alignment horizontal="right" vertical="center" wrapText="1"/>
      <protection/>
    </xf>
    <xf numFmtId="4" fontId="9" fillId="0" borderId="1" xfId="18" applyNumberFormat="1" applyFont="1" applyFill="1" applyBorder="1" applyAlignment="1">
      <alignment horizontal="center" vertical="center"/>
      <protection/>
    </xf>
    <xf numFmtId="1" fontId="9" fillId="0" borderId="1" xfId="18" applyNumberFormat="1" applyFont="1" applyFill="1" applyBorder="1" applyAlignment="1">
      <alignment horizontal="left" vertical="center" wrapText="1"/>
      <protection/>
    </xf>
    <xf numFmtId="1" fontId="10" fillId="0" borderId="1" xfId="18" applyNumberFormat="1" applyFont="1" applyFill="1" applyBorder="1" applyAlignment="1">
      <alignment horizontal="center" vertical="center"/>
      <protection/>
    </xf>
    <xf numFmtId="0" fontId="12" fillId="0" borderId="1" xfId="17" applyFont="1" applyFill="1" applyBorder="1" applyAlignment="1">
      <alignment horizontal="right" vertical="center" wrapText="1"/>
      <protection/>
    </xf>
    <xf numFmtId="1" fontId="12" fillId="0" borderId="1" xfId="18" applyNumberFormat="1" applyFont="1" applyFill="1" applyBorder="1" applyAlignment="1">
      <alignment horizontal="right" vertical="center" wrapText="1"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2" xfId="18" applyNumberFormat="1" applyFont="1" applyFill="1" applyBorder="1" applyAlignment="1">
      <alignment horizontal="right" vertical="center" wrapText="1"/>
      <protection/>
    </xf>
    <xf numFmtId="1" fontId="7" fillId="0" borderId="1" xfId="18" applyNumberFormat="1" applyFont="1" applyFill="1" applyBorder="1" applyAlignment="1">
      <alignment horizontal="center" vertical="center"/>
      <protection/>
    </xf>
    <xf numFmtId="4" fontId="7" fillId="0" borderId="1" xfId="18" applyNumberFormat="1" applyFont="1" applyFill="1" applyBorder="1" applyAlignment="1">
      <alignment vertical="center" wrapText="1"/>
      <protection/>
    </xf>
    <xf numFmtId="3" fontId="7" fillId="0" borderId="1" xfId="18" applyNumberFormat="1" applyFont="1" applyFill="1" applyBorder="1" applyAlignment="1">
      <alignment horizontal="right" vertical="center" wrapText="1"/>
      <protection/>
    </xf>
    <xf numFmtId="3" fontId="9" fillId="0" borderId="1" xfId="18" applyNumberFormat="1" applyFont="1" applyFill="1" applyBorder="1" applyAlignment="1">
      <alignment horizontal="right" vertical="center" wrapText="1"/>
      <protection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3" fontId="9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" fontId="6" fillId="0" borderId="1" xfId="18" applyNumberFormat="1" applyFont="1" applyFill="1" applyBorder="1" applyAlignment="1">
      <alignment horizontal="left" vertical="center" wrapText="1"/>
      <protection/>
    </xf>
    <xf numFmtId="3" fontId="7" fillId="0" borderId="1" xfId="18" applyNumberFormat="1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3" fontId="9" fillId="0" borderId="0" xfId="17" applyNumberFormat="1" applyFont="1" applyFill="1" applyBorder="1">
      <alignment/>
      <protection/>
    </xf>
    <xf numFmtId="3" fontId="3" fillId="0" borderId="1" xfId="18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1" xfId="0" applyFont="1" applyFill="1" applyBorder="1" applyAlignment="1">
      <alignment/>
    </xf>
    <xf numFmtId="172" fontId="2" fillId="0" borderId="1" xfId="18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2" fillId="0" borderId="3" xfId="1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2" fillId="0" borderId="1" xfId="18" applyNumberFormat="1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3" fontId="9" fillId="0" borderId="1" xfId="18" applyNumberFormat="1" applyFont="1" applyFill="1" applyBorder="1" applyAlignment="1">
      <alignment horizontal="center" vertical="center" wrapText="1"/>
      <protection/>
    </xf>
    <xf numFmtId="172" fontId="9" fillId="0" borderId="1" xfId="18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72" fontId="9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" fontId="6" fillId="0" borderId="1" xfId="18" applyNumberFormat="1" applyFont="1" applyFill="1" applyBorder="1" applyAlignment="1">
      <alignment horizontal="left" vertical="center" wrapText="1"/>
      <protection/>
    </xf>
    <xf numFmtId="4" fontId="2" fillId="0" borderId="1" xfId="18" applyNumberFormat="1" applyFont="1" applyFill="1" applyBorder="1" applyAlignment="1">
      <alignment horizontal="left" vertical="center" wrapText="1"/>
      <protection/>
    </xf>
    <xf numFmtId="1" fontId="6" fillId="0" borderId="3" xfId="18" applyNumberFormat="1" applyFont="1" applyFill="1" applyBorder="1" applyAlignment="1">
      <alignment horizontal="left" vertical="center" wrapText="1"/>
      <protection/>
    </xf>
    <xf numFmtId="1" fontId="6" fillId="0" borderId="2" xfId="18" applyNumberFormat="1" applyFont="1" applyFill="1" applyBorder="1" applyAlignment="1">
      <alignment horizontal="left" vertical="center" wrapText="1"/>
      <protection/>
    </xf>
    <xf numFmtId="4" fontId="1" fillId="0" borderId="0" xfId="18" applyNumberFormat="1" applyFont="1" applyFill="1" applyBorder="1" applyAlignment="1">
      <alignment horizontal="center" vertical="center" wrapText="1"/>
      <protection/>
    </xf>
    <xf numFmtId="4" fontId="4" fillId="0" borderId="3" xfId="18" applyNumberFormat="1" applyFont="1" applyFill="1" applyBorder="1" applyAlignment="1">
      <alignment horizontal="center" vertical="center" wrapText="1"/>
      <protection/>
    </xf>
    <xf numFmtId="4" fontId="4" fillId="0" borderId="2" xfId="18" applyNumberFormat="1" applyFont="1" applyFill="1" applyBorder="1" applyAlignment="1">
      <alignment horizontal="center" vertical="center" wrapText="1"/>
      <protection/>
    </xf>
    <xf numFmtId="1" fontId="2" fillId="0" borderId="3" xfId="18" applyNumberFormat="1" applyFont="1" applyFill="1" applyBorder="1" applyAlignment="1">
      <alignment horizontal="center" vertical="center" wrapText="1"/>
      <protection/>
    </xf>
    <xf numFmtId="1" fontId="2" fillId="0" borderId="4" xfId="18" applyNumberFormat="1" applyFont="1" applyFill="1" applyBorder="1" applyAlignment="1">
      <alignment horizontal="center" vertical="center" wrapText="1"/>
      <protection/>
    </xf>
    <xf numFmtId="1" fontId="2" fillId="0" borderId="2" xfId="18" applyNumberFormat="1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4" fontId="2" fillId="0" borderId="1" xfId="18" applyNumberFormat="1" applyFont="1" applyFill="1" applyBorder="1" applyAlignment="1">
      <alignment horizontal="center" vertical="center" wrapText="1"/>
      <protection/>
    </xf>
    <xf numFmtId="4" fontId="4" fillId="0" borderId="3" xfId="18" applyNumberFormat="1" applyFont="1" applyFill="1" applyBorder="1" applyAlignment="1">
      <alignment horizontal="center" vertical="center" wrapText="1"/>
      <protection/>
    </xf>
    <xf numFmtId="4" fontId="4" fillId="0" borderId="2" xfId="18" applyNumberFormat="1" applyFont="1" applyFill="1" applyBorder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left" vertical="center" wrapText="1"/>
      <protection/>
    </xf>
    <xf numFmtId="1" fontId="6" fillId="0" borderId="2" xfId="18" applyNumberFormat="1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alny_B_99" xfId="17"/>
    <cellStyle name="Normalny_d_stawkimax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workbookViewId="0" topLeftCell="A1">
      <pane ySplit="2" topLeftCell="BM16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1" width="5.25390625" style="0" customWidth="1"/>
    <col min="2" max="2" width="45.75390625" style="81" customWidth="1"/>
    <col min="3" max="3" width="15.25390625" style="0" customWidth="1"/>
    <col min="4" max="4" width="14.25390625" style="80" customWidth="1"/>
    <col min="5" max="5" width="9.25390625" style="68" customWidth="1"/>
  </cols>
  <sheetData>
    <row r="1" spans="1:5" ht="35.25" customHeight="1">
      <c r="A1" s="104" t="s">
        <v>0</v>
      </c>
      <c r="B1" s="104"/>
      <c r="C1" s="104"/>
      <c r="D1" s="104"/>
      <c r="E1" s="104"/>
    </row>
    <row r="2" spans="1:5" ht="25.5" customHeight="1">
      <c r="A2" s="83" t="s">
        <v>2</v>
      </c>
      <c r="B2" s="82" t="s">
        <v>3</v>
      </c>
      <c r="C2" s="1" t="s">
        <v>203</v>
      </c>
      <c r="D2" s="1" t="s">
        <v>144</v>
      </c>
      <c r="E2" s="84" t="s">
        <v>179</v>
      </c>
    </row>
    <row r="3" spans="1:5" ht="12.75">
      <c r="A3" s="2">
        <v>1</v>
      </c>
      <c r="B3" s="2">
        <v>2</v>
      </c>
      <c r="C3" s="3">
        <v>3</v>
      </c>
      <c r="D3" s="1">
        <v>4</v>
      </c>
      <c r="E3" s="3">
        <v>5</v>
      </c>
    </row>
    <row r="4" spans="1:5" ht="12.75">
      <c r="A4" s="105" t="s">
        <v>4</v>
      </c>
      <c r="B4" s="106"/>
      <c r="C4" s="4">
        <f>SUM(C5,C105,C132,C135)</f>
        <v>954242109</v>
      </c>
      <c r="D4" s="4">
        <f>SUM(D5,D105,D132,D135)</f>
        <v>967928911.7700001</v>
      </c>
      <c r="E4" s="85">
        <f aca="true" t="shared" si="0" ref="E4:E23">D4/C4</f>
        <v>1.0143431133890572</v>
      </c>
    </row>
    <row r="5" spans="1:5" ht="12.75">
      <c r="A5" s="100" t="s">
        <v>5</v>
      </c>
      <c r="B5" s="101"/>
      <c r="C5" s="6">
        <f>SUM(C6,C20,C25,C32,C60,C102,C71)</f>
        <v>662161514</v>
      </c>
      <c r="D5" s="6">
        <f>SUM(D6,D20,D25,D32,D60,D102,D71)</f>
        <v>679969979.6400001</v>
      </c>
      <c r="E5" s="85">
        <f t="shared" si="0"/>
        <v>1.0268944438229615</v>
      </c>
    </row>
    <row r="6" spans="1:5" ht="12.75">
      <c r="A6" s="7">
        <v>1</v>
      </c>
      <c r="B6" s="8" t="s">
        <v>6</v>
      </c>
      <c r="C6" s="9">
        <f>SUM(C7:C19)</f>
        <v>203260660</v>
      </c>
      <c r="D6" s="9">
        <f>SUM(D7:D19)</f>
        <v>203884709.00000003</v>
      </c>
      <c r="E6" s="85">
        <f t="shared" si="0"/>
        <v>1.003070190758999</v>
      </c>
    </row>
    <row r="7" spans="1:5" ht="12.75">
      <c r="A7" s="10"/>
      <c r="B7" s="11" t="s">
        <v>7</v>
      </c>
      <c r="C7" s="57">
        <f>148413000+19165060+50000</f>
        <v>167628060</v>
      </c>
      <c r="D7" s="12">
        <f>140506802.3+20124142.27</f>
        <v>160630944.57000002</v>
      </c>
      <c r="E7" s="85">
        <f t="shared" si="0"/>
        <v>0.9582580897852068</v>
      </c>
    </row>
    <row r="8" spans="1:5" ht="12.75">
      <c r="A8" s="10"/>
      <c r="B8" s="14" t="s">
        <v>8</v>
      </c>
      <c r="C8" s="65">
        <f>6033500+2300000</f>
        <v>8333500</v>
      </c>
      <c r="D8" s="12">
        <f>5604411.28+2035667.59</f>
        <v>7640078.87</v>
      </c>
      <c r="E8" s="85">
        <f t="shared" si="0"/>
        <v>0.9167911285774285</v>
      </c>
    </row>
    <row r="9" spans="1:5" ht="12.75">
      <c r="A9" s="15"/>
      <c r="B9" s="16" t="s">
        <v>9</v>
      </c>
      <c r="C9" s="66">
        <v>42630</v>
      </c>
      <c r="D9" s="12">
        <f>4515+35801.96</f>
        <v>40316.96</v>
      </c>
      <c r="E9" s="85">
        <f t="shared" si="0"/>
        <v>0.9457414965986395</v>
      </c>
    </row>
    <row r="10" spans="1:5" ht="12.75">
      <c r="A10" s="18"/>
      <c r="B10" s="11" t="s">
        <v>10</v>
      </c>
      <c r="C10" s="57">
        <v>76360</v>
      </c>
      <c r="D10" s="12">
        <f>93176+3523.9</f>
        <v>96699.9</v>
      </c>
      <c r="E10" s="85">
        <f t="shared" si="0"/>
        <v>1.2663685175484547</v>
      </c>
    </row>
    <row r="11" spans="1:5" ht="12.75">
      <c r="A11" s="18"/>
      <c r="B11" s="16" t="s">
        <v>11</v>
      </c>
      <c r="C11" s="57">
        <v>500</v>
      </c>
      <c r="D11" s="12"/>
      <c r="E11" s="85">
        <f t="shared" si="0"/>
        <v>0</v>
      </c>
    </row>
    <row r="12" spans="1:5" ht="22.5">
      <c r="A12" s="19"/>
      <c r="B12" s="20" t="s">
        <v>12</v>
      </c>
      <c r="C12" s="57">
        <f>433000+143680</f>
        <v>576680</v>
      </c>
      <c r="D12" s="12">
        <v>429137</v>
      </c>
      <c r="E12" s="85">
        <f t="shared" si="0"/>
        <v>0.7441510022889645</v>
      </c>
    </row>
    <row r="13" spans="1:5" ht="12.75">
      <c r="A13" s="10"/>
      <c r="B13" s="14" t="s">
        <v>13</v>
      </c>
      <c r="C13" s="57">
        <v>4100000</v>
      </c>
      <c r="D13" s="12">
        <v>3628615.49</v>
      </c>
      <c r="E13" s="85">
        <f t="shared" si="0"/>
        <v>0.8850281682926829</v>
      </c>
    </row>
    <row r="14" spans="1:5" ht="12.75">
      <c r="A14" s="10"/>
      <c r="B14" s="14" t="s">
        <v>14</v>
      </c>
      <c r="C14" s="57">
        <v>5400000</v>
      </c>
      <c r="D14" s="12">
        <v>4952639.84</v>
      </c>
      <c r="E14" s="85">
        <f t="shared" si="0"/>
        <v>0.9171555259259259</v>
      </c>
    </row>
    <row r="15" spans="1:5" ht="12.75">
      <c r="A15" s="21"/>
      <c r="B15" s="22" t="s">
        <v>15</v>
      </c>
      <c r="C15" s="57">
        <v>5100000</v>
      </c>
      <c r="D15" s="12">
        <v>5172084</v>
      </c>
      <c r="E15" s="85">
        <f t="shared" si="0"/>
        <v>1.0141341176470589</v>
      </c>
    </row>
    <row r="16" spans="1:5" ht="12.75">
      <c r="A16" s="18"/>
      <c r="B16" s="16" t="s">
        <v>16</v>
      </c>
      <c r="C16" s="57">
        <v>923000</v>
      </c>
      <c r="D16" s="12">
        <f>597993.3+84885.34</f>
        <v>682878.64</v>
      </c>
      <c r="E16" s="85">
        <f t="shared" si="0"/>
        <v>0.7398468472372698</v>
      </c>
    </row>
    <row r="17" spans="1:5" ht="22.5" customHeight="1">
      <c r="A17" s="18"/>
      <c r="B17" s="16" t="s">
        <v>17</v>
      </c>
      <c r="C17" s="57">
        <f>35000+26000+9019653+653277+6000+340000</f>
        <v>10079930</v>
      </c>
      <c r="D17" s="12">
        <f>8194.7+203582.54+9173115.17+10333.93+1065210.61</f>
        <v>10460436.95</v>
      </c>
      <c r="E17" s="85">
        <f t="shared" si="0"/>
        <v>1.0377489675027505</v>
      </c>
    </row>
    <row r="18" spans="1:5" ht="12.75">
      <c r="A18" s="19"/>
      <c r="B18" s="11" t="s">
        <v>18</v>
      </c>
      <c r="C18" s="57">
        <v>250000</v>
      </c>
      <c r="D18" s="12">
        <v>71939.13</v>
      </c>
      <c r="E18" s="85">
        <f t="shared" si="0"/>
        <v>0.28775652</v>
      </c>
    </row>
    <row r="19" spans="1:5" ht="12.75">
      <c r="A19" s="23"/>
      <c r="B19" s="24" t="s">
        <v>19</v>
      </c>
      <c r="C19" s="57">
        <f>450000+300000</f>
        <v>750000</v>
      </c>
      <c r="D19" s="12">
        <f>9692737.23+386200.42</f>
        <v>10078937.65</v>
      </c>
      <c r="E19" s="85">
        <f t="shared" si="0"/>
        <v>13.438583533333334</v>
      </c>
    </row>
    <row r="20" spans="1:5" ht="17.25" customHeight="1">
      <c r="A20" s="7">
        <v>2</v>
      </c>
      <c r="B20" s="25" t="s">
        <v>20</v>
      </c>
      <c r="C20" s="9">
        <f>SUM(C21:C24)</f>
        <v>31300000</v>
      </c>
      <c r="D20" s="9">
        <f>SUM(D21:D24)</f>
        <v>30221431.849999998</v>
      </c>
      <c r="E20" s="85">
        <f t="shared" si="0"/>
        <v>0.9655409536741213</v>
      </c>
    </row>
    <row r="21" spans="1:5" ht="12.75">
      <c r="A21" s="10"/>
      <c r="B21" s="26" t="s">
        <v>21</v>
      </c>
      <c r="C21" s="57">
        <v>800000</v>
      </c>
      <c r="D21" s="12">
        <v>772325.05</v>
      </c>
      <c r="E21" s="85">
        <f t="shared" si="0"/>
        <v>0.9654063125000001</v>
      </c>
    </row>
    <row r="22" spans="1:5" ht="12.75">
      <c r="A22" s="10"/>
      <c r="B22" s="26" t="s">
        <v>22</v>
      </c>
      <c r="C22" s="57">
        <v>3500000</v>
      </c>
      <c r="D22" s="12">
        <v>4357129.19</v>
      </c>
      <c r="E22" s="85">
        <f t="shared" si="0"/>
        <v>1.2448940542857143</v>
      </c>
    </row>
    <row r="23" spans="1:5" ht="12.75">
      <c r="A23" s="10"/>
      <c r="B23" s="26" t="s">
        <v>23</v>
      </c>
      <c r="C23" s="57">
        <f>3526100+23473900</f>
        <v>27000000</v>
      </c>
      <c r="D23" s="12">
        <f>2125653.2+22934621.11</f>
        <v>25060274.31</v>
      </c>
      <c r="E23" s="85">
        <f t="shared" si="0"/>
        <v>0.9281583077777777</v>
      </c>
    </row>
    <row r="24" spans="1:5" ht="12.75">
      <c r="A24" s="10"/>
      <c r="B24" s="26" t="s">
        <v>150</v>
      </c>
      <c r="C24" s="57"/>
      <c r="D24" s="12">
        <v>31703.3</v>
      </c>
      <c r="E24" s="85"/>
    </row>
    <row r="25" spans="1:5" ht="12.75">
      <c r="A25" s="7">
        <v>3</v>
      </c>
      <c r="B25" s="8" t="s">
        <v>24</v>
      </c>
      <c r="C25" s="27">
        <f>SUM(C26:C29)</f>
        <v>19836906</v>
      </c>
      <c r="D25" s="27">
        <f>SUM(D26:D29)</f>
        <v>23068988.900000002</v>
      </c>
      <c r="E25" s="85">
        <f aca="true" t="shared" si="1" ref="E25:E41">D25/C25</f>
        <v>1.1629328132118992</v>
      </c>
    </row>
    <row r="26" spans="1:5" ht="12.75">
      <c r="A26" s="10" t="s">
        <v>25</v>
      </c>
      <c r="B26" s="26" t="s">
        <v>26</v>
      </c>
      <c r="C26" s="57">
        <v>9000000</v>
      </c>
      <c r="D26" s="12">
        <v>8744169.66</v>
      </c>
      <c r="E26" s="85">
        <f t="shared" si="1"/>
        <v>0.9715744066666667</v>
      </c>
    </row>
    <row r="27" spans="1:5" ht="12.75">
      <c r="A27" s="10"/>
      <c r="B27" s="26" t="s">
        <v>27</v>
      </c>
      <c r="C27" s="57">
        <v>2000000</v>
      </c>
      <c r="D27" s="12">
        <v>3226503.53</v>
      </c>
      <c r="E27" s="85">
        <f t="shared" si="1"/>
        <v>1.613251765</v>
      </c>
    </row>
    <row r="28" spans="1:5" ht="12.75">
      <c r="A28" s="10"/>
      <c r="B28" s="26" t="s">
        <v>28</v>
      </c>
      <c r="C28" s="57">
        <v>5500000</v>
      </c>
      <c r="D28" s="12">
        <v>7638570.34</v>
      </c>
      <c r="E28" s="85">
        <f t="shared" si="1"/>
        <v>1.388830970909091</v>
      </c>
    </row>
    <row r="29" spans="1:5" ht="12.75">
      <c r="A29" s="10"/>
      <c r="B29" s="26" t="s">
        <v>29</v>
      </c>
      <c r="C29" s="57">
        <f>SUM(C30:C31)</f>
        <v>3336906</v>
      </c>
      <c r="D29" s="12">
        <f>SUM(D30:D31)</f>
        <v>3459745.3699999996</v>
      </c>
      <c r="E29" s="85">
        <f t="shared" si="1"/>
        <v>1.0368123555173563</v>
      </c>
    </row>
    <row r="30" spans="1:5" ht="22.5" customHeight="1">
      <c r="A30" s="28"/>
      <c r="B30" s="29" t="s">
        <v>30</v>
      </c>
      <c r="C30" s="66">
        <f>25000+1154991+250000+26730+1650017+91500</f>
        <v>3198238</v>
      </c>
      <c r="D30" s="17">
        <f>18732.79+1236715.26+207107.21+2418.27+27187.92+1694288.56+102602.36</f>
        <v>3289052.3699999996</v>
      </c>
      <c r="E30" s="85">
        <f t="shared" si="1"/>
        <v>1.0283951256910835</v>
      </c>
    </row>
    <row r="31" spans="1:5" ht="12.75">
      <c r="A31" s="30"/>
      <c r="B31" s="31" t="s">
        <v>31</v>
      </c>
      <c r="C31" s="66">
        <f>93372+8526+5670+5500+8200+5500+5700+3200+3000</f>
        <v>138668</v>
      </c>
      <c r="D31" s="17">
        <v>170693</v>
      </c>
      <c r="E31" s="85">
        <f t="shared" si="1"/>
        <v>1.2309472985836674</v>
      </c>
    </row>
    <row r="32" spans="1:5" ht="12.75">
      <c r="A32" s="7">
        <v>4</v>
      </c>
      <c r="B32" s="8" t="s">
        <v>32</v>
      </c>
      <c r="C32" s="27">
        <f>SUM(C33:C54)</f>
        <v>93935479</v>
      </c>
      <c r="D32" s="27">
        <v>108750910</v>
      </c>
      <c r="E32" s="85">
        <f t="shared" si="1"/>
        <v>1.1577192255548088</v>
      </c>
    </row>
    <row r="33" spans="1:5" ht="12.75">
      <c r="A33" s="10"/>
      <c r="B33" s="26" t="s">
        <v>33</v>
      </c>
      <c r="C33" s="57">
        <f>62567000+20000</f>
        <v>62587000</v>
      </c>
      <c r="D33" s="12">
        <f>69251468.19+51135.85+662208.8-2586902</f>
        <v>67377910.83999999</v>
      </c>
      <c r="E33" s="85">
        <f t="shared" si="1"/>
        <v>1.0765480185981113</v>
      </c>
    </row>
    <row r="34" spans="1:5" ht="12.75">
      <c r="A34" s="10"/>
      <c r="B34" s="26" t="s">
        <v>34</v>
      </c>
      <c r="C34" s="57">
        <v>2738791</v>
      </c>
      <c r="D34" s="12">
        <v>2586902</v>
      </c>
      <c r="E34" s="85">
        <f t="shared" si="1"/>
        <v>0.9445415878758182</v>
      </c>
    </row>
    <row r="35" spans="1:5" ht="22.5">
      <c r="A35" s="10"/>
      <c r="B35" s="26" t="s">
        <v>176</v>
      </c>
      <c r="C35" s="57">
        <f>1294556+486944-301500</f>
        <v>1480000</v>
      </c>
      <c r="D35" s="12">
        <f>1218687.11+290349.31</f>
        <v>1509036.4200000002</v>
      </c>
      <c r="E35" s="85">
        <f t="shared" si="1"/>
        <v>1.019619202702703</v>
      </c>
    </row>
    <row r="36" spans="1:5" ht="33.75">
      <c r="A36" s="10"/>
      <c r="B36" s="26" t="s">
        <v>204</v>
      </c>
      <c r="C36" s="57">
        <f>950000+5000+1059976</f>
        <v>2014976</v>
      </c>
      <c r="D36" s="12">
        <f>911005.56+247.68</f>
        <v>911253.2400000001</v>
      </c>
      <c r="E36" s="85">
        <f t="shared" si="1"/>
        <v>0.45224024504510235</v>
      </c>
    </row>
    <row r="37" spans="1:5" ht="12.75">
      <c r="A37" s="10"/>
      <c r="B37" s="26" t="s">
        <v>35</v>
      </c>
      <c r="C37" s="57">
        <v>300000</v>
      </c>
      <c r="D37" s="12">
        <f>42279.13+440476.38</f>
        <v>482755.51</v>
      </c>
      <c r="E37" s="85">
        <f t="shared" si="1"/>
        <v>1.6091850333333333</v>
      </c>
    </row>
    <row r="38" spans="1:5" ht="12.75">
      <c r="A38" s="10"/>
      <c r="B38" s="26" t="s">
        <v>199</v>
      </c>
      <c r="C38" s="57"/>
      <c r="D38" s="12">
        <v>94456.58</v>
      </c>
      <c r="E38" s="85"/>
    </row>
    <row r="39" spans="1:5" ht="12.75">
      <c r="A39" s="10"/>
      <c r="B39" s="26" t="s">
        <v>36</v>
      </c>
      <c r="C39" s="57">
        <v>423990</v>
      </c>
      <c r="D39" s="12">
        <v>514776.8</v>
      </c>
      <c r="E39" s="85">
        <f t="shared" si="1"/>
        <v>1.2141248614354112</v>
      </c>
    </row>
    <row r="40" spans="1:5" ht="12.75">
      <c r="A40" s="10"/>
      <c r="B40" s="26" t="s">
        <v>37</v>
      </c>
      <c r="C40" s="57">
        <v>9438458</v>
      </c>
      <c r="D40" s="12">
        <v>8760237</v>
      </c>
      <c r="E40" s="85">
        <f t="shared" si="1"/>
        <v>0.9281428173966553</v>
      </c>
    </row>
    <row r="41" spans="1:5" ht="22.5">
      <c r="A41" s="10"/>
      <c r="B41" s="26" t="s">
        <v>38</v>
      </c>
      <c r="C41" s="12">
        <f>580000+550000</f>
        <v>1130000</v>
      </c>
      <c r="D41" s="12">
        <f>749349.62+832999.48</f>
        <v>1582349.1</v>
      </c>
      <c r="E41" s="85">
        <f t="shared" si="1"/>
        <v>1.4003089380530975</v>
      </c>
    </row>
    <row r="42" spans="1:5" ht="22.5">
      <c r="A42" s="10"/>
      <c r="B42" s="26" t="s">
        <v>151</v>
      </c>
      <c r="C42" s="12"/>
      <c r="D42" s="12">
        <v>16429.93</v>
      </c>
      <c r="E42" s="85"/>
    </row>
    <row r="43" spans="1:5" ht="12.75">
      <c r="A43" s="10"/>
      <c r="B43" s="26" t="s">
        <v>39</v>
      </c>
      <c r="C43" s="12">
        <f>516808+710000+201480+646000</f>
        <v>2074288</v>
      </c>
      <c r="D43" s="12">
        <v>1972072.38</v>
      </c>
      <c r="E43" s="85">
        <f>D43/C43</f>
        <v>0.9507225515453976</v>
      </c>
    </row>
    <row r="44" spans="1:5" ht="12.75">
      <c r="A44" s="10"/>
      <c r="B44" s="26" t="s">
        <v>153</v>
      </c>
      <c r="C44" s="57">
        <f>33700+1172763+21500+2014878</f>
        <v>3242841</v>
      </c>
      <c r="D44" s="12">
        <f>1092917.21+160301.12+2173239.86</f>
        <v>3426458.19</v>
      </c>
      <c r="E44" s="85">
        <f>D44/C44</f>
        <v>1.0566223228335894</v>
      </c>
    </row>
    <row r="45" spans="1:5" ht="12.75">
      <c r="A45" s="10"/>
      <c r="B45" s="26" t="s">
        <v>40</v>
      </c>
      <c r="C45" s="57">
        <v>180000</v>
      </c>
      <c r="D45" s="12">
        <v>221239.84</v>
      </c>
      <c r="E45" s="85">
        <f>D45/C45</f>
        <v>1.229110222222222</v>
      </c>
    </row>
    <row r="46" spans="1:5" ht="12.75">
      <c r="A46" s="10"/>
      <c r="B46" s="26" t="s">
        <v>154</v>
      </c>
      <c r="C46" s="57">
        <f>880000+2318683+127153+627355</f>
        <v>3953191</v>
      </c>
      <c r="D46" s="12">
        <f>1281588.78+3155344.48+25014.77</f>
        <v>4461948.029999999</v>
      </c>
      <c r="E46" s="85">
        <f>D46/C46</f>
        <v>1.1286952818621714</v>
      </c>
    </row>
    <row r="47" spans="1:5" ht="12.75">
      <c r="A47" s="10"/>
      <c r="B47" s="26" t="s">
        <v>41</v>
      </c>
      <c r="C47" s="57">
        <v>467000</v>
      </c>
      <c r="D47" s="12">
        <v>608584.88</v>
      </c>
      <c r="E47" s="85">
        <f>D47/C47</f>
        <v>1.303179614561028</v>
      </c>
    </row>
    <row r="48" spans="1:5" s="52" customFormat="1" ht="45" customHeight="1">
      <c r="A48" s="10"/>
      <c r="B48" s="26" t="s">
        <v>42</v>
      </c>
      <c r="C48" s="57">
        <f>18000+28000+28000+36000</f>
        <v>110000</v>
      </c>
      <c r="D48" s="12">
        <f>13978.27+68520+336731.39</f>
        <v>419229.66000000003</v>
      </c>
      <c r="E48" s="85">
        <f aca="true" t="shared" si="2" ref="E48:E56">D48/C48</f>
        <v>3.8111787272727278</v>
      </c>
    </row>
    <row r="49" spans="1:5" ht="24" customHeight="1">
      <c r="A49" s="10"/>
      <c r="B49" s="32" t="s">
        <v>177</v>
      </c>
      <c r="C49" s="57">
        <v>400000</v>
      </c>
      <c r="D49" s="12">
        <v>515474.25</v>
      </c>
      <c r="E49" s="85">
        <f t="shared" si="2"/>
        <v>1.288685625</v>
      </c>
    </row>
    <row r="50" spans="1:5" ht="17.25" customHeight="1">
      <c r="A50" s="33"/>
      <c r="B50" s="14" t="s">
        <v>43</v>
      </c>
      <c r="C50" s="57">
        <v>2037500</v>
      </c>
      <c r="D50" s="12">
        <v>3828603.22</v>
      </c>
      <c r="E50" s="85">
        <f t="shared" si="2"/>
        <v>1.879069065030675</v>
      </c>
    </row>
    <row r="51" spans="1:5" ht="23.25" customHeight="1">
      <c r="A51" s="33"/>
      <c r="B51" s="26" t="s">
        <v>44</v>
      </c>
      <c r="C51" s="57">
        <f>1806+1800+3644+2881</f>
        <v>10131</v>
      </c>
      <c r="D51" s="12">
        <f>6.32+2582.3+1668.59+2502.77+5402.97</f>
        <v>12162.95</v>
      </c>
      <c r="E51" s="85">
        <f t="shared" si="2"/>
        <v>1.2005675648998124</v>
      </c>
    </row>
    <row r="52" spans="1:5" ht="15" customHeight="1">
      <c r="A52" s="10"/>
      <c r="B52" s="26" t="s">
        <v>45</v>
      </c>
      <c r="C52" s="57">
        <v>10260</v>
      </c>
      <c r="D52" s="12">
        <v>3438.76</v>
      </c>
      <c r="E52" s="85">
        <f t="shared" si="2"/>
        <v>0.3351617933723197</v>
      </c>
    </row>
    <row r="53" spans="1:5" ht="15.75" customHeight="1">
      <c r="A53" s="21"/>
      <c r="B53" s="22" t="s">
        <v>46</v>
      </c>
      <c r="C53" s="57">
        <v>500000</v>
      </c>
      <c r="D53" s="12">
        <v>3683502.59</v>
      </c>
      <c r="E53" s="85">
        <f t="shared" si="2"/>
        <v>7.36700518</v>
      </c>
    </row>
    <row r="54" spans="1:5" ht="18.75" customHeight="1">
      <c r="A54" s="10"/>
      <c r="B54" s="26" t="s">
        <v>47</v>
      </c>
      <c r="C54" s="57">
        <f>SUM(C55:C59)</f>
        <v>837053</v>
      </c>
      <c r="D54" s="12">
        <f>SUM(D55:D59)</f>
        <v>5762088.4799999995</v>
      </c>
      <c r="E54" s="85">
        <f t="shared" si="2"/>
        <v>6.883779736766966</v>
      </c>
    </row>
    <row r="55" spans="1:5" ht="18" customHeight="1">
      <c r="A55" s="30"/>
      <c r="B55" s="31" t="s">
        <v>48</v>
      </c>
      <c r="C55" s="66">
        <v>180000</v>
      </c>
      <c r="D55" s="17">
        <v>152564.88</v>
      </c>
      <c r="E55" s="85">
        <f t="shared" si="2"/>
        <v>0.8475826666666667</v>
      </c>
    </row>
    <row r="56" spans="1:5" s="52" customFormat="1" ht="18" customHeight="1">
      <c r="A56" s="15"/>
      <c r="B56" s="31" t="s">
        <v>49</v>
      </c>
      <c r="C56" s="66">
        <f>350+4230+1610+1200+450+3847+33000+2000+350+537895+9321+100+50000+3110+4780+600+270+2940+1000</f>
        <v>657053</v>
      </c>
      <c r="D56" s="17">
        <v>2678190</v>
      </c>
      <c r="E56" s="85">
        <f t="shared" si="2"/>
        <v>4.076063879169565</v>
      </c>
    </row>
    <row r="57" spans="1:5" ht="24.75" customHeight="1">
      <c r="A57" s="15"/>
      <c r="B57" s="31" t="s">
        <v>145</v>
      </c>
      <c r="C57" s="66"/>
      <c r="D57" s="17">
        <v>818824.07</v>
      </c>
      <c r="E57" s="85"/>
    </row>
    <row r="58" spans="1:5" ht="17.25" customHeight="1">
      <c r="A58" s="15"/>
      <c r="B58" s="31" t="s">
        <v>169</v>
      </c>
      <c r="C58" s="66"/>
      <c r="D58" s="17">
        <v>1454916.92</v>
      </c>
      <c r="E58" s="85"/>
    </row>
    <row r="59" spans="1:5" ht="37.5" customHeight="1">
      <c r="A59" s="15"/>
      <c r="B59" s="31" t="s">
        <v>142</v>
      </c>
      <c r="C59" s="66"/>
      <c r="D59" s="17">
        <f>42705+167+67538.09+1020+13607.28+10776.51+12.93+19580.68+12.63+618.73+2069+2446.21+45425.1+1322.14+14+0.3+1.61+192.49+10.07+3778.5+215145+27650.72+201828.75+125.2+1544.67</f>
        <v>657592.61</v>
      </c>
      <c r="E59" s="85"/>
    </row>
    <row r="60" spans="1:5" ht="18.75" customHeight="1">
      <c r="A60" s="7">
        <v>5</v>
      </c>
      <c r="B60" s="8" t="s">
        <v>50</v>
      </c>
      <c r="C60" s="27">
        <f>SUM(C61:C70)</f>
        <v>10250102</v>
      </c>
      <c r="D60" s="27">
        <f>SUM(D61:D70)</f>
        <v>10146939</v>
      </c>
      <c r="E60" s="85">
        <f>D60/C60</f>
        <v>0.9899354172280432</v>
      </c>
    </row>
    <row r="61" spans="1:5" ht="17.25" customHeight="1">
      <c r="A61" s="21"/>
      <c r="B61" s="34" t="s">
        <v>51</v>
      </c>
      <c r="C61" s="57">
        <f>33012+182148</f>
        <v>215160</v>
      </c>
      <c r="D61" s="12">
        <f>50169+374305</f>
        <v>424474</v>
      </c>
      <c r="E61" s="85">
        <f>D61/C61</f>
        <v>1.9728295222160253</v>
      </c>
    </row>
    <row r="62" spans="1:5" ht="24.75" customHeight="1">
      <c r="A62" s="21"/>
      <c r="B62" s="35" t="s">
        <v>52</v>
      </c>
      <c r="C62" s="57">
        <v>403800</v>
      </c>
      <c r="D62" s="12">
        <v>450000</v>
      </c>
      <c r="E62" s="85">
        <f>D62/C62</f>
        <v>1.1144130757800892</v>
      </c>
    </row>
    <row r="63" spans="1:5" ht="12.75">
      <c r="A63" s="21"/>
      <c r="B63" s="35" t="s">
        <v>53</v>
      </c>
      <c r="C63" s="57">
        <v>350000</v>
      </c>
      <c r="D63" s="12">
        <v>395239</v>
      </c>
      <c r="E63" s="85">
        <f>D63/C63</f>
        <v>1.1292542857142858</v>
      </c>
    </row>
    <row r="64" spans="1:5" ht="22.5">
      <c r="A64" s="21"/>
      <c r="B64" s="35" t="s">
        <v>143</v>
      </c>
      <c r="C64" s="57"/>
      <c r="D64" s="12">
        <v>23010</v>
      </c>
      <c r="E64" s="85"/>
    </row>
    <row r="65" spans="1:5" ht="39" customHeight="1">
      <c r="A65" s="21"/>
      <c r="B65" s="35" t="s">
        <v>54</v>
      </c>
      <c r="C65" s="57">
        <f>62000+8000</f>
        <v>70000</v>
      </c>
      <c r="D65" s="12">
        <v>80238</v>
      </c>
      <c r="E65" s="85">
        <f aca="true" t="shared" si="3" ref="E65:E70">D65/C65</f>
        <v>1.1462571428571429</v>
      </c>
    </row>
    <row r="66" spans="1:5" ht="17.25" customHeight="1">
      <c r="A66" s="21"/>
      <c r="B66" s="35" t="s">
        <v>55</v>
      </c>
      <c r="C66" s="57">
        <v>4932</v>
      </c>
      <c r="D66" s="12">
        <v>1644</v>
      </c>
      <c r="E66" s="85">
        <f t="shared" si="3"/>
        <v>0.3333333333333333</v>
      </c>
    </row>
    <row r="67" spans="1:5" ht="20.25" customHeight="1">
      <c r="A67" s="21"/>
      <c r="B67" s="35" t="s">
        <v>56</v>
      </c>
      <c r="C67" s="57">
        <v>50000</v>
      </c>
      <c r="D67" s="12">
        <v>56176</v>
      </c>
      <c r="E67" s="85">
        <f t="shared" si="3"/>
        <v>1.12352</v>
      </c>
    </row>
    <row r="68" spans="1:5" ht="20.25" customHeight="1">
      <c r="A68" s="21"/>
      <c r="B68" s="35" t="s">
        <v>200</v>
      </c>
      <c r="C68" s="57"/>
      <c r="D68" s="12">
        <v>2846</v>
      </c>
      <c r="E68" s="85"/>
    </row>
    <row r="69" spans="1:5" ht="33.75">
      <c r="A69" s="33"/>
      <c r="B69" s="14" t="s">
        <v>57</v>
      </c>
      <c r="C69" s="57">
        <f>7743627+668811</f>
        <v>8412438</v>
      </c>
      <c r="D69" s="12">
        <f>8713312-385761.61</f>
        <v>8327550.39</v>
      </c>
      <c r="E69" s="85">
        <f t="shared" si="3"/>
        <v>0.989909273625553</v>
      </c>
    </row>
    <row r="70" spans="1:5" ht="22.5">
      <c r="A70" s="33"/>
      <c r="B70" s="14" t="s">
        <v>58</v>
      </c>
      <c r="C70" s="57">
        <v>743772</v>
      </c>
      <c r="D70" s="12">
        <v>385761.61</v>
      </c>
      <c r="E70" s="85">
        <f t="shared" si="3"/>
        <v>0.5186557305195678</v>
      </c>
    </row>
    <row r="71" spans="1:5" ht="24">
      <c r="A71" s="7">
        <v>6</v>
      </c>
      <c r="B71" s="8" t="s">
        <v>59</v>
      </c>
      <c r="C71" s="27">
        <f>SUM(C72:C101)</f>
        <v>1991402</v>
      </c>
      <c r="D71" s="27">
        <f>SUM(D72:D101)</f>
        <v>2192262.4699999997</v>
      </c>
      <c r="E71" s="85">
        <f aca="true" t="shared" si="4" ref="E71:E106">D71/C71</f>
        <v>1.100863848685499</v>
      </c>
    </row>
    <row r="72" spans="1:5" ht="29.25" customHeight="1">
      <c r="A72" s="21"/>
      <c r="B72" s="35" t="s">
        <v>60</v>
      </c>
      <c r="C72" s="57">
        <v>561300</v>
      </c>
      <c r="D72" s="12">
        <v>561300</v>
      </c>
      <c r="E72" s="85">
        <f t="shared" si="4"/>
        <v>1</v>
      </c>
    </row>
    <row r="73" spans="1:5" ht="22.5" hidden="1">
      <c r="A73" s="21"/>
      <c r="B73" s="14" t="s">
        <v>61</v>
      </c>
      <c r="C73" s="57">
        <v>0</v>
      </c>
      <c r="D73" s="12"/>
      <c r="E73" s="85" t="e">
        <f t="shared" si="4"/>
        <v>#DIV/0!</v>
      </c>
    </row>
    <row r="74" spans="1:5" ht="12.75">
      <c r="A74" s="21"/>
      <c r="B74" s="14" t="s">
        <v>62</v>
      </c>
      <c r="C74" s="57">
        <f>56597+134125-129272</f>
        <v>61450</v>
      </c>
      <c r="D74" s="12">
        <v>58070.12</v>
      </c>
      <c r="E74" s="85">
        <f t="shared" si="4"/>
        <v>0.9449978844589098</v>
      </c>
    </row>
    <row r="75" spans="1:5" ht="22.5" hidden="1">
      <c r="A75" s="21"/>
      <c r="B75" s="14" t="s">
        <v>63</v>
      </c>
      <c r="C75" s="57">
        <v>0</v>
      </c>
      <c r="D75" s="12"/>
      <c r="E75" s="85" t="e">
        <f t="shared" si="4"/>
        <v>#DIV/0!</v>
      </c>
    </row>
    <row r="76" spans="1:5" ht="33.75" hidden="1">
      <c r="A76" s="21"/>
      <c r="B76" s="14" t="s">
        <v>64</v>
      </c>
      <c r="C76" s="57">
        <v>0</v>
      </c>
      <c r="D76" s="12"/>
      <c r="E76" s="85" t="e">
        <f t="shared" si="4"/>
        <v>#DIV/0!</v>
      </c>
    </row>
    <row r="77" spans="1:5" ht="22.5" hidden="1">
      <c r="A77" s="21"/>
      <c r="B77" s="35" t="s">
        <v>65</v>
      </c>
      <c r="C77" s="57">
        <v>0</v>
      </c>
      <c r="D77" s="12"/>
      <c r="E77" s="85" t="e">
        <f t="shared" si="4"/>
        <v>#DIV/0!</v>
      </c>
    </row>
    <row r="78" spans="1:5" ht="22.5">
      <c r="A78" s="36"/>
      <c r="B78" s="14" t="s">
        <v>66</v>
      </c>
      <c r="C78" s="57">
        <v>61200</v>
      </c>
      <c r="D78" s="12">
        <v>61200</v>
      </c>
      <c r="E78" s="85">
        <f t="shared" si="4"/>
        <v>1</v>
      </c>
    </row>
    <row r="79" spans="1:5" ht="12.75">
      <c r="A79" s="36"/>
      <c r="B79" s="14" t="s">
        <v>161</v>
      </c>
      <c r="C79" s="57">
        <v>20000</v>
      </c>
      <c r="D79" s="12">
        <v>8715</v>
      </c>
      <c r="E79" s="85">
        <f t="shared" si="4"/>
        <v>0.43575</v>
      </c>
    </row>
    <row r="80" spans="1:5" ht="12.75">
      <c r="A80" s="36"/>
      <c r="B80" s="14" t="s">
        <v>162</v>
      </c>
      <c r="C80" s="57">
        <v>5000</v>
      </c>
      <c r="D80" s="12">
        <v>5000</v>
      </c>
      <c r="E80" s="85">
        <f t="shared" si="4"/>
        <v>1</v>
      </c>
    </row>
    <row r="81" spans="1:5" ht="39.75" customHeight="1">
      <c r="A81" s="36"/>
      <c r="B81" s="14" t="s">
        <v>185</v>
      </c>
      <c r="C81" s="57">
        <v>33000</v>
      </c>
      <c r="D81" s="12">
        <v>33000</v>
      </c>
      <c r="E81" s="85">
        <f t="shared" si="4"/>
        <v>1</v>
      </c>
    </row>
    <row r="82" spans="1:5" ht="12.75">
      <c r="A82" s="36"/>
      <c r="B82" s="14" t="s">
        <v>187</v>
      </c>
      <c r="C82" s="57">
        <v>19200</v>
      </c>
      <c r="D82" s="12">
        <v>0</v>
      </c>
      <c r="E82" s="85">
        <f>D82/C82</f>
        <v>0</v>
      </c>
    </row>
    <row r="83" spans="1:5" ht="22.5">
      <c r="A83" s="36"/>
      <c r="B83" s="14" t="s">
        <v>197</v>
      </c>
      <c r="C83" s="57"/>
      <c r="D83" s="12">
        <v>131111</v>
      </c>
      <c r="E83" s="85"/>
    </row>
    <row r="84" spans="1:5" ht="33.75">
      <c r="A84" s="36"/>
      <c r="B84" s="14" t="s">
        <v>186</v>
      </c>
      <c r="C84" s="57">
        <f>374145</f>
        <v>374145</v>
      </c>
      <c r="D84" s="12">
        <f>378124-3980</f>
        <v>374144</v>
      </c>
      <c r="E84" s="85">
        <f t="shared" si="4"/>
        <v>0.9999973272394392</v>
      </c>
    </row>
    <row r="85" spans="1:5" ht="21.75" customHeight="1" hidden="1">
      <c r="A85" s="36"/>
      <c r="B85" s="14"/>
      <c r="C85" s="57"/>
      <c r="D85" s="12"/>
      <c r="E85" s="85"/>
    </row>
    <row r="86" spans="1:5" s="52" customFormat="1" ht="37.5" customHeight="1">
      <c r="A86" s="36"/>
      <c r="B86" s="14" t="s">
        <v>180</v>
      </c>
      <c r="C86" s="57">
        <v>150000</v>
      </c>
      <c r="D86" s="12">
        <v>150000</v>
      </c>
      <c r="E86" s="85">
        <f t="shared" si="4"/>
        <v>1</v>
      </c>
    </row>
    <row r="87" spans="1:5" s="52" customFormat="1" ht="48" customHeight="1">
      <c r="A87" s="36"/>
      <c r="B87" s="35" t="s">
        <v>184</v>
      </c>
      <c r="C87" s="57">
        <v>125000</v>
      </c>
      <c r="D87" s="12">
        <v>125000</v>
      </c>
      <c r="E87" s="85">
        <f>D87/C87</f>
        <v>1</v>
      </c>
    </row>
    <row r="88" spans="1:5" s="52" customFormat="1" ht="27.75" customHeight="1">
      <c r="A88" s="36"/>
      <c r="B88" s="14" t="s">
        <v>188</v>
      </c>
      <c r="C88" s="57">
        <v>4500</v>
      </c>
      <c r="D88" s="12">
        <v>3980</v>
      </c>
      <c r="E88" s="85">
        <f t="shared" si="4"/>
        <v>0.8844444444444445</v>
      </c>
    </row>
    <row r="89" spans="1:5" ht="22.5">
      <c r="A89" s="36"/>
      <c r="B89" s="14" t="s">
        <v>157</v>
      </c>
      <c r="C89" s="57">
        <v>19469</v>
      </c>
      <c r="D89" s="12">
        <v>19162.47</v>
      </c>
      <c r="E89" s="85">
        <f t="shared" si="4"/>
        <v>0.9842554830756588</v>
      </c>
    </row>
    <row r="90" spans="1:5" ht="12.75">
      <c r="A90" s="36"/>
      <c r="B90" s="35" t="s">
        <v>160</v>
      </c>
      <c r="C90" s="57">
        <v>217897</v>
      </c>
      <c r="D90" s="12">
        <f>244630.56-60891.07</f>
        <v>183739.49</v>
      </c>
      <c r="E90" s="85">
        <f t="shared" si="4"/>
        <v>0.8432401088587727</v>
      </c>
    </row>
    <row r="91" spans="1:5" ht="12.75">
      <c r="A91" s="36"/>
      <c r="B91" s="35" t="s">
        <v>182</v>
      </c>
      <c r="C91" s="57">
        <v>138501</v>
      </c>
      <c r="D91" s="12">
        <f>60891.07+817.38</f>
        <v>61708.45</v>
      </c>
      <c r="E91" s="85">
        <f t="shared" si="4"/>
        <v>0.445545158518711</v>
      </c>
    </row>
    <row r="92" spans="1:5" ht="27.75" customHeight="1">
      <c r="A92" s="36"/>
      <c r="B92" s="35" t="s">
        <v>181</v>
      </c>
      <c r="C92" s="57">
        <v>1686</v>
      </c>
      <c r="D92" s="12">
        <f>1247.13+8.89</f>
        <v>1256.0200000000002</v>
      </c>
      <c r="E92" s="85">
        <f t="shared" si="4"/>
        <v>0.74497034400949</v>
      </c>
    </row>
    <row r="93" spans="1:5" ht="39" customHeight="1">
      <c r="A93" s="21"/>
      <c r="B93" s="14" t="s">
        <v>67</v>
      </c>
      <c r="C93" s="57">
        <v>9344</v>
      </c>
      <c r="D93" s="12">
        <v>9335.92</v>
      </c>
      <c r="E93" s="85">
        <f t="shared" si="4"/>
        <v>0.9991352739726027</v>
      </c>
    </row>
    <row r="94" spans="1:5" ht="12.75" hidden="1">
      <c r="A94" s="21"/>
      <c r="B94" s="14" t="s">
        <v>68</v>
      </c>
      <c r="C94" s="57">
        <v>0</v>
      </c>
      <c r="D94" s="12"/>
      <c r="E94" s="85" t="e">
        <f t="shared" si="4"/>
        <v>#DIV/0!</v>
      </c>
    </row>
    <row r="95" spans="1:5" ht="22.5" hidden="1">
      <c r="A95" s="21"/>
      <c r="B95" s="14" t="s">
        <v>69</v>
      </c>
      <c r="C95" s="57">
        <v>0</v>
      </c>
      <c r="D95" s="12"/>
      <c r="E95" s="85" t="e">
        <f t="shared" si="4"/>
        <v>#DIV/0!</v>
      </c>
    </row>
    <row r="96" spans="1:5" ht="12.75" hidden="1">
      <c r="A96" s="21"/>
      <c r="B96" s="14" t="s">
        <v>70</v>
      </c>
      <c r="C96" s="57">
        <v>0</v>
      </c>
      <c r="D96" s="12"/>
      <c r="E96" s="85" t="e">
        <f t="shared" si="4"/>
        <v>#DIV/0!</v>
      </c>
    </row>
    <row r="97" spans="1:5" ht="12.75" hidden="1">
      <c r="A97" s="21"/>
      <c r="B97" s="14" t="s">
        <v>71</v>
      </c>
      <c r="C97" s="57">
        <v>0</v>
      </c>
      <c r="D97" s="12"/>
      <c r="E97" s="85" t="e">
        <f t="shared" si="4"/>
        <v>#DIV/0!</v>
      </c>
    </row>
    <row r="98" spans="1:5" ht="33.75">
      <c r="A98" s="21"/>
      <c r="B98" s="35" t="s">
        <v>72</v>
      </c>
      <c r="C98" s="57">
        <f>59301+61685+61684</f>
        <v>182670</v>
      </c>
      <c r="D98" s="12">
        <f>59301+61685+61684</f>
        <v>182670</v>
      </c>
      <c r="E98" s="85">
        <f t="shared" si="4"/>
        <v>1</v>
      </c>
    </row>
    <row r="99" spans="1:5" ht="34.5" customHeight="1">
      <c r="A99" s="21"/>
      <c r="B99" s="35" t="s">
        <v>198</v>
      </c>
      <c r="C99" s="57"/>
      <c r="D99" s="12">
        <v>216000</v>
      </c>
      <c r="E99" s="85"/>
    </row>
    <row r="100" spans="1:5" ht="22.5">
      <c r="A100" s="21"/>
      <c r="B100" s="35" t="s">
        <v>192</v>
      </c>
      <c r="C100" s="57">
        <v>2040</v>
      </c>
      <c r="D100" s="12">
        <v>2040</v>
      </c>
      <c r="E100" s="85">
        <f t="shared" si="4"/>
        <v>1</v>
      </c>
    </row>
    <row r="101" spans="1:5" ht="22.5">
      <c r="A101" s="21"/>
      <c r="B101" s="35" t="s">
        <v>73</v>
      </c>
      <c r="C101" s="57">
        <v>5000</v>
      </c>
      <c r="D101" s="12">
        <v>4830</v>
      </c>
      <c r="E101" s="85">
        <f t="shared" si="4"/>
        <v>0.966</v>
      </c>
    </row>
    <row r="102" spans="1:5" ht="12.75">
      <c r="A102" s="7">
        <v>7</v>
      </c>
      <c r="B102" s="8" t="s">
        <v>91</v>
      </c>
      <c r="C102" s="27">
        <f>SUM(C103:C104)</f>
        <v>301586965</v>
      </c>
      <c r="D102" s="27">
        <f>SUM(D103:D104)</f>
        <v>301704738.42</v>
      </c>
      <c r="E102" s="85">
        <f t="shared" si="4"/>
        <v>1.0003905123021481</v>
      </c>
    </row>
    <row r="103" spans="1:5" ht="12.75">
      <c r="A103" s="21"/>
      <c r="B103" s="22" t="s">
        <v>92</v>
      </c>
      <c r="C103" s="57">
        <f>217522232+60064733</f>
        <v>277586965</v>
      </c>
      <c r="D103" s="12">
        <f>221230421+61088674</f>
        <v>282319095</v>
      </c>
      <c r="E103" s="85">
        <f t="shared" si="4"/>
        <v>1.0170473782873775</v>
      </c>
    </row>
    <row r="104" spans="1:5" ht="12.75">
      <c r="A104" s="21"/>
      <c r="B104" s="22" t="s">
        <v>93</v>
      </c>
      <c r="C104" s="57">
        <f>19800000+4200000</f>
        <v>24000000</v>
      </c>
      <c r="D104" s="12">
        <f>16039276.87+3346366.55</f>
        <v>19385643.419999998</v>
      </c>
      <c r="E104" s="85">
        <f t="shared" si="4"/>
        <v>0.8077351424999999</v>
      </c>
    </row>
    <row r="105" spans="1:5" ht="30.75" customHeight="1">
      <c r="A105" s="100" t="s">
        <v>174</v>
      </c>
      <c r="B105" s="100"/>
      <c r="C105" s="27">
        <f>SUM(C106:C131)</f>
        <v>8955753</v>
      </c>
      <c r="D105" s="27">
        <f>SUM(D106:D131)</f>
        <v>5890115</v>
      </c>
      <c r="E105" s="85">
        <f t="shared" si="4"/>
        <v>0.657690648681356</v>
      </c>
    </row>
    <row r="106" spans="1:5" ht="22.5" hidden="1">
      <c r="A106" s="21"/>
      <c r="B106" s="14" t="s">
        <v>61</v>
      </c>
      <c r="C106" s="57">
        <v>0</v>
      </c>
      <c r="D106" s="12"/>
      <c r="E106" s="85" t="e">
        <f t="shared" si="4"/>
        <v>#DIV/0!</v>
      </c>
    </row>
    <row r="107" spans="1:5" ht="27.75" customHeight="1">
      <c r="A107" s="33"/>
      <c r="B107" s="14" t="s">
        <v>74</v>
      </c>
      <c r="C107" s="12">
        <f>11959+19135+238+3143+131194+644+72526+9422+4408</f>
        <v>252669</v>
      </c>
      <c r="D107" s="12">
        <f>10088.01+278.87+21116.54+2516.12+2777.62+113524.77+68408</f>
        <v>218709.93</v>
      </c>
      <c r="E107" s="85">
        <f aca="true" t="shared" si="5" ref="E107:E139">D107/C107</f>
        <v>0.8655985894589364</v>
      </c>
    </row>
    <row r="108" spans="1:5" ht="12.75">
      <c r="A108" s="21"/>
      <c r="B108" s="22" t="s">
        <v>75</v>
      </c>
      <c r="C108" s="57">
        <f>6583+253880</f>
        <v>260463</v>
      </c>
      <c r="D108" s="12">
        <f>276447.24+15668.78</f>
        <v>292116.02</v>
      </c>
      <c r="E108" s="85">
        <f t="shared" si="5"/>
        <v>1.1215259748985462</v>
      </c>
    </row>
    <row r="109" spans="1:5" ht="12.75">
      <c r="A109" s="21"/>
      <c r="B109" s="14" t="s">
        <v>76</v>
      </c>
      <c r="C109" s="12">
        <f>338955+822362</f>
        <v>1161317</v>
      </c>
      <c r="D109" s="12">
        <v>187716.33</v>
      </c>
      <c r="E109" s="85">
        <f t="shared" si="5"/>
        <v>0.16164090424922736</v>
      </c>
    </row>
    <row r="110" spans="1:5" ht="22.5" hidden="1">
      <c r="A110" s="21"/>
      <c r="B110" s="14" t="s">
        <v>77</v>
      </c>
      <c r="C110" s="57">
        <v>0</v>
      </c>
      <c r="D110" s="12"/>
      <c r="E110" s="85" t="e">
        <f t="shared" si="5"/>
        <v>#DIV/0!</v>
      </c>
    </row>
    <row r="111" spans="1:5" ht="12.75">
      <c r="A111" s="21"/>
      <c r="B111" s="14" t="s">
        <v>78</v>
      </c>
      <c r="C111" s="57">
        <v>277606</v>
      </c>
      <c r="D111" s="12">
        <v>3163.56</v>
      </c>
      <c r="E111" s="85">
        <f t="shared" si="5"/>
        <v>0.011395863201803996</v>
      </c>
    </row>
    <row r="112" spans="1:5" ht="12.75">
      <c r="A112" s="21"/>
      <c r="B112" s="14" t="s">
        <v>62</v>
      </c>
      <c r="C112" s="57">
        <f>320716+760045-732542</f>
        <v>348219</v>
      </c>
      <c r="D112" s="12">
        <v>315173.07</v>
      </c>
      <c r="E112" s="85">
        <f t="shared" si="5"/>
        <v>0.9051001524902432</v>
      </c>
    </row>
    <row r="113" spans="1:5" ht="12.75" hidden="1">
      <c r="A113" s="21"/>
      <c r="B113" s="14" t="s">
        <v>79</v>
      </c>
      <c r="C113" s="57">
        <v>0</v>
      </c>
      <c r="D113" s="12"/>
      <c r="E113" s="85" t="e">
        <f t="shared" si="5"/>
        <v>#DIV/0!</v>
      </c>
    </row>
    <row r="114" spans="1:5" ht="12.75">
      <c r="A114" s="21"/>
      <c r="B114" s="14" t="s">
        <v>70</v>
      </c>
      <c r="C114" s="57">
        <v>75408</v>
      </c>
      <c r="D114" s="12">
        <v>32355</v>
      </c>
      <c r="E114" s="85">
        <f t="shared" si="5"/>
        <v>0.42906588160407383</v>
      </c>
    </row>
    <row r="115" spans="1:5" s="97" customFormat="1" ht="12.75">
      <c r="A115" s="21"/>
      <c r="B115" s="14" t="s">
        <v>80</v>
      </c>
      <c r="C115" s="12">
        <v>63750</v>
      </c>
      <c r="D115" s="12"/>
      <c r="E115" s="96">
        <f t="shared" si="5"/>
        <v>0</v>
      </c>
    </row>
    <row r="116" spans="1:5" ht="12.75">
      <c r="A116" s="21"/>
      <c r="B116" s="14" t="s">
        <v>81</v>
      </c>
      <c r="C116" s="57">
        <v>170000</v>
      </c>
      <c r="D116" s="12"/>
      <c r="E116" s="85">
        <f t="shared" si="5"/>
        <v>0</v>
      </c>
    </row>
    <row r="117" spans="1:5" ht="22.5" hidden="1">
      <c r="A117" s="21"/>
      <c r="B117" s="14" t="s">
        <v>82</v>
      </c>
      <c r="C117" s="57">
        <v>0</v>
      </c>
      <c r="D117" s="12"/>
      <c r="E117" s="85" t="e">
        <f t="shared" si="5"/>
        <v>#DIV/0!</v>
      </c>
    </row>
    <row r="118" spans="1:5" ht="12.75" hidden="1">
      <c r="A118" s="21"/>
      <c r="B118" s="14" t="s">
        <v>83</v>
      </c>
      <c r="C118" s="57">
        <v>0</v>
      </c>
      <c r="D118" s="12"/>
      <c r="E118" s="85" t="e">
        <f t="shared" si="5"/>
        <v>#DIV/0!</v>
      </c>
    </row>
    <row r="119" spans="1:5" ht="12.75">
      <c r="A119" s="21"/>
      <c r="B119" s="35" t="s">
        <v>84</v>
      </c>
      <c r="C119" s="57">
        <v>128521</v>
      </c>
      <c r="D119" s="12">
        <v>127755.79</v>
      </c>
      <c r="E119" s="85">
        <f t="shared" si="5"/>
        <v>0.9940460313878665</v>
      </c>
    </row>
    <row r="120" spans="1:5" ht="12.75">
      <c r="A120" s="21"/>
      <c r="B120" s="35" t="s">
        <v>156</v>
      </c>
      <c r="C120" s="57">
        <f>37149+50688+47694+321</f>
        <v>135852</v>
      </c>
      <c r="D120" s="12">
        <f>82243.08+41026.19+38412.08+161.75</f>
        <v>161843.1</v>
      </c>
      <c r="E120" s="85">
        <f t="shared" si="5"/>
        <v>1.1913192297500221</v>
      </c>
    </row>
    <row r="121" spans="1:5" ht="12.75">
      <c r="A121" s="21"/>
      <c r="B121" s="35" t="s">
        <v>160</v>
      </c>
      <c r="C121" s="57">
        <v>3526034</v>
      </c>
      <c r="D121" s="12">
        <f>3759664.56-784834.75</f>
        <v>2974829.81</v>
      </c>
      <c r="E121" s="85">
        <f t="shared" si="5"/>
        <v>0.8436758720987942</v>
      </c>
    </row>
    <row r="122" spans="1:5" ht="12.75">
      <c r="A122" s="21"/>
      <c r="B122" s="35" t="s">
        <v>182</v>
      </c>
      <c r="C122" s="57">
        <v>784836</v>
      </c>
      <c r="D122" s="12">
        <f>784834.75+4631.83</f>
        <v>789466.58</v>
      </c>
      <c r="E122" s="85">
        <f t="shared" si="5"/>
        <v>1.0059000606496133</v>
      </c>
    </row>
    <row r="123" spans="1:5" ht="22.5">
      <c r="A123" s="21"/>
      <c r="B123" s="14" t="s">
        <v>85</v>
      </c>
      <c r="C123" s="57">
        <v>271864</v>
      </c>
      <c r="D123" s="12">
        <v>165602.53</v>
      </c>
      <c r="E123" s="85">
        <f t="shared" si="5"/>
        <v>0.609137399582144</v>
      </c>
    </row>
    <row r="124" spans="1:5" ht="22.5">
      <c r="A124" s="21"/>
      <c r="B124" s="14" t="s">
        <v>86</v>
      </c>
      <c r="C124" s="57">
        <v>162648</v>
      </c>
      <c r="D124" s="12">
        <v>81455.24</v>
      </c>
      <c r="E124" s="85">
        <f t="shared" si="5"/>
        <v>0.500806895873297</v>
      </c>
    </row>
    <row r="125" spans="1:5" ht="22.5">
      <c r="A125" s="21"/>
      <c r="B125" s="14" t="s">
        <v>87</v>
      </c>
      <c r="C125" s="57">
        <v>355845</v>
      </c>
      <c r="D125" s="12">
        <v>152732.89</v>
      </c>
      <c r="E125" s="85">
        <f t="shared" si="5"/>
        <v>0.42921184785510547</v>
      </c>
    </row>
    <row r="126" spans="1:5" ht="12.75">
      <c r="A126" s="21"/>
      <c r="B126" s="14" t="s">
        <v>88</v>
      </c>
      <c r="C126" s="57">
        <v>298489</v>
      </c>
      <c r="D126" s="12">
        <v>164837.02</v>
      </c>
      <c r="E126" s="85">
        <f t="shared" si="5"/>
        <v>0.5522381729309958</v>
      </c>
    </row>
    <row r="127" spans="1:5" ht="22.5">
      <c r="A127" s="21"/>
      <c r="B127" s="14" t="s">
        <v>89</v>
      </c>
      <c r="C127" s="57">
        <v>672678</v>
      </c>
      <c r="D127" s="12">
        <v>205079.17</v>
      </c>
      <c r="E127" s="85">
        <f>D127/C127</f>
        <v>0.3048697445137198</v>
      </c>
    </row>
    <row r="128" spans="1:5" ht="33.75">
      <c r="A128" s="21"/>
      <c r="B128" s="20" t="s">
        <v>202</v>
      </c>
      <c r="C128" s="57"/>
      <c r="D128" s="12">
        <v>10161.53</v>
      </c>
      <c r="E128" s="85"/>
    </row>
    <row r="129" spans="1:5" ht="22.5">
      <c r="A129" s="21"/>
      <c r="B129" s="35" t="s">
        <v>181</v>
      </c>
      <c r="C129" s="57">
        <v>9554</v>
      </c>
      <c r="D129" s="12">
        <f>50.37+7067.06</f>
        <v>7117.43</v>
      </c>
      <c r="E129" s="85">
        <f t="shared" si="5"/>
        <v>0.7449685995394599</v>
      </c>
    </row>
    <row r="130" spans="1:5" ht="22.5" hidden="1">
      <c r="A130" s="21"/>
      <c r="B130" s="14" t="s">
        <v>90</v>
      </c>
      <c r="C130" s="57">
        <v>0</v>
      </c>
      <c r="D130" s="12"/>
      <c r="E130" s="85" t="e">
        <f t="shared" si="5"/>
        <v>#DIV/0!</v>
      </c>
    </row>
    <row r="131" spans="1:5" ht="22.5" hidden="1">
      <c r="A131" s="21"/>
      <c r="B131" s="35" t="s">
        <v>65</v>
      </c>
      <c r="C131" s="57">
        <v>0</v>
      </c>
      <c r="D131" s="12"/>
      <c r="E131" s="85" t="e">
        <f t="shared" si="5"/>
        <v>#DIV/0!</v>
      </c>
    </row>
    <row r="132" spans="1:5" ht="15">
      <c r="A132" s="100" t="s">
        <v>164</v>
      </c>
      <c r="B132" s="100"/>
      <c r="C132" s="5">
        <f>SUM(C133:C134)</f>
        <v>204616629</v>
      </c>
      <c r="D132" s="5">
        <f>SUM(D133:D134)</f>
        <v>204616629</v>
      </c>
      <c r="E132" s="85">
        <f t="shared" si="5"/>
        <v>1</v>
      </c>
    </row>
    <row r="133" spans="1:5" ht="12.75">
      <c r="A133" s="21">
        <v>1</v>
      </c>
      <c r="B133" s="22" t="s">
        <v>94</v>
      </c>
      <c r="C133" s="57">
        <f>197962293+320000+81618+22428</f>
        <v>198386339</v>
      </c>
      <c r="D133" s="12">
        <v>198386339</v>
      </c>
      <c r="E133" s="85">
        <f t="shared" si="5"/>
        <v>1</v>
      </c>
    </row>
    <row r="134" spans="1:5" ht="12.75">
      <c r="A134" s="21">
        <v>2</v>
      </c>
      <c r="B134" s="39" t="s">
        <v>95</v>
      </c>
      <c r="C134" s="57">
        <f>6230293-3</f>
        <v>6230290</v>
      </c>
      <c r="D134" s="12">
        <v>6230290</v>
      </c>
      <c r="E134" s="85">
        <f t="shared" si="5"/>
        <v>1</v>
      </c>
    </row>
    <row r="135" spans="1:5" ht="29.25" customHeight="1">
      <c r="A135" s="102" t="s">
        <v>165</v>
      </c>
      <c r="B135" s="103"/>
      <c r="C135" s="5">
        <f>SUM(C136,C163,C170)</f>
        <v>78508213</v>
      </c>
      <c r="D135" s="5">
        <f>SUM(D136,D163,D170)</f>
        <v>77452188.13</v>
      </c>
      <c r="E135" s="85">
        <f t="shared" si="5"/>
        <v>0.9865488612000377</v>
      </c>
    </row>
    <row r="136" spans="1:5" ht="12.75">
      <c r="A136" s="40">
        <v>1</v>
      </c>
      <c r="B136" s="41" t="s">
        <v>97</v>
      </c>
      <c r="C136" s="27">
        <f>SUM(C137:C139,C149:C162)</f>
        <v>68806779</v>
      </c>
      <c r="D136" s="27">
        <f>SUM(D137:D139,D149:D162)</f>
        <v>67924226.28</v>
      </c>
      <c r="E136" s="85">
        <f t="shared" si="5"/>
        <v>0.9871734626612881</v>
      </c>
    </row>
    <row r="137" spans="1:5" ht="16.5" customHeight="1">
      <c r="A137" s="21"/>
      <c r="B137" s="42" t="s">
        <v>167</v>
      </c>
      <c r="C137" s="57">
        <f>777000+6500</f>
        <v>783500</v>
      </c>
      <c r="D137" s="12">
        <v>782804</v>
      </c>
      <c r="E137" s="85">
        <f t="shared" si="5"/>
        <v>0.999111678366305</v>
      </c>
    </row>
    <row r="138" spans="1:5" ht="27" customHeight="1">
      <c r="A138" s="21"/>
      <c r="B138" s="22" t="s">
        <v>98</v>
      </c>
      <c r="C138" s="57">
        <f>11297000+296872+7200+106300+339295+232255</f>
        <v>12278922</v>
      </c>
      <c r="D138" s="12">
        <v>12278790</v>
      </c>
      <c r="E138" s="85">
        <f t="shared" si="5"/>
        <v>0.999989249870632</v>
      </c>
    </row>
    <row r="139" spans="1:5" ht="12.75">
      <c r="A139" s="21"/>
      <c r="B139" s="22" t="s">
        <v>99</v>
      </c>
      <c r="C139" s="57">
        <f>SUM(C140:C148)</f>
        <v>43170458</v>
      </c>
      <c r="D139" s="12">
        <f>SUM(D140:D148)</f>
        <v>42301357.28</v>
      </c>
      <c r="E139" s="85">
        <f t="shared" si="5"/>
        <v>0.9798681607686441</v>
      </c>
    </row>
    <row r="140" spans="1:5" ht="12.75">
      <c r="A140" s="43"/>
      <c r="B140" s="44" t="s">
        <v>100</v>
      </c>
      <c r="C140" s="66">
        <f>1739880+29160+46500</f>
        <v>1815540</v>
      </c>
      <c r="D140" s="17">
        <v>1815453</v>
      </c>
      <c r="E140" s="85">
        <f aca="true" t="shared" si="6" ref="E140:E174">D140/C140</f>
        <v>0.9999520803727816</v>
      </c>
    </row>
    <row r="141" spans="1:5" ht="12.75">
      <c r="A141" s="43"/>
      <c r="B141" s="44" t="s">
        <v>101</v>
      </c>
      <c r="C141" s="66">
        <f>126520+6390+12410-38470</f>
        <v>106850</v>
      </c>
      <c r="D141" s="17">
        <v>85389</v>
      </c>
      <c r="E141" s="85">
        <f t="shared" si="6"/>
        <v>0.7991483387927001</v>
      </c>
    </row>
    <row r="142" spans="1:5" ht="25.5" customHeight="1">
      <c r="A142" s="43"/>
      <c r="B142" s="44" t="s">
        <v>102</v>
      </c>
      <c r="C142" s="66">
        <v>397500</v>
      </c>
      <c r="D142" s="17">
        <v>391452</v>
      </c>
      <c r="E142" s="85">
        <f t="shared" si="6"/>
        <v>0.9847849056603774</v>
      </c>
    </row>
    <row r="143" spans="1:5" ht="25.5" customHeight="1">
      <c r="A143" s="43"/>
      <c r="B143" s="44" t="s">
        <v>195</v>
      </c>
      <c r="C143" s="66">
        <v>104800</v>
      </c>
      <c r="D143" s="17">
        <v>84200</v>
      </c>
      <c r="E143" s="85">
        <f t="shared" si="6"/>
        <v>0.8034351145038168</v>
      </c>
    </row>
    <row r="144" spans="1:5" s="52" customFormat="1" ht="12.75">
      <c r="A144" s="43"/>
      <c r="B144" s="44" t="s">
        <v>103</v>
      </c>
      <c r="C144" s="66">
        <f>86000+8000+10000+16000</f>
        <v>120000</v>
      </c>
      <c r="D144" s="17">
        <v>110504</v>
      </c>
      <c r="E144" s="85">
        <f t="shared" si="6"/>
        <v>0.9208666666666666</v>
      </c>
    </row>
    <row r="145" spans="1:5" ht="12.75">
      <c r="A145" s="43"/>
      <c r="B145" s="44" t="s">
        <v>104</v>
      </c>
      <c r="C145" s="66">
        <f>39000000+650000</f>
        <v>39650000</v>
      </c>
      <c r="D145" s="17">
        <v>38839025</v>
      </c>
      <c r="E145" s="85">
        <f t="shared" si="6"/>
        <v>0.979546658259773</v>
      </c>
    </row>
    <row r="146" spans="1:5" ht="22.5">
      <c r="A146" s="43"/>
      <c r="B146" s="44" t="s">
        <v>189</v>
      </c>
      <c r="C146" s="17">
        <v>8518</v>
      </c>
      <c r="D146" s="17">
        <v>8517.28</v>
      </c>
      <c r="E146" s="85">
        <f t="shared" si="6"/>
        <v>0.9999154731157549</v>
      </c>
    </row>
    <row r="147" spans="1:5" ht="12.75">
      <c r="A147" s="43"/>
      <c r="B147" s="44" t="s">
        <v>105</v>
      </c>
      <c r="C147" s="66">
        <f>750000-5000-93750</f>
        <v>651250</v>
      </c>
      <c r="D147" s="17">
        <v>650918</v>
      </c>
      <c r="E147" s="85">
        <f t="shared" si="6"/>
        <v>0.9994902111324376</v>
      </c>
    </row>
    <row r="148" spans="1:5" ht="12.75">
      <c r="A148" s="43"/>
      <c r="B148" s="44" t="s">
        <v>106</v>
      </c>
      <c r="C148" s="66">
        <f>291000+16000+9000</f>
        <v>316000</v>
      </c>
      <c r="D148" s="17">
        <v>315899</v>
      </c>
      <c r="E148" s="85">
        <f t="shared" si="6"/>
        <v>0.9996803797468354</v>
      </c>
    </row>
    <row r="149" spans="1:5" ht="12.75">
      <c r="A149" s="21"/>
      <c r="B149" s="22" t="s">
        <v>107</v>
      </c>
      <c r="C149" s="57">
        <f>4036690-5468-6800+26860</f>
        <v>4051282</v>
      </c>
      <c r="D149" s="12">
        <v>4051203</v>
      </c>
      <c r="E149" s="85">
        <f t="shared" si="6"/>
        <v>0.9999804999997531</v>
      </c>
    </row>
    <row r="150" spans="1:5" ht="16.5" customHeight="1">
      <c r="A150" s="21"/>
      <c r="B150" s="22" t="s">
        <v>108</v>
      </c>
      <c r="C150" s="57">
        <v>24280</v>
      </c>
      <c r="D150" s="12">
        <v>22642</v>
      </c>
      <c r="E150" s="85">
        <f t="shared" si="6"/>
        <v>0.9325370675453047</v>
      </c>
    </row>
    <row r="151" spans="1:5" ht="24.75" customHeight="1">
      <c r="A151" s="21"/>
      <c r="B151" s="22" t="s">
        <v>178</v>
      </c>
      <c r="C151" s="57">
        <f>1045+3046</f>
        <v>4091</v>
      </c>
      <c r="D151" s="12">
        <v>4012</v>
      </c>
      <c r="E151" s="85">
        <f t="shared" si="6"/>
        <v>0.9806893180151552</v>
      </c>
    </row>
    <row r="152" spans="1:5" ht="13.5" customHeight="1">
      <c r="A152" s="21"/>
      <c r="B152" s="22" t="s">
        <v>166</v>
      </c>
      <c r="C152" s="57">
        <f>1361000+598000</f>
        <v>1959000</v>
      </c>
      <c r="D152" s="12">
        <f>1361000+598000</f>
        <v>1959000</v>
      </c>
      <c r="E152" s="85">
        <f t="shared" si="6"/>
        <v>1</v>
      </c>
    </row>
    <row r="153" spans="1:5" ht="12.75" hidden="1">
      <c r="A153" s="21"/>
      <c r="B153" s="22" t="s">
        <v>109</v>
      </c>
      <c r="C153" s="57">
        <v>0</v>
      </c>
      <c r="D153" s="12"/>
      <c r="E153" s="85" t="e">
        <f t="shared" si="6"/>
        <v>#DIV/0!</v>
      </c>
    </row>
    <row r="154" spans="1:5" ht="22.5" hidden="1">
      <c r="A154" s="21"/>
      <c r="B154" s="22" t="s">
        <v>110</v>
      </c>
      <c r="C154" s="57">
        <v>0</v>
      </c>
      <c r="D154" s="12"/>
      <c r="E154" s="85" t="e">
        <f t="shared" si="6"/>
        <v>#DIV/0!</v>
      </c>
    </row>
    <row r="155" spans="1:5" ht="14.25" customHeight="1">
      <c r="A155" s="21"/>
      <c r="B155" s="22" t="s">
        <v>111</v>
      </c>
      <c r="C155" s="57">
        <v>41100</v>
      </c>
      <c r="D155" s="12">
        <v>40849</v>
      </c>
      <c r="E155" s="85">
        <f t="shared" si="6"/>
        <v>0.9938929440389295</v>
      </c>
    </row>
    <row r="156" spans="1:5" ht="12.75" hidden="1">
      <c r="A156" s="21"/>
      <c r="B156" s="22" t="s">
        <v>112</v>
      </c>
      <c r="C156" s="57">
        <v>0</v>
      </c>
      <c r="D156" s="12"/>
      <c r="E156" s="85" t="e">
        <f t="shared" si="6"/>
        <v>#DIV/0!</v>
      </c>
    </row>
    <row r="157" spans="1:5" ht="12.75">
      <c r="A157" s="21"/>
      <c r="B157" s="22" t="s">
        <v>152</v>
      </c>
      <c r="C157" s="57">
        <f>187765+36422</f>
        <v>224187</v>
      </c>
      <c r="D157" s="12">
        <v>224183</v>
      </c>
      <c r="E157" s="85">
        <f t="shared" si="6"/>
        <v>0.9999821577522336</v>
      </c>
    </row>
    <row r="158" spans="1:5" ht="12.75">
      <c r="A158" s="21"/>
      <c r="B158" s="22" t="s">
        <v>190</v>
      </c>
      <c r="C158" s="57">
        <f>142882+20000+167580</f>
        <v>330462</v>
      </c>
      <c r="D158" s="12">
        <v>320992</v>
      </c>
      <c r="E158" s="85">
        <f t="shared" si="6"/>
        <v>0.9713431498931798</v>
      </c>
    </row>
    <row r="159" spans="1:5" ht="12.75">
      <c r="A159" s="45"/>
      <c r="B159" s="46" t="s">
        <v>113</v>
      </c>
      <c r="C159" s="57">
        <v>99000</v>
      </c>
      <c r="D159" s="12">
        <v>99000</v>
      </c>
      <c r="E159" s="85">
        <f t="shared" si="6"/>
        <v>1</v>
      </c>
    </row>
    <row r="160" spans="1:5" ht="12.75">
      <c r="A160" s="45"/>
      <c r="B160" s="46" t="s">
        <v>114</v>
      </c>
      <c r="C160" s="57">
        <v>38000</v>
      </c>
      <c r="D160" s="12">
        <v>38000</v>
      </c>
      <c r="E160" s="85">
        <f t="shared" si="6"/>
        <v>1</v>
      </c>
    </row>
    <row r="161" spans="1:5" ht="12.75">
      <c r="A161" s="45"/>
      <c r="B161" s="46" t="s">
        <v>115</v>
      </c>
      <c r="C161" s="57">
        <f>3198428+2517211+25553+10171+10900</f>
        <v>5762263</v>
      </c>
      <c r="D161" s="12">
        <v>5761160</v>
      </c>
      <c r="E161" s="85">
        <f t="shared" si="6"/>
        <v>0.9998085821490619</v>
      </c>
    </row>
    <row r="162" spans="1:5" ht="12.75">
      <c r="A162" s="47"/>
      <c r="B162" s="35" t="s">
        <v>116</v>
      </c>
      <c r="C162" s="57">
        <f>54000-11000-1640-1126</f>
        <v>40234</v>
      </c>
      <c r="D162" s="12">
        <v>40234</v>
      </c>
      <c r="E162" s="85">
        <f t="shared" si="6"/>
        <v>1</v>
      </c>
    </row>
    <row r="163" spans="1:5" ht="27" customHeight="1">
      <c r="A163" s="7">
        <v>2</v>
      </c>
      <c r="B163" s="8" t="s">
        <v>117</v>
      </c>
      <c r="C163" s="27">
        <f>SUM(C164:C169)</f>
        <v>288405</v>
      </c>
      <c r="D163" s="27">
        <f>SUM(D164:D169)</f>
        <v>248371</v>
      </c>
      <c r="E163" s="85">
        <f t="shared" si="6"/>
        <v>0.8611882595655415</v>
      </c>
    </row>
    <row r="164" spans="1:5" s="94" customFormat="1" ht="39" customHeight="1">
      <c r="A164" s="36"/>
      <c r="B164" s="11" t="s">
        <v>183</v>
      </c>
      <c r="C164" s="57">
        <v>127000</v>
      </c>
      <c r="D164" s="12">
        <v>94892</v>
      </c>
      <c r="E164" s="85">
        <f>D164/C164</f>
        <v>0.7471811023622047</v>
      </c>
    </row>
    <row r="165" spans="1:5" ht="12.75">
      <c r="A165" s="21"/>
      <c r="B165" s="35" t="s">
        <v>118</v>
      </c>
      <c r="C165" s="57">
        <v>36000</v>
      </c>
      <c r="D165" s="12">
        <v>35986</v>
      </c>
      <c r="E165" s="85">
        <f t="shared" si="6"/>
        <v>0.9996111111111111</v>
      </c>
    </row>
    <row r="166" spans="1:5" ht="12.75">
      <c r="A166" s="21"/>
      <c r="B166" s="35" t="s">
        <v>116</v>
      </c>
      <c r="C166" s="57">
        <f>25000+1640-1910</f>
        <v>24730</v>
      </c>
      <c r="D166" s="12">
        <v>24730</v>
      </c>
      <c r="E166" s="85">
        <f t="shared" si="6"/>
        <v>1</v>
      </c>
    </row>
    <row r="167" spans="1:5" ht="12.75">
      <c r="A167" s="21"/>
      <c r="B167" s="35" t="s">
        <v>191</v>
      </c>
      <c r="C167" s="57">
        <v>71500</v>
      </c>
      <c r="D167" s="12">
        <v>63588</v>
      </c>
      <c r="E167" s="85">
        <f t="shared" si="6"/>
        <v>0.8893426573426574</v>
      </c>
    </row>
    <row r="168" spans="1:5" ht="12.75">
      <c r="A168" s="21"/>
      <c r="B168" s="35" t="s">
        <v>163</v>
      </c>
      <c r="C168" s="57">
        <v>29175</v>
      </c>
      <c r="D168" s="12">
        <v>29175</v>
      </c>
      <c r="E168" s="85">
        <f t="shared" si="6"/>
        <v>1</v>
      </c>
    </row>
    <row r="169" spans="1:5" ht="22.5" hidden="1">
      <c r="A169" s="21"/>
      <c r="B169" s="35" t="s">
        <v>119</v>
      </c>
      <c r="C169" s="57">
        <v>0</v>
      </c>
      <c r="D169" s="12"/>
      <c r="E169" s="85" t="e">
        <f t="shared" si="6"/>
        <v>#DIV/0!</v>
      </c>
    </row>
    <row r="170" spans="1:5" ht="27" customHeight="1">
      <c r="A170" s="7">
        <v>3</v>
      </c>
      <c r="B170" s="8" t="s">
        <v>120</v>
      </c>
      <c r="C170" s="27">
        <f>SUM(C171:C174)</f>
        <v>9413029</v>
      </c>
      <c r="D170" s="27">
        <f>SUM(D171:D174)</f>
        <v>9279590.85</v>
      </c>
      <c r="E170" s="85">
        <f t="shared" si="6"/>
        <v>0.9858241008287555</v>
      </c>
    </row>
    <row r="171" spans="1:5" ht="12.75">
      <c r="A171" s="21"/>
      <c r="B171" s="46" t="s">
        <v>121</v>
      </c>
      <c r="C171" s="57">
        <f>47995+12000</f>
        <v>59995</v>
      </c>
      <c r="D171" s="12">
        <v>59892.38</v>
      </c>
      <c r="E171" s="85">
        <f t="shared" si="6"/>
        <v>0.9982895241270106</v>
      </c>
    </row>
    <row r="172" spans="1:5" ht="12" customHeight="1">
      <c r="A172" s="21"/>
      <c r="B172" s="14" t="s">
        <v>122</v>
      </c>
      <c r="C172" s="57">
        <f>72018+207655+50470</f>
        <v>330143</v>
      </c>
      <c r="D172" s="12">
        <v>283247.91</v>
      </c>
      <c r="E172" s="85">
        <f t="shared" si="6"/>
        <v>0.8579552194049245</v>
      </c>
    </row>
    <row r="173" spans="1:5" ht="22.5" customHeight="1">
      <c r="A173" s="21"/>
      <c r="B173" s="14" t="s">
        <v>194</v>
      </c>
      <c r="C173" s="57">
        <v>9654</v>
      </c>
      <c r="D173" s="12">
        <v>9654</v>
      </c>
      <c r="E173" s="85">
        <f t="shared" si="6"/>
        <v>1</v>
      </c>
    </row>
    <row r="174" spans="1:5" ht="15" customHeight="1">
      <c r="A174" s="21"/>
      <c r="B174" s="46" t="s">
        <v>123</v>
      </c>
      <c r="C174" s="57">
        <f>SUM(C175:C181)</f>
        <v>9013237</v>
      </c>
      <c r="D174" s="12">
        <f>SUM(D175:D181)</f>
        <v>8926796.56</v>
      </c>
      <c r="E174" s="85">
        <f t="shared" si="6"/>
        <v>0.9904096119962229</v>
      </c>
    </row>
    <row r="175" spans="1:5" ht="17.25" customHeight="1">
      <c r="A175" s="15"/>
      <c r="B175" s="48" t="s">
        <v>124</v>
      </c>
      <c r="C175" s="66">
        <f>950000+297000+330000+114430</f>
        <v>1691430</v>
      </c>
      <c r="D175" s="17">
        <v>1691430</v>
      </c>
      <c r="E175" s="85">
        <f aca="true" t="shared" si="7" ref="E175:E181">D175/C175</f>
        <v>1</v>
      </c>
    </row>
    <row r="176" spans="1:5" ht="12.75">
      <c r="A176" s="47"/>
      <c r="B176" s="48" t="s">
        <v>125</v>
      </c>
      <c r="C176" s="66">
        <f>723600+11820-41645-1404-12530+5952-18408-311</f>
        <v>667074</v>
      </c>
      <c r="D176" s="17">
        <v>666953</v>
      </c>
      <c r="E176" s="85">
        <f t="shared" si="7"/>
        <v>0.9998186108287836</v>
      </c>
    </row>
    <row r="177" spans="1:5" ht="15.75" customHeight="1">
      <c r="A177" s="47"/>
      <c r="B177" s="48" t="s">
        <v>126</v>
      </c>
      <c r="C177" s="66">
        <f>120600-36552+1404+768</f>
        <v>86220</v>
      </c>
      <c r="D177" s="17">
        <v>86064</v>
      </c>
      <c r="E177" s="85">
        <f t="shared" si="7"/>
        <v>0.9981906750173973</v>
      </c>
    </row>
    <row r="178" spans="1:5" s="52" customFormat="1" ht="12.75">
      <c r="A178" s="47"/>
      <c r="B178" s="49" t="s">
        <v>127</v>
      </c>
      <c r="C178" s="66">
        <f>606700-128000-45400-52550-1700</f>
        <v>379050</v>
      </c>
      <c r="D178" s="17">
        <v>342978.85</v>
      </c>
      <c r="E178" s="85">
        <f t="shared" si="7"/>
        <v>0.9048380160928636</v>
      </c>
    </row>
    <row r="179" spans="1:5" ht="12.75">
      <c r="A179" s="43"/>
      <c r="B179" s="49" t="s">
        <v>128</v>
      </c>
      <c r="C179" s="66">
        <f>141000-8735</f>
        <v>132265</v>
      </c>
      <c r="D179" s="17">
        <v>132129.75</v>
      </c>
      <c r="E179" s="85">
        <f t="shared" si="7"/>
        <v>0.9989774316712661</v>
      </c>
    </row>
    <row r="180" spans="1:5" ht="12.75">
      <c r="A180" s="43"/>
      <c r="B180" s="49" t="s">
        <v>129</v>
      </c>
      <c r="C180" s="66">
        <f>4853400-120000-307765-23675</f>
        <v>4401960</v>
      </c>
      <c r="D180" s="17">
        <v>4352002.96</v>
      </c>
      <c r="E180" s="85">
        <f t="shared" si="7"/>
        <v>0.9886511826549992</v>
      </c>
    </row>
    <row r="181" spans="1:5" ht="20.25" customHeight="1">
      <c r="A181" s="43"/>
      <c r="B181" s="49" t="s">
        <v>101</v>
      </c>
      <c r="C181" s="66">
        <f>1443000+189558+22680</f>
        <v>1655238</v>
      </c>
      <c r="D181" s="17">
        <v>1655238</v>
      </c>
      <c r="E181" s="85">
        <f t="shared" si="7"/>
        <v>1</v>
      </c>
    </row>
    <row r="182" spans="1:5" ht="12.75">
      <c r="A182" s="38"/>
      <c r="B182" s="38"/>
      <c r="C182" s="51"/>
      <c r="D182" s="50"/>
      <c r="E182" s="38"/>
    </row>
    <row r="183" spans="1:5" ht="12.75">
      <c r="A183" s="38"/>
      <c r="B183" s="38"/>
      <c r="C183" s="51"/>
      <c r="D183" s="50"/>
      <c r="E183" s="38"/>
    </row>
    <row r="184" spans="1:5" ht="12.75">
      <c r="A184" s="38"/>
      <c r="B184" s="38"/>
      <c r="C184" s="51"/>
      <c r="D184" s="50"/>
      <c r="E184" s="38"/>
    </row>
    <row r="185" spans="1:5" ht="12.75">
      <c r="A185" s="38"/>
      <c r="B185" s="38"/>
      <c r="C185" s="51"/>
      <c r="D185" s="50"/>
      <c r="E185" s="38"/>
    </row>
    <row r="186" spans="1:5" ht="12.75">
      <c r="A186" s="38"/>
      <c r="B186" s="38"/>
      <c r="C186" s="51"/>
      <c r="D186" s="50"/>
      <c r="E186" s="38"/>
    </row>
    <row r="187" spans="1:5" s="52" customFormat="1" ht="12.75">
      <c r="A187" s="38"/>
      <c r="B187" s="87"/>
      <c r="C187" s="51"/>
      <c r="D187" s="50"/>
      <c r="E187" s="38"/>
    </row>
    <row r="188" spans="1:5" s="52" customFormat="1" ht="12.75">
      <c r="A188" s="38"/>
      <c r="B188" s="38"/>
      <c r="C188" s="51"/>
      <c r="D188" s="50"/>
      <c r="E188" s="38"/>
    </row>
    <row r="189" spans="2:5" s="52" customFormat="1" ht="12.75">
      <c r="B189" s="91"/>
      <c r="D189" s="80"/>
      <c r="E189" s="94"/>
    </row>
  </sheetData>
  <mergeCells count="6">
    <mergeCell ref="A5:B5"/>
    <mergeCell ref="A132:B132"/>
    <mergeCell ref="A135:B135"/>
    <mergeCell ref="A1:E1"/>
    <mergeCell ref="A4:B4"/>
    <mergeCell ref="A105:B105"/>
  </mergeCells>
  <printOptions/>
  <pageMargins left="0.82" right="0.17" top="0.58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2.75390625" style="0" customWidth="1"/>
    <col min="4" max="4" width="16.125" style="67" customWidth="1"/>
    <col min="5" max="5" width="10.00390625" style="68" customWidth="1"/>
  </cols>
  <sheetData>
    <row r="1" spans="1:5" ht="32.25" customHeight="1">
      <c r="A1" s="104" t="s">
        <v>1</v>
      </c>
      <c r="B1" s="104"/>
      <c r="C1" s="104"/>
      <c r="D1" s="104"/>
      <c r="E1" s="104"/>
    </row>
    <row r="2" spans="1:5" ht="23.25" customHeight="1">
      <c r="A2" s="83" t="s">
        <v>2</v>
      </c>
      <c r="B2" s="82" t="s">
        <v>3</v>
      </c>
      <c r="C2" s="3" t="s">
        <v>203</v>
      </c>
      <c r="D2" s="1" t="s">
        <v>144</v>
      </c>
      <c r="E2" s="84" t="s">
        <v>179</v>
      </c>
    </row>
    <row r="3" spans="1:5" s="76" customFormat="1" ht="11.25">
      <c r="A3" s="2">
        <v>1</v>
      </c>
      <c r="B3" s="2">
        <v>2</v>
      </c>
      <c r="C3" s="3">
        <v>3</v>
      </c>
      <c r="D3" s="1">
        <v>4</v>
      </c>
      <c r="E3" s="3">
        <v>5</v>
      </c>
    </row>
    <row r="4" spans="1:5" ht="12.75">
      <c r="A4" s="112" t="s">
        <v>130</v>
      </c>
      <c r="B4" s="113"/>
      <c r="C4" s="53">
        <f>SUM(C5,C16,C24)</f>
        <v>102861801</v>
      </c>
      <c r="D4" s="4">
        <f>SUM(D5,D16,D24)</f>
        <v>60028518.410000004</v>
      </c>
      <c r="E4" s="85">
        <f aca="true" t="shared" si="0" ref="E4:E9">D4/C4</f>
        <v>0.5835841665848336</v>
      </c>
    </row>
    <row r="5" spans="1:5" ht="12.75" customHeight="1">
      <c r="A5" s="100" t="s">
        <v>131</v>
      </c>
      <c r="B5" s="100"/>
      <c r="C5" s="53">
        <f>SUM(C6,C10,C13)</f>
        <v>48201577</v>
      </c>
      <c r="D5" s="4">
        <f>SUM(D6,D10,D13)</f>
        <v>20002692.6</v>
      </c>
      <c r="E5" s="85">
        <f t="shared" si="0"/>
        <v>0.4149800451549542</v>
      </c>
    </row>
    <row r="6" spans="1:5" ht="12.75">
      <c r="A6" s="54">
        <v>1</v>
      </c>
      <c r="B6" s="55" t="s">
        <v>24</v>
      </c>
      <c r="C6" s="56">
        <f>SUM(C7:C9)</f>
        <v>44980500</v>
      </c>
      <c r="D6" s="27">
        <f>SUM(D7:D9)</f>
        <v>15960396.56</v>
      </c>
      <c r="E6" s="85">
        <f t="shared" si="0"/>
        <v>0.3548292384477718</v>
      </c>
    </row>
    <row r="7" spans="1:5" ht="12.75">
      <c r="A7" s="18"/>
      <c r="B7" s="16" t="s">
        <v>132</v>
      </c>
      <c r="C7" s="57">
        <v>41000000</v>
      </c>
      <c r="D7" s="12">
        <v>12118173.63</v>
      </c>
      <c r="E7" s="85">
        <f t="shared" si="0"/>
        <v>0.2955652104878049</v>
      </c>
    </row>
    <row r="8" spans="1:5" ht="19.5" customHeight="1">
      <c r="A8" s="18"/>
      <c r="B8" s="16" t="s">
        <v>133</v>
      </c>
      <c r="C8" s="57">
        <v>3500000</v>
      </c>
      <c r="D8" s="12">
        <v>3596452.76</v>
      </c>
      <c r="E8" s="85">
        <f t="shared" si="0"/>
        <v>1.0275579314285714</v>
      </c>
    </row>
    <row r="9" spans="1:5" ht="12.75">
      <c r="A9" s="18"/>
      <c r="B9" s="16" t="s">
        <v>134</v>
      </c>
      <c r="C9" s="57">
        <f>475000+5500</f>
        <v>480500</v>
      </c>
      <c r="D9" s="12">
        <f>6230+300+238666.55+573.62</f>
        <v>245770.16999999998</v>
      </c>
      <c r="E9" s="85">
        <f t="shared" si="0"/>
        <v>0.5114883870967741</v>
      </c>
    </row>
    <row r="10" spans="1:5" ht="15" customHeight="1">
      <c r="A10" s="54">
        <v>2</v>
      </c>
      <c r="B10" s="55" t="s">
        <v>50</v>
      </c>
      <c r="C10" s="58">
        <f>SUM(C11:C12)</f>
        <v>0</v>
      </c>
      <c r="D10" s="13">
        <f>SUM(D11:D12)</f>
        <v>843872</v>
      </c>
      <c r="E10" s="85"/>
    </row>
    <row r="11" spans="1:5" s="52" customFormat="1" ht="22.5">
      <c r="A11" s="19"/>
      <c r="B11" s="11" t="s">
        <v>135</v>
      </c>
      <c r="C11" s="57">
        <v>0</v>
      </c>
      <c r="D11" s="12">
        <v>493927</v>
      </c>
      <c r="E11" s="85"/>
    </row>
    <row r="12" spans="1:5" ht="33.75">
      <c r="A12" s="19"/>
      <c r="B12" s="11" t="s">
        <v>136</v>
      </c>
      <c r="C12" s="57">
        <v>0</v>
      </c>
      <c r="D12" s="12">
        <f>102154+82576+165215</f>
        <v>349945</v>
      </c>
      <c r="E12" s="85"/>
    </row>
    <row r="13" spans="1:5" ht="24">
      <c r="A13" s="54">
        <v>3</v>
      </c>
      <c r="B13" s="55" t="s">
        <v>59</v>
      </c>
      <c r="C13" s="56">
        <f>SUM(C14:C15)</f>
        <v>3221077</v>
      </c>
      <c r="D13" s="27">
        <f>SUM(D14:D15)</f>
        <v>3198424.04</v>
      </c>
      <c r="E13" s="85">
        <f aca="true" t="shared" si="1" ref="E13:E29">D13/C13</f>
        <v>0.9929672715057728</v>
      </c>
    </row>
    <row r="14" spans="1:5" ht="22.5">
      <c r="A14" s="23"/>
      <c r="B14" s="11" t="s">
        <v>168</v>
      </c>
      <c r="C14" s="57">
        <f>4994829-1786712</f>
        <v>3208117</v>
      </c>
      <c r="D14" s="12">
        <v>3185464.04</v>
      </c>
      <c r="E14" s="85">
        <f t="shared" si="1"/>
        <v>0.9929388610203431</v>
      </c>
    </row>
    <row r="15" spans="1:5" ht="22.5">
      <c r="A15" s="23"/>
      <c r="B15" s="35" t="s">
        <v>193</v>
      </c>
      <c r="C15" s="57">
        <v>12960</v>
      </c>
      <c r="D15" s="12">
        <v>12960</v>
      </c>
      <c r="E15" s="85">
        <f t="shared" si="1"/>
        <v>1</v>
      </c>
    </row>
    <row r="16" spans="1:5" ht="29.25" customHeight="1">
      <c r="A16" s="100" t="s">
        <v>175</v>
      </c>
      <c r="B16" s="100"/>
      <c r="C16" s="56">
        <f>SUM(C17:C23)</f>
        <v>53945727</v>
      </c>
      <c r="D16" s="56">
        <f>SUM(D17:D23)</f>
        <v>39319821.81</v>
      </c>
      <c r="E16" s="85">
        <f t="shared" si="1"/>
        <v>0.7288774106242002</v>
      </c>
    </row>
    <row r="17" spans="1:5" ht="34.5" customHeight="1">
      <c r="A17" s="23"/>
      <c r="B17" s="24" t="s">
        <v>137</v>
      </c>
      <c r="C17" s="57">
        <f>3349451+23598+13780305</f>
        <v>17153354</v>
      </c>
      <c r="D17" s="12">
        <v>6976855.66</v>
      </c>
      <c r="E17" s="85">
        <f t="shared" si="1"/>
        <v>0.4067341967057871</v>
      </c>
    </row>
    <row r="18" spans="1:5" ht="22.5">
      <c r="A18" s="23"/>
      <c r="B18" s="24" t="s">
        <v>159</v>
      </c>
      <c r="C18" s="57">
        <v>1031900</v>
      </c>
      <c r="D18" s="12">
        <v>184806.13</v>
      </c>
      <c r="E18" s="85">
        <f t="shared" si="1"/>
        <v>0.17909306134315342</v>
      </c>
    </row>
    <row r="19" spans="1:5" ht="12.75">
      <c r="A19" s="23"/>
      <c r="B19" s="11" t="s">
        <v>76</v>
      </c>
      <c r="C19" s="57">
        <f>1176738+2039091</f>
        <v>3215829</v>
      </c>
      <c r="D19" s="12">
        <v>32750.83</v>
      </c>
      <c r="E19" s="85">
        <f t="shared" si="1"/>
        <v>0.01018425730970148</v>
      </c>
    </row>
    <row r="20" spans="1:5" s="52" customFormat="1" ht="12.75">
      <c r="A20" s="23"/>
      <c r="B20" s="11" t="s">
        <v>80</v>
      </c>
      <c r="C20" s="57">
        <v>63750</v>
      </c>
      <c r="D20" s="12"/>
      <c r="E20" s="85">
        <f t="shared" si="1"/>
        <v>0</v>
      </c>
    </row>
    <row r="21" spans="1:5" ht="22.5">
      <c r="A21" s="23"/>
      <c r="B21" s="24" t="s">
        <v>138</v>
      </c>
      <c r="C21" s="57">
        <f>49372512-24039213</f>
        <v>25333299</v>
      </c>
      <c r="D21" s="12">
        <v>24767623.57</v>
      </c>
      <c r="E21" s="85">
        <f t="shared" si="1"/>
        <v>0.9776706764484168</v>
      </c>
    </row>
    <row r="22" spans="1:5" ht="22.5">
      <c r="A22" s="23"/>
      <c r="B22" s="14" t="s">
        <v>158</v>
      </c>
      <c r="C22" s="57">
        <v>1767929</v>
      </c>
      <c r="D22" s="12">
        <v>1765511.52</v>
      </c>
      <c r="E22" s="85">
        <f t="shared" si="1"/>
        <v>0.9986325921459516</v>
      </c>
    </row>
    <row r="23" spans="1:5" ht="33.75">
      <c r="A23" s="23"/>
      <c r="B23" s="20" t="s">
        <v>202</v>
      </c>
      <c r="C23" s="57">
        <f>3859300+1520366</f>
        <v>5379666</v>
      </c>
      <c r="D23" s="12">
        <v>5592274.1</v>
      </c>
      <c r="E23" s="85">
        <f t="shared" si="1"/>
        <v>1.039520687715557</v>
      </c>
    </row>
    <row r="24" spans="1:5" ht="17.25" customHeight="1">
      <c r="A24" s="114" t="s">
        <v>96</v>
      </c>
      <c r="B24" s="115"/>
      <c r="C24" s="60">
        <f>SUM(C25,C28)</f>
        <v>714497</v>
      </c>
      <c r="D24" s="88">
        <f>SUM(D25,D28)</f>
        <v>706004</v>
      </c>
      <c r="E24" s="85">
        <f t="shared" si="1"/>
        <v>0.9881133160811032</v>
      </c>
    </row>
    <row r="25" spans="1:5" ht="15">
      <c r="A25" s="61"/>
      <c r="B25" s="62" t="s">
        <v>97</v>
      </c>
      <c r="C25" s="58">
        <f>SUM(C26:C27)</f>
        <v>502536</v>
      </c>
      <c r="D25" s="13">
        <f>SUM(D26:D27)</f>
        <v>502535</v>
      </c>
      <c r="E25" s="85">
        <f t="shared" si="1"/>
        <v>0.9999980100928093</v>
      </c>
    </row>
    <row r="26" spans="1:5" ht="15" hidden="1">
      <c r="A26" s="61"/>
      <c r="B26" s="11" t="s">
        <v>100</v>
      </c>
      <c r="C26" s="59">
        <v>0</v>
      </c>
      <c r="D26" s="37"/>
      <c r="E26" s="85" t="e">
        <f t="shared" si="1"/>
        <v>#DIV/0!</v>
      </c>
    </row>
    <row r="27" spans="1:5" ht="22.5">
      <c r="A27" s="61"/>
      <c r="B27" s="24" t="s">
        <v>139</v>
      </c>
      <c r="C27" s="37">
        <f>500000+25348-134238+111426</f>
        <v>502536</v>
      </c>
      <c r="D27" s="37">
        <f>136773+365762</f>
        <v>502535</v>
      </c>
      <c r="E27" s="85">
        <f t="shared" si="1"/>
        <v>0.9999980100928093</v>
      </c>
    </row>
    <row r="28" spans="1:5" ht="24" customHeight="1">
      <c r="A28" s="63"/>
      <c r="B28" s="55" t="s">
        <v>120</v>
      </c>
      <c r="C28" s="58">
        <f>SUM(C29)</f>
        <v>211961</v>
      </c>
      <c r="D28" s="13">
        <f>SUM(D29)</f>
        <v>203469</v>
      </c>
      <c r="E28" s="85">
        <f t="shared" si="1"/>
        <v>0.9599360259670411</v>
      </c>
    </row>
    <row r="29" spans="1:5" ht="12.75">
      <c r="A29" s="23"/>
      <c r="B29" s="46" t="s">
        <v>121</v>
      </c>
      <c r="C29" s="57">
        <v>211961</v>
      </c>
      <c r="D29" s="12">
        <v>203469</v>
      </c>
      <c r="E29" s="85">
        <f t="shared" si="1"/>
        <v>0.9599360259670411</v>
      </c>
    </row>
    <row r="30" spans="1:5" ht="10.5" customHeight="1">
      <c r="A30" s="38"/>
      <c r="B30" s="64"/>
      <c r="C30" s="38"/>
      <c r="D30" s="51"/>
      <c r="E30" s="38"/>
    </row>
    <row r="31" spans="1:5" ht="23.25" customHeight="1">
      <c r="A31" s="110" t="s">
        <v>2</v>
      </c>
      <c r="B31" s="111" t="s">
        <v>3</v>
      </c>
      <c r="C31" s="107" t="s">
        <v>196</v>
      </c>
      <c r="D31" s="108"/>
      <c r="E31" s="109"/>
    </row>
    <row r="32" spans="1:5" ht="18.75" customHeight="1">
      <c r="A32" s="110"/>
      <c r="B32" s="111"/>
      <c r="C32" s="1" t="s">
        <v>146</v>
      </c>
      <c r="D32" s="79" t="s">
        <v>147</v>
      </c>
      <c r="E32" s="84" t="s">
        <v>170</v>
      </c>
    </row>
    <row r="33" spans="1:5" ht="32.25" customHeight="1">
      <c r="A33" s="74" t="s">
        <v>140</v>
      </c>
      <c r="B33" s="69" t="s">
        <v>141</v>
      </c>
      <c r="C33" s="77">
        <f>'doch bieżące grudz2011'!C4+'doch majątk. grudz2011'!C4</f>
        <v>1057103910</v>
      </c>
      <c r="D33" s="78">
        <f>'doch bieżące grudz2011'!D4+'doch majątk. grudz2011'!D4</f>
        <v>1027957430.1800001</v>
      </c>
      <c r="E33" s="85">
        <f>D33/C33</f>
        <v>0.9724279897706556</v>
      </c>
    </row>
    <row r="34" ht="9" customHeight="1">
      <c r="C34" s="67"/>
    </row>
    <row r="35" spans="2:4" ht="12.75" hidden="1">
      <c r="B35" t="s">
        <v>149</v>
      </c>
      <c r="C35" s="70">
        <v>1057103910</v>
      </c>
      <c r="D35" s="70">
        <v>1027957430.39</v>
      </c>
    </row>
    <row r="36" spans="2:5" ht="12.75" hidden="1">
      <c r="B36" s="73" t="s">
        <v>148</v>
      </c>
      <c r="C36" s="71">
        <f>C33-C35</f>
        <v>0</v>
      </c>
      <c r="D36" s="98">
        <f>D33-D35</f>
        <v>-0.2099999189376831</v>
      </c>
      <c r="E36" s="99" t="s">
        <v>201</v>
      </c>
    </row>
    <row r="37" ht="13.5" customHeight="1" hidden="1"/>
    <row r="38" spans="3:4" ht="12.75" hidden="1">
      <c r="C38" s="72" t="s">
        <v>155</v>
      </c>
      <c r="D38" s="67" t="s">
        <v>173</v>
      </c>
    </row>
    <row r="39" spans="2:5" ht="12.75" hidden="1">
      <c r="B39" s="92" t="s">
        <v>171</v>
      </c>
      <c r="C39" s="93">
        <f>'doch bieżące grudz2011'!D4</f>
        <v>967928911.7700001</v>
      </c>
      <c r="D39" s="75">
        <f>C39/$D$33</f>
        <v>0.9416040814068646</v>
      </c>
      <c r="E39" s="95"/>
    </row>
    <row r="40" spans="2:4" ht="12.75" hidden="1">
      <c r="B40" s="92" t="s">
        <v>172</v>
      </c>
      <c r="C40" s="93">
        <f>D4</f>
        <v>60028518.410000004</v>
      </c>
      <c r="D40" s="75">
        <f>C40/$D$33</f>
        <v>0.05839591859313545</v>
      </c>
    </row>
    <row r="41" spans="2:4" ht="12.75" hidden="1">
      <c r="B41" s="89"/>
      <c r="C41" s="90">
        <f>SUM(C39:C40)</f>
        <v>1027957430.1800001</v>
      </c>
      <c r="D41" s="75">
        <f>C41/D35</f>
        <v>0.9999999997957114</v>
      </c>
    </row>
    <row r="42" ht="12.75" hidden="1"/>
    <row r="43" ht="12.75">
      <c r="C43" s="86"/>
    </row>
    <row r="44" ht="12.75">
      <c r="C44" s="86"/>
    </row>
    <row r="161" spans="3:4" ht="12.75">
      <c r="C161">
        <f>SUM(C162:C167)</f>
        <v>0</v>
      </c>
      <c r="D161">
        <f>SUM(D162:D167)</f>
        <v>0</v>
      </c>
    </row>
    <row r="162" s="68" customFormat="1" ht="12.75"/>
  </sheetData>
  <mergeCells count="8">
    <mergeCell ref="A1:E1"/>
    <mergeCell ref="C31:E31"/>
    <mergeCell ref="A31:A32"/>
    <mergeCell ref="B31:B32"/>
    <mergeCell ref="A4:B4"/>
    <mergeCell ref="A5:B5"/>
    <mergeCell ref="A16:B16"/>
    <mergeCell ref="A24:B24"/>
  </mergeCells>
  <printOptions/>
  <pageMargins left="0.86" right="0.17" top="0.41" bottom="0.31" header="0.3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kbwga</cp:lastModifiedBy>
  <cp:lastPrinted>2012-03-23T09:09:20Z</cp:lastPrinted>
  <dcterms:created xsi:type="dcterms:W3CDTF">1997-02-26T13:46:56Z</dcterms:created>
  <dcterms:modified xsi:type="dcterms:W3CDTF">2012-03-28T09:05:56Z</dcterms:modified>
  <cp:category/>
  <cp:version/>
  <cp:contentType/>
  <cp:contentStatus/>
</cp:coreProperties>
</file>