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8150" windowHeight="12015" activeTab="2"/>
  </bookViews>
  <sheets>
    <sheet name="WPF ciągłe zał nr 1" sheetId="1" r:id="rId1"/>
    <sheet name="WPF Unia zał nr 2" sheetId="2" r:id="rId2"/>
    <sheet name="WPF inwest pozost zał nr3" sheetId="3" r:id="rId3"/>
  </sheets>
  <definedNames>
    <definedName name="_xlnm.Print_Area" localSheetId="2">'WPF inwest pozost zał nr3'!$A$1:$L$382</definedName>
    <definedName name="_xlnm.Print_Area" localSheetId="1">'WPF Unia zał nr 2'!$A$1:$M$471</definedName>
    <definedName name="_xlnm.Print_Titles" localSheetId="0">'WPF ciągłe zał nr 1'!$A:$B,'WPF ciągłe zał nr 1'!$5:$6</definedName>
    <definedName name="_xlnm.Print_Titles" localSheetId="2">'WPF inwest pozost zał nr3'!$3:$4</definedName>
    <definedName name="_xlnm.Print_Titles" localSheetId="1">'WPF Unia zał nr 2'!$3:$4</definedName>
  </definedNames>
  <calcPr fullCalcOnLoad="1"/>
</workbook>
</file>

<file path=xl/comments2.xml><?xml version="1.0" encoding="utf-8"?>
<comments xmlns="http://schemas.openxmlformats.org/spreadsheetml/2006/main">
  <authors>
    <author>kbmgr</author>
  </authors>
  <commentList>
    <comment ref="K390" authorId="0">
      <text>
        <r>
          <rPr>
            <b/>
            <sz val="8"/>
            <rFont val="Tahoma"/>
            <family val="0"/>
          </rPr>
          <t>kbmgr:</t>
        </r>
        <r>
          <rPr>
            <sz val="8"/>
            <rFont val="Tahoma"/>
            <family val="0"/>
          </rPr>
          <t xml:space="preserve">
Jest 2 926 538,08</t>
        </r>
      </text>
    </comment>
    <comment ref="L230" authorId="0">
      <text>
        <r>
          <rPr>
            <b/>
            <sz val="8"/>
            <rFont val="Tahoma"/>
            <family val="0"/>
          </rPr>
          <t>kbmgr:</t>
        </r>
        <r>
          <rPr>
            <sz val="8"/>
            <rFont val="Tahoma"/>
            <family val="0"/>
          </rPr>
          <t xml:space="preserve">
Będzie poprawione</t>
        </r>
      </text>
    </comment>
    <comment ref="I270" authorId="0">
      <text>
        <r>
          <rPr>
            <b/>
            <sz val="8"/>
            <rFont val="Tahoma"/>
            <family val="0"/>
          </rPr>
          <t>kbmgr:</t>
        </r>
        <r>
          <rPr>
            <sz val="8"/>
            <rFont val="Tahoma"/>
            <family val="0"/>
          </rPr>
          <t xml:space="preserve">
Będzie poprawione</t>
        </r>
      </text>
    </comment>
  </commentList>
</comments>
</file>

<file path=xl/sharedStrings.xml><?xml version="1.0" encoding="utf-8"?>
<sst xmlns="http://schemas.openxmlformats.org/spreadsheetml/2006/main" count="1831" uniqueCount="203">
  <si>
    <t>Informacja o wykonaniu umów, których realizacja w roku budżetowym i w latach następnych jest niezbędna dla zapewnienia ciągłości działania jednostki i których płatności przypadają w okresie dłuższym niż rok</t>
  </si>
  <si>
    <t>LP.</t>
  </si>
  <si>
    <t>Nazwa przedsięwzięcia i cel</t>
  </si>
  <si>
    <t>Rozdział klasyfikacji wydatków</t>
  </si>
  <si>
    <t>Jednostka odpowiedzialna lub koordynująca</t>
  </si>
  <si>
    <t>Okres realizacji</t>
  </si>
  <si>
    <t>Łączne nakłady finansowe</t>
  </si>
  <si>
    <t>Źródła finansowania</t>
  </si>
  <si>
    <t>Nakłady poniesione do 31.12.2010</t>
  </si>
  <si>
    <t>Plan 2011</t>
  </si>
  <si>
    <t>Wykonanie w 2011r.</t>
  </si>
  <si>
    <t>Łączne nakłady do 31.12.2011 (kol. 8+10)</t>
  </si>
  <si>
    <t>stopień realizacji planu w % (kol. 11/6)</t>
  </si>
  <si>
    <t>Usługi przewozowe komunikacji miejskiej</t>
  </si>
  <si>
    <t>Zarząd Komunikacji Miejskiej</t>
  </si>
  <si>
    <t>bieżące</t>
  </si>
  <si>
    <t>środ. włas. bież.</t>
  </si>
  <si>
    <t>środ. włas. maj.</t>
  </si>
  <si>
    <t>majątkowe</t>
  </si>
  <si>
    <t>środ. inne bież.</t>
  </si>
  <si>
    <t>do 2018</t>
  </si>
  <si>
    <t>środ. inne maj.</t>
  </si>
  <si>
    <t>Ogółem</t>
  </si>
  <si>
    <t>łącznie bieżące</t>
  </si>
  <si>
    <t>łącznie majątkowe</t>
  </si>
  <si>
    <t>Przystanki komunikacji miejskiej</t>
  </si>
  <si>
    <t>do 2013</t>
  </si>
  <si>
    <t>Dzierżawy</t>
  </si>
  <si>
    <t>Sprzedaż biletów</t>
  </si>
  <si>
    <t>Tramwaj wodny</t>
  </si>
  <si>
    <t>do 2012</t>
  </si>
  <si>
    <t>Nadzór powykonawczy remontów dróg i obiektów inżynierskich</t>
  </si>
  <si>
    <t>Zarząd Dróg i Zieleni</t>
  </si>
  <si>
    <t>ogółem</t>
  </si>
  <si>
    <t>Oznakowanie pionowe i poziome ulic</t>
  </si>
  <si>
    <t>Sygnalizacja świetlna - remonty</t>
  </si>
  <si>
    <t>Sygnalizacja świetlna - utrzymanie</t>
  </si>
  <si>
    <t>Remonty dróg - utrzymanie</t>
  </si>
  <si>
    <t>Utrzymanie dróg</t>
  </si>
  <si>
    <t>Utrzymanie strefy płatnego parkowania</t>
  </si>
  <si>
    <t>Wykonanie progów zwalniających i innych środków uspokojenia ruchu</t>
  </si>
  <si>
    <t>Utrzymanie rzek i potoków</t>
  </si>
  <si>
    <t>Utrzymanie kanalizacji deszczowej</t>
  </si>
  <si>
    <t>Oczyszczanie miasta zimowe</t>
  </si>
  <si>
    <t>Oczyszczanie miasta letnie</t>
  </si>
  <si>
    <t>Oczyszczanie miasta ręczne</t>
  </si>
  <si>
    <t>Eksploatacja koszy ulicznych</t>
  </si>
  <si>
    <t>Konserwacja bieżąca zieleni miejskiej</t>
  </si>
  <si>
    <t>Utrzymanie placów zabaw</t>
  </si>
  <si>
    <t>Utrzymanie drzewostanu</t>
  </si>
  <si>
    <t>Utrzymanie lasów komunalnych</t>
  </si>
  <si>
    <t>02001</t>
  </si>
  <si>
    <t>Utrzymanie i bieżąca konserwacja oświetlenia ulic</t>
  </si>
  <si>
    <t>Utrzymanie fontanny i poidełek</t>
  </si>
  <si>
    <t>Estetyzacja miasta</t>
  </si>
  <si>
    <t>Flagowanie miasta</t>
  </si>
  <si>
    <t>Utrzymanie tablic wjazdowych</t>
  </si>
  <si>
    <t>Opłaty czynszowe za lokale rad dzielnic</t>
  </si>
  <si>
    <t>Urząd Miasta</t>
  </si>
  <si>
    <t>Przygotowanie nieruchomości do zbycia</t>
  </si>
  <si>
    <t>Programy polityki zdrowotnej</t>
  </si>
  <si>
    <t>System monitorowania miasta</t>
  </si>
  <si>
    <t>Utrzymanie sprzętu i sieci informatycznej</t>
  </si>
  <si>
    <t xml:space="preserve">Obsługa inwestorska nadzoru gwarancyjnego </t>
  </si>
  <si>
    <t>Wydział Inwestycji, Wydział Budynków</t>
  </si>
  <si>
    <t>Biuro Ogrodnika Miasta,                             Wydział Inwestycji</t>
  </si>
  <si>
    <t xml:space="preserve">Granty przekazywane Stowarzyszeniom,                      Realizacja Gminnego Programu Profilaktyki i Rozwiazywania Problemów Alkoholowych </t>
  </si>
  <si>
    <t>Wydział Zdrowia</t>
  </si>
  <si>
    <t>Granty przkazywane Stowarzyszeniom</t>
  </si>
  <si>
    <t>Biuro Prezydenta</t>
  </si>
  <si>
    <t>OGÓŁEM</t>
  </si>
  <si>
    <t xml:space="preserve">Konserwacja bieżąca zieleni miejskiej,          Wykonawstwo terenów zielonych i inwentaryzacja zieleni miejskiej,                                                                    Pielęgnacja zieleni </t>
  </si>
  <si>
    <t>Załącznik nr 1</t>
  </si>
  <si>
    <t>III. STOPIEŃ ZAAWANSOWANIA REALIZACJI PROGRAMÓW WIELOLETNICH</t>
  </si>
  <si>
    <t>Załącznik nr 2</t>
  </si>
  <si>
    <t>Informacja o realizacji przedsięwzięć (zadań) z udziałem środków UE</t>
  </si>
  <si>
    <t>LP</t>
  </si>
  <si>
    <t xml:space="preserve">Dział </t>
  </si>
  <si>
    <t>Rozdział</t>
  </si>
  <si>
    <t>Nakłady poniesione do 31.12.2010r.</t>
  </si>
  <si>
    <t>Wykonanie           w 2011</t>
  </si>
  <si>
    <t>Łączne nakłady do 31.12.2011r.                 (kol. 9+11)</t>
  </si>
  <si>
    <t>Stopień realizacji planu w % (kol. 11/10)</t>
  </si>
  <si>
    <t>Mój biznes -  Kapitał Ludzki 2007-20013</t>
  </si>
  <si>
    <t>POWIATOWY URZĄD PRACY</t>
  </si>
  <si>
    <t>bud. państ. bież.</t>
  </si>
  <si>
    <t>bud. państ. maj.</t>
  </si>
  <si>
    <t>środ. UE bież.</t>
  </si>
  <si>
    <t>środ. UE maj.</t>
  </si>
  <si>
    <t>Mój biznes II -  Kapitał Ludzki 2007-20013</t>
  </si>
  <si>
    <t>Rozwój proekologicznego transportu publicznego na obszarze metropolitalnym Trójmiasta   - Regionalny Program Operacyjny dla Woj.Pomorskiego         Rozwój i integracja systemów transportu zbiorowego</t>
  </si>
  <si>
    <t>ZARZĄD KOMUNIKACJI MIEJSKIEJ</t>
  </si>
  <si>
    <t>TROLLEY - Promoting Electric Public Transport     Cel: promowanie elektrycznego transportu publicznego</t>
  </si>
  <si>
    <t>URZĄD MIASTA GDYNI - WYDZIAŁ INWESTYCJI</t>
  </si>
  <si>
    <t>Przebudowa układu drogowego węzła Św. Maksymiliana wraz z budową tunelu drogowego pod Drogą Gdyńską, torami SKM i PKP w Gdyni -                      Regionalny Program Operacyjny dla Województwa Pomorskiego na lata 2007-2013</t>
  </si>
  <si>
    <t>Rozwój komunikacji rowerowej aglomeracji trójmiejskiej w latach 2007-2013  - Regionalny Program Województwa Pomorskiego na lata 2007-2013</t>
  </si>
  <si>
    <t>Wdrożenie zintegrowanego systemu zarządzania ruchem TRISTAR w Gdańsku, Gdyni i Sopocie - brak umowy</t>
  </si>
  <si>
    <t xml:space="preserve">INTERFACE -                     Europejski Fundusz Rozwoju Regionalnego </t>
  </si>
  <si>
    <t>URZĄD MIASTA GDYNI - BIURO ROZWOJU MIASTA</t>
  </si>
  <si>
    <t>SouthNorth Axis "SoNorA" -     Europejski Fundusz Rozwoju Regionalnego</t>
  </si>
  <si>
    <t>SEGMENT - Program Inteligentna Energia Europa</t>
  </si>
  <si>
    <t>URZĄD MIASTA GDYNI - BIURO INŻYNIERII TRANSPORTU</t>
  </si>
  <si>
    <t>Pomorski Park Naukowo-Technologiczny - rozbudowa etap 3  -  Regionalny Program Operacyjny dla Województwa Pomorskiego Innowacyjna Gospodarka</t>
  </si>
  <si>
    <t>GDYŃSKIE CENTRUM INNOWACJI</t>
  </si>
  <si>
    <t>Pomorski Park Naukowo-Technologiczny - rozbudowa etap 4  -  Regionalny Program Operacyjny dla Województwa Pomorskiego Innowacyjna Gospodarka</t>
  </si>
  <si>
    <t>Wzmocnienie współpracy środowiska naukowego GUMED z podmiotami gospodarczymi o charakterze regionalnym i ponadregionalnym oraz rozwój przedsiębiorczości akademickiej GUMED-          Regionalny Program Operacyjny Dla Woj.Pomorskiego 2007-2013</t>
  </si>
  <si>
    <t>Baltic Active Education Network For Development Of People-To-People Initiatives - Edupeople                            Program  Współpracy Transgranicznej Południowy Bałtyk 2007-2013</t>
  </si>
  <si>
    <t>Wspieranie międzynarodowej aktywności innowacyjnej przedsiębiorców z Pomorza poprzez udział w targach - Let's expo                                            Regionalny Program Operacyjny dla Woj.Pomorskiego                             2007-2013</t>
  </si>
  <si>
    <t>Development of Innovative System Through Knowledge Exchange - DISKE                                                  Program Południowy Bałtyk 2007-2013</t>
  </si>
  <si>
    <t>Integracja oraz edukacja studentów, absolwentów i MSP (mikro, małych i srednich przedsiębiorstw) w zakresie zarządzania wzornnictwem przemysłowym DesignSHIP - Program Współpracy Transgranicznej Południowy Bałtyk</t>
  </si>
  <si>
    <t>Promocja innowacyjnego przemysłu modowego w obszarze Morza Błtyckiego - Baltic Fashion - Program Współpracy Transgranicznej Południowy Bałtyk</t>
  </si>
  <si>
    <t>Rozwój elektronicznych usług publicznych w Gdyni - Regionalny Program Operacyjny dla Województwa Pomorskiego na lata 2007-2013</t>
  </si>
  <si>
    <t>URZĄD MIASTA GDYNI - WYDZIAŁ INFORMATYKI</t>
  </si>
  <si>
    <t>COMENIUS - Program „Uczenie się przez całe życie"  Fundacja Rozwoju Systemu Edukacji</t>
  </si>
  <si>
    <t>SZKOŁA PODSTAWOWA NR 18</t>
  </si>
  <si>
    <t>COMENIUS - Program „Uczenie się przez całe życie"  wizyty przygotowawcze - Fundacja Rozwoju Systemu Edukacji</t>
  </si>
  <si>
    <t>SZKOŁA PODSTAWOWA NR 23</t>
  </si>
  <si>
    <t>GIMNAZJUM NR 1</t>
  </si>
  <si>
    <t>COMENIUS - Program „Uczenie się przez całe życie" - wizyty przygotowawcze 2011 -  Fundacja Rozwoju Systemu Edukacji</t>
  </si>
  <si>
    <t>COMENIUS - Program „Uczenie się przez całe życie"  wizyty przygotowacze - Fundacja Rozwoju Systemu Edukacji COMENIUSA</t>
  </si>
  <si>
    <t>GIMNAZJUM NR 2</t>
  </si>
  <si>
    <t>GIMNAZJUM NR 4</t>
  </si>
  <si>
    <t>ZESPÓŁ SZKÓŁ OGÓLNOKSZTAŁCĄ-  CYCH NR 5</t>
  </si>
  <si>
    <t>Program "Młodzież w działaniu" Fundacja Rozwoju Systemu Edukacji</t>
  </si>
  <si>
    <t>Program "Młodzież w działaniu"  Fundacja Rozwoju Systemu Edukacji</t>
  </si>
  <si>
    <t>COMENIUS - Program „Uczenie się przez całe życie"  2011-2013 Fundacja Rozwoju Systemu Edukacji</t>
  </si>
  <si>
    <t>ZESPÓŁ SZKÓŁ NR 12</t>
  </si>
  <si>
    <t>COMENIUS - Program „Uczenie się przez całe życie"  Wizyty przygotowawcze - Fundacja Rozwoju Systemu Edukacji</t>
  </si>
  <si>
    <t>ZESPÓŁ SPORTOWYCH SZKÓŁ OGÓLNOKSZTAŁCĄCYCH</t>
  </si>
  <si>
    <t>ZESPÓŁ SZKÓL ADMINISTRACYJNO- EKONOMICZNYCH</t>
  </si>
  <si>
    <t>Leonardo da Vinci - Program "Uczenie się przez całe życie"</t>
  </si>
  <si>
    <t>ZESPÓŁ SZKÓŁ HOTELARSKO-GASTRONOMICZNYCH</t>
  </si>
  <si>
    <t>ZESPÓŁ SZKÓŁ ADMINISTRACYJNO-EKONOMICZNYCH</t>
  </si>
  <si>
    <t>ZESPÓŁ SZKÓŁ CHŁODNICZYCH I ELEKTRONICZNYCH</t>
  </si>
  <si>
    <t>Praktyka czyni mistrza - nowatorski program praktyk na studiach pedagogicznych PWSH - Program Operacyjny Kapitał Ludzki</t>
  </si>
  <si>
    <t>URZĄD MIASTA GDYNI - WYDZIAŁ EDUKACJI</t>
  </si>
  <si>
    <t>Urzędnik na plus II - Program Operacyjny Kapitał Ludzki</t>
  </si>
  <si>
    <t>"Rodzina bliżej siebie" Europejski Fundusz Społeczny - Program Operacyjny Kapitał Ludzki</t>
  </si>
  <si>
    <t>MIEJSKI OŚRODEK POMOCY SPOŁECZNEJ</t>
  </si>
  <si>
    <t>"Odkryj moje możliwości" - Wyrównywanie szans edukacyjnych uczniów z grup o utrudnionym dostepie do edukacji oraz zmniejszenie różnic w jakości usług edukacyjnych - Program Operacyjny kapitał Ludzki</t>
  </si>
  <si>
    <t>Młodzieżowy Dom Kultury</t>
  </si>
  <si>
    <t xml:space="preserve">Ochrona wód Zatoki Gdańskiej - budowa i modernizacja systemu odprowadzania wód opadowych w Gdyni Etap I </t>
  </si>
  <si>
    <t>URZĄD MIASTA GDYNI -WYDZIAŁ INWESTYCJI</t>
  </si>
  <si>
    <t>Budowa małej infrastruktury służącej ochronie przyrody na obszarze rezerwatu Kępa Redłowska w Gdyni - Program Operacyjny Infrastruktura i Środowisko</t>
  </si>
  <si>
    <t xml:space="preserve">Kompleksowa termomodernizacja dziewięciu budynków placówek oświatowych na terenie Gdyni </t>
  </si>
  <si>
    <t>URZĄD MIASTA GDYNI - WYDZIAŁ BUDYNKÓW</t>
  </si>
  <si>
    <t>Rozbudowa przystani rybackiej w Gdyni - Oksywie - etap II - poprawa warunków bezpieczeństwa i higieny pracy przy wodowaniu i wyciąganiu na brzeg łodzi rybackich</t>
  </si>
  <si>
    <t>środki własne bieżące</t>
  </si>
  <si>
    <t>środki własne majątkowe</t>
  </si>
  <si>
    <t>SUMA ŚRODKI WŁASNE</t>
  </si>
  <si>
    <t>środki UE bieżace</t>
  </si>
  <si>
    <t>środki UE majątkowe</t>
  </si>
  <si>
    <t>SUMA ŚRODKI UE</t>
  </si>
  <si>
    <t>środki budżetu państwa majątkowe</t>
  </si>
  <si>
    <t>środki budżetu państwa bieżące</t>
  </si>
  <si>
    <t>SUMA ŚR. BUD. PAŃSTWA</t>
  </si>
  <si>
    <t>Razem bieżące</t>
  </si>
  <si>
    <t>Razem majątkowe</t>
  </si>
  <si>
    <t>RAZEM</t>
  </si>
  <si>
    <t>Załącznik nr 3</t>
  </si>
  <si>
    <t>Informacja o realizacji zadań inwestycyjnych bez udziału środków UE</t>
  </si>
  <si>
    <t>Rozbudowa systemów kanalizacji sanitarnej i zaopatrzenia w wodę na obszarze Gdyni - uzbrojenie terenów pod budownictwo</t>
  </si>
  <si>
    <t xml:space="preserve">Urząd Miasta </t>
  </si>
  <si>
    <t>środa. was. bież.</t>
  </si>
  <si>
    <t>środa. włas. maj.</t>
  </si>
  <si>
    <t xml:space="preserve">Dokumentacja przyszłościowa - rozwój proekologicznego transportu publicznego na obszarze metropolitalnym Trójmiasta -                      przygotowanie zadań do realizacji </t>
  </si>
  <si>
    <t>Kolej Metropolitalna (udział w projekcie regionalnym) - przygotowanie zadań do realizacji oraz udział w realizacji projektu regionalnego</t>
  </si>
  <si>
    <t>Przebudowa skrzyżowania ul. Chylońskiej i Północnej - poprawa systemu drogowego i układu komunikacji miejskiej</t>
  </si>
  <si>
    <t>Rozwój Komunikacji Rowerowej w aglomeracji Trójmiejskiej oraz budowa ścieżek rowerowych - dokumentacja projektowa, przygotowanie do realizacji - rozbudowa sieci nowoczesnych dróg rowerowych i ograniczenie emisji spalin</t>
  </si>
  <si>
    <t>Przbudowa ulicy Chwarznieńskiej oraz Przebudowa dróg powiatowych  - przebudowa oraz poprawa systemu drogowego i układu komunikacji miejskiej</t>
  </si>
  <si>
    <t>Przebudowa skrzyżowań</t>
  </si>
  <si>
    <t xml:space="preserve">Dokumentacja przyszłościowa (w tym budowa Obwodowej Północnej Aglomeracji Trójmiejskiej) - przygotowanie zadań do realizacji </t>
  </si>
  <si>
    <t>Wykupy gruntów - przygotowanie zadań do realizacji</t>
  </si>
  <si>
    <t>Modernizacja ulic gminnych, przebudowa odcinka ul. Bp.Dominika (dojazd do Szkoły Muzycznej) oraz ul. Przebendowskich - poprawa lokalnego systemu drogowego</t>
  </si>
  <si>
    <t>Budowa ścieżek rowerowych - rozbudowa sieci nowoczesnych dróg rowerowych i ograniczenie emisji spalin</t>
  </si>
  <si>
    <t>Lokalne inicjatywy inwestycyjne - uzbrojenie terenów pod budownictwo mieszkaniowe</t>
  </si>
  <si>
    <t>Dokumentacja przyszłościowa - przygotowanie zadań do realizacji</t>
  </si>
  <si>
    <t>Wykup gruntów - przygotowanie zadań do realizacji</t>
  </si>
  <si>
    <t>Udziały Gminy w Porcie Lotniczym Gdańsk Sp. z o.o. - udział w realizacji projektu rozbudowy portu lotniczego</t>
  </si>
  <si>
    <t>Udziały Gminy w Porcie Lotniczym Gdynia-Kosakowo oraz w budowie drogi do Portu Lotniczego - udział w realizacji projektu</t>
  </si>
  <si>
    <t>Rozbudowa cmentarzy ZCK - poprawa stanu technicznego obiektów</t>
  </si>
  <si>
    <t>Monitoring wizyjny miasta - poprawa bezpieczeństwa</t>
  </si>
  <si>
    <t>Budowa oraz przebudowa szkół - rozbudowa infrastruktury oświatowej oraz poprawa stanu technicznego obiektów oświatowych</t>
  </si>
  <si>
    <t>Przebudowa szkół - poprawa stanu technicznego obiektów oświatowych</t>
  </si>
  <si>
    <t>Przebudowa i rozbudowa Szkoły Muzycznej I i II stopnia im. Z. Noskowskiego w Gdyni - poprawa warunków funkcjonowania i wzbogacenie oferty edukacyjnej i kulturalnej placówki</t>
  </si>
  <si>
    <t>Dofinansowanie rozbudowy części zabiegowej Gdyńskiego Centrum Onkologii przy Szpitalu Morskim im. PCK w Gdyni wraz z zakupem niezbędnego sprzętu i wyposażenia - poprawa dostepności i jakości leczenia chorób nowotworowych</t>
  </si>
  <si>
    <t>Adaptacja pomieszczeń na poradnie psychologiczno - pedagogiczne - poprawa stanu technicznego obiektów</t>
  </si>
  <si>
    <t>Regulacje cieków i kanalizacje burzowe, uzupełnianie kanalizacji sanitarnej i sieci wodociagowej, rozbudowa systemów kanalizacji sanitarnej i  zaopatrzenia w wodę na obszarze gdyni - eliminowanie zanieczyszczeń wprowadzanych do wód powierzchniowych</t>
  </si>
  <si>
    <t>Ochrona wód Zatoki Gdańskiej - przebudowa przepompowni ścieków przy Bulwarze Nadmorskim - eliminowanie zanieczyszczeń wprowadzanych do wód powierzchniowych</t>
  </si>
  <si>
    <t>Tereny zielone, budowa małej infastruktury służącej ochronie przyrody na obszarze rezerwatu Kępa Redłowska w Gdyni - rozwój terenów zielonych w mieście, zachowanie i prtzywrócenie właściwego stanu zbiorowisk roslinnych klifu i wysoczyzny morenowej oraz ce</t>
  </si>
  <si>
    <t>Oświetlenie ulic - poprawa bezpieczeństwa</t>
  </si>
  <si>
    <t>Lokalne Inicjatywy Inwestycyjne - uzbrojenie terenów pod budownictwo mieszkaniowe</t>
  </si>
  <si>
    <t>Zagospodarowanie fragmentu terenu przy ul. Orłowskiej w pobliżu mola</t>
  </si>
  <si>
    <t>Dokumentacja przyszłościowa (w tym rewitalizacja rejonu Opata Hackiego, Zamenhofa, Chylońskiej i  Komierowskiego)</t>
  </si>
  <si>
    <t>Modernizacja Teatru Muzycznego w Gdyni - wkład własny - rozbudowa infrastruktury kulturalnej</t>
  </si>
  <si>
    <t>Dokumentacja przyszłościowa - Forum Kultury</t>
  </si>
  <si>
    <t>Adaptacja pomieszczeń SP 43 na filię biblioteki - podniesienie atrakcyjności kulturalnej i turystycznej miasta</t>
  </si>
  <si>
    <t>Rozbudowa stadionu piłkarskiego przy ul. Olimpijskiej w Gdyni - rozbudowa infrastruktury sportowej</t>
  </si>
  <si>
    <t>Gdyński Ośrodek Sportu i Rekreacji</t>
  </si>
  <si>
    <t>Budowa kompleksu sportowego - stadion Oksywie - rozbudowa infrastruktury sportowej</t>
  </si>
  <si>
    <t>Budowa falochronu południowego w marinie - poprawa stanu technicznego obiektów</t>
  </si>
  <si>
    <t>Budowa placu zabaw przy ul. Złotej - I etap - rozbudowa infrastruktury sportowej</t>
  </si>
  <si>
    <t>SUMA</t>
  </si>
</sst>
</file>

<file path=xl/styles.xml><?xml version="1.0" encoding="utf-8"?>
<styleSheet xmlns="http://schemas.openxmlformats.org/spreadsheetml/2006/main">
  <numFmts count="6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#,##0.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0%"/>
    <numFmt numFmtId="181" formatCode="0.000000000"/>
    <numFmt numFmtId="182" formatCode="yy\-mm\-dd"/>
    <numFmt numFmtId="183" formatCode="dd\-mmm\-yy"/>
    <numFmt numFmtId="184" formatCode="dd\-mmm"/>
    <numFmt numFmtId="185" formatCode="mmm\-yy"/>
    <numFmt numFmtId="186" formatCode="yy\-mm\-dd\ hh:mm"/>
    <numFmt numFmtId="187" formatCode="#,##0.0000"/>
    <numFmt numFmtId="188" formatCode="#,##0.0\ _z_ł;[Red]\-#,##0.0\ _z_ł"/>
    <numFmt numFmtId="189" formatCode="#,##0.00000"/>
    <numFmt numFmtId="190" formatCode="#,##0.000"/>
    <numFmt numFmtId="191" formatCode="0.000"/>
    <numFmt numFmtId="192" formatCode="0.0000000"/>
    <numFmt numFmtId="193" formatCode="0.00000"/>
    <numFmt numFmtId="194" formatCode="0.0000"/>
    <numFmt numFmtId="195" formatCode="0.0000%"/>
    <numFmt numFmtId="196" formatCode="0.00000%"/>
    <numFmt numFmtId="197" formatCode="0.000000%"/>
    <numFmt numFmtId="198" formatCode="0.0000000%"/>
    <numFmt numFmtId="199" formatCode="d\-mmm\-yy"/>
    <numFmt numFmtId="200" formatCode="_-* #,##0.0\ _z_ł_-;\-* #,##0.0\ _z_ł_-;_-* &quot;-&quot;??\ _z_ł_-;_-@_-"/>
    <numFmt numFmtId="201" formatCode="_-* #,##0\ _z_ł_-;\-* #,##0\ _z_ł_-;_-* &quot;-&quot;??\ _z_ł_-;_-@_-"/>
    <numFmt numFmtId="202" formatCode="###,###.#"/>
    <numFmt numFmtId="203" formatCode="###,###.0"/>
    <numFmt numFmtId="204" formatCode="###,###.##"/>
    <numFmt numFmtId="205" formatCode="###,###"/>
    <numFmt numFmtId="206" formatCode="#,##0_ ;\-#,##0\ "/>
    <numFmt numFmtId="207" formatCode="d/mm"/>
    <numFmt numFmtId="208" formatCode="mmmm\ yy"/>
    <numFmt numFmtId="209" formatCode="d\ mmmm\ yyyy"/>
    <numFmt numFmtId="210" formatCode="mmm/yyyy"/>
    <numFmt numFmtId="211" formatCode="mmm\ yy"/>
    <numFmt numFmtId="212" formatCode="###,###.\O"/>
    <numFmt numFmtId="213" formatCode="###.0"/>
    <numFmt numFmtId="214" formatCode="###,###.00"/>
    <numFmt numFmtId="215" formatCode="[$-415]d\ mmmm\ yyyy"/>
    <numFmt numFmtId="216" formatCode="00\-000"/>
  </numFmts>
  <fonts count="3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26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03">
    <xf numFmtId="0" fontId="0" fillId="0" borderId="0" xfId="0" applyAlignment="1">
      <alignment/>
    </xf>
    <xf numFmtId="0" fontId="13" fillId="0" borderId="0" xfId="54" applyFill="1">
      <alignment/>
      <protection/>
    </xf>
    <xf numFmtId="0" fontId="21" fillId="0" borderId="0" xfId="54" applyFont="1" applyFill="1" applyAlignment="1">
      <alignment horizontal="center" wrapText="1"/>
      <protection/>
    </xf>
    <xf numFmtId="0" fontId="13" fillId="0" borderId="0" xfId="54" applyFill="1" applyAlignment="1">
      <alignment horizontal="center"/>
      <protection/>
    </xf>
    <xf numFmtId="0" fontId="13" fillId="0" borderId="0" xfId="53" applyFont="1" applyFill="1" applyAlignment="1">
      <alignment horizontal="right"/>
      <protection/>
    </xf>
    <xf numFmtId="0" fontId="21" fillId="0" borderId="10" xfId="54" applyFont="1" applyFill="1" applyBorder="1" applyAlignment="1">
      <alignment horizontal="center" vertical="center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0" xfId="54" applyFont="1" applyFill="1" applyAlignment="1">
      <alignment horizontal="center"/>
      <protection/>
    </xf>
    <xf numFmtId="3" fontId="21" fillId="0" borderId="11" xfId="54" applyNumberFormat="1" applyFont="1" applyFill="1" applyBorder="1" applyAlignment="1">
      <alignment vertical="center"/>
      <protection/>
    </xf>
    <xf numFmtId="0" fontId="21" fillId="0" borderId="12" xfId="54" applyFont="1" applyFill="1" applyBorder="1">
      <alignment/>
      <protection/>
    </xf>
    <xf numFmtId="3" fontId="21" fillId="0" borderId="13" xfId="54" applyNumberFormat="1" applyFont="1" applyFill="1" applyBorder="1" applyProtection="1">
      <alignment/>
      <protection locked="0"/>
    </xf>
    <xf numFmtId="3" fontId="21" fillId="0" borderId="14" xfId="54" applyNumberFormat="1" applyFont="1" applyFill="1" applyBorder="1" applyProtection="1">
      <alignment/>
      <protection locked="0"/>
    </xf>
    <xf numFmtId="3" fontId="21" fillId="0" borderId="11" xfId="54" applyNumberFormat="1" applyFont="1" applyFill="1" applyBorder="1" applyProtection="1">
      <alignment/>
      <protection locked="0"/>
    </xf>
    <xf numFmtId="0" fontId="13" fillId="0" borderId="0" xfId="54" applyFont="1" applyFill="1">
      <alignment/>
      <protection/>
    </xf>
    <xf numFmtId="3" fontId="21" fillId="0" borderId="15" xfId="54" applyNumberFormat="1" applyFont="1" applyFill="1" applyBorder="1" applyAlignment="1">
      <alignment vertical="center"/>
      <protection/>
    </xf>
    <xf numFmtId="0" fontId="21" fillId="0" borderId="16" xfId="54" applyFont="1" applyFill="1" applyBorder="1">
      <alignment/>
      <protection/>
    </xf>
    <xf numFmtId="3" fontId="21" fillId="0" borderId="17" xfId="54" applyNumberFormat="1" applyFont="1" applyFill="1" applyBorder="1" applyProtection="1">
      <alignment/>
      <protection locked="0"/>
    </xf>
    <xf numFmtId="3" fontId="21" fillId="0" borderId="18" xfId="54" applyNumberFormat="1" applyFont="1" applyFill="1" applyBorder="1" applyProtection="1">
      <alignment/>
      <protection locked="0"/>
    </xf>
    <xf numFmtId="3" fontId="21" fillId="0" borderId="15" xfId="54" applyNumberFormat="1" applyFont="1" applyFill="1" applyBorder="1" applyProtection="1">
      <alignment/>
      <protection locked="0"/>
    </xf>
    <xf numFmtId="3" fontId="21" fillId="0" borderId="19" xfId="54" applyNumberFormat="1" applyFont="1" applyFill="1" applyBorder="1" applyProtection="1">
      <alignment/>
      <protection locked="0"/>
    </xf>
    <xf numFmtId="3" fontId="21" fillId="0" borderId="17" xfId="54" applyNumberFormat="1" applyFont="1" applyFill="1" applyBorder="1">
      <alignment/>
      <protection/>
    </xf>
    <xf numFmtId="3" fontId="21" fillId="0" borderId="15" xfId="54" applyNumberFormat="1" applyFont="1" applyFill="1" applyBorder="1">
      <alignment/>
      <protection/>
    </xf>
    <xf numFmtId="3" fontId="21" fillId="0" borderId="20" xfId="54" applyNumberFormat="1" applyFont="1" applyFill="1" applyBorder="1" applyAlignment="1">
      <alignment vertical="center"/>
      <protection/>
    </xf>
    <xf numFmtId="0" fontId="21" fillId="0" borderId="21" xfId="54" applyFont="1" applyFill="1" applyBorder="1">
      <alignment/>
      <protection/>
    </xf>
    <xf numFmtId="3" fontId="21" fillId="0" borderId="22" xfId="54" applyNumberFormat="1" applyFont="1" applyFill="1" applyBorder="1">
      <alignment/>
      <protection/>
    </xf>
    <xf numFmtId="3" fontId="21" fillId="0" borderId="23" xfId="54" applyNumberFormat="1" applyFont="1" applyFill="1" applyBorder="1">
      <alignment/>
      <protection/>
    </xf>
    <xf numFmtId="3" fontId="21" fillId="0" borderId="18" xfId="54" applyNumberFormat="1" applyFont="1" applyFill="1" applyBorder="1">
      <alignment/>
      <protection/>
    </xf>
    <xf numFmtId="0" fontId="21" fillId="0" borderId="24" xfId="54" applyFont="1" applyFill="1" applyBorder="1">
      <alignment/>
      <protection/>
    </xf>
    <xf numFmtId="3" fontId="21" fillId="0" borderId="25" xfId="54" applyNumberFormat="1" applyFont="1" applyFill="1" applyBorder="1">
      <alignment/>
      <protection/>
    </xf>
    <xf numFmtId="3" fontId="21" fillId="0" borderId="20" xfId="54" applyNumberFormat="1" applyFont="1" applyFill="1" applyBorder="1">
      <alignment/>
      <protection/>
    </xf>
    <xf numFmtId="0" fontId="21" fillId="0" borderId="26" xfId="54" applyFont="1" applyFill="1" applyBorder="1">
      <alignment/>
      <protection/>
    </xf>
    <xf numFmtId="0" fontId="21" fillId="0" borderId="0" xfId="54" applyFont="1" applyFill="1">
      <alignment/>
      <protection/>
    </xf>
    <xf numFmtId="0" fontId="21" fillId="0" borderId="0" xfId="54" applyFont="1" applyFill="1" applyAlignment="1">
      <alignment horizontal="center" wrapText="1"/>
      <protection/>
    </xf>
    <xf numFmtId="0" fontId="13" fillId="0" borderId="0" xfId="54" applyFont="1" applyFill="1" applyAlignment="1">
      <alignment horizontal="center"/>
      <protection/>
    </xf>
    <xf numFmtId="3" fontId="13" fillId="0" borderId="0" xfId="54" applyNumberFormat="1" applyFont="1" applyFill="1">
      <alignment/>
      <protection/>
    </xf>
    <xf numFmtId="164" fontId="21" fillId="0" borderId="27" xfId="58" applyNumberFormat="1" applyFont="1" applyFill="1" applyBorder="1" applyAlignment="1" applyProtection="1">
      <alignment/>
      <protection locked="0"/>
    </xf>
    <xf numFmtId="164" fontId="21" fillId="0" borderId="19" xfId="58" applyNumberFormat="1" applyFont="1" applyFill="1" applyBorder="1" applyAlignment="1">
      <alignment/>
    </xf>
    <xf numFmtId="3" fontId="21" fillId="0" borderId="13" xfId="54" applyNumberFormat="1" applyFont="1" applyFill="1" applyBorder="1">
      <alignment/>
      <protection/>
    </xf>
    <xf numFmtId="3" fontId="21" fillId="0" borderId="28" xfId="54" applyNumberFormat="1" applyFont="1" applyFill="1" applyBorder="1">
      <alignment/>
      <protection/>
    </xf>
    <xf numFmtId="3" fontId="21" fillId="0" borderId="29" xfId="54" applyNumberFormat="1" applyFont="1" applyFill="1" applyBorder="1">
      <alignment/>
      <protection/>
    </xf>
    <xf numFmtId="3" fontId="21" fillId="0" borderId="30" xfId="54" applyNumberFormat="1" applyFont="1" applyFill="1" applyBorder="1">
      <alignment/>
      <protection/>
    </xf>
    <xf numFmtId="3" fontId="21" fillId="0" borderId="11" xfId="54" applyNumberFormat="1" applyFont="1" applyFill="1" applyBorder="1">
      <alignment/>
      <protection/>
    </xf>
    <xf numFmtId="3" fontId="21" fillId="0" borderId="31" xfId="54" applyNumberFormat="1" applyFont="1" applyFill="1" applyBorder="1">
      <alignment/>
      <protection/>
    </xf>
    <xf numFmtId="3" fontId="21" fillId="0" borderId="32" xfId="54" applyNumberFormat="1" applyFont="1" applyFill="1" applyBorder="1">
      <alignment/>
      <protection/>
    </xf>
    <xf numFmtId="3" fontId="21" fillId="0" borderId="33" xfId="54" applyNumberFormat="1" applyFont="1" applyFill="1" applyBorder="1" applyProtection="1">
      <alignment/>
      <protection locked="0"/>
    </xf>
    <xf numFmtId="0" fontId="24" fillId="0" borderId="34" xfId="54" applyFont="1" applyFill="1" applyBorder="1" applyAlignment="1">
      <alignment horizontal="center"/>
      <protection/>
    </xf>
    <xf numFmtId="0" fontId="24" fillId="0" borderId="35" xfId="54" applyFont="1" applyFill="1" applyBorder="1" applyAlignment="1">
      <alignment horizontal="center"/>
      <protection/>
    </xf>
    <xf numFmtId="3" fontId="21" fillId="0" borderId="36" xfId="54" applyNumberFormat="1" applyFont="1" applyFill="1" applyBorder="1" applyProtection="1">
      <alignment/>
      <protection locked="0"/>
    </xf>
    <xf numFmtId="3" fontId="21" fillId="0" borderId="37" xfId="54" applyNumberFormat="1" applyFont="1" applyFill="1" applyBorder="1">
      <alignment/>
      <protection/>
    </xf>
    <xf numFmtId="3" fontId="21" fillId="0" borderId="32" xfId="54" applyNumberFormat="1" applyFont="1" applyFill="1" applyBorder="1" applyAlignment="1">
      <alignment vertical="center"/>
      <protection/>
    </xf>
    <xf numFmtId="3" fontId="24" fillId="0" borderId="38" xfId="54" applyNumberFormat="1" applyFont="1" applyFill="1" applyBorder="1" applyAlignment="1">
      <alignment horizontal="center"/>
      <protection/>
    </xf>
    <xf numFmtId="3" fontId="23" fillId="0" borderId="39" xfId="54" applyNumberFormat="1" applyFont="1" applyFill="1" applyBorder="1" applyAlignment="1">
      <alignment/>
      <protection/>
    </xf>
    <xf numFmtId="164" fontId="23" fillId="0" borderId="39" xfId="58" applyNumberFormat="1" applyFont="1" applyFill="1" applyBorder="1" applyAlignment="1">
      <alignment/>
    </xf>
    <xf numFmtId="0" fontId="25" fillId="0" borderId="0" xfId="54" applyFont="1" applyFill="1">
      <alignment/>
      <protection/>
    </xf>
    <xf numFmtId="0" fontId="26" fillId="0" borderId="0" xfId="52" applyFont="1">
      <alignment/>
      <protection/>
    </xf>
    <xf numFmtId="0" fontId="13" fillId="0" borderId="0" xfId="52">
      <alignment/>
      <protection/>
    </xf>
    <xf numFmtId="0" fontId="13" fillId="0" borderId="0" xfId="52" applyAlignment="1">
      <alignment horizontal="center"/>
      <protection/>
    </xf>
    <xf numFmtId="0" fontId="13" fillId="0" borderId="0" xfId="52" applyFont="1" applyAlignment="1">
      <alignment horizontal="right"/>
      <protection/>
    </xf>
    <xf numFmtId="0" fontId="23" fillId="0" borderId="39" xfId="52" applyFont="1" applyBorder="1" applyAlignment="1">
      <alignment horizontal="center" vertical="center"/>
      <protection/>
    </xf>
    <xf numFmtId="0" fontId="23" fillId="0" borderId="39" xfId="52" applyFont="1" applyBorder="1" applyAlignment="1">
      <alignment horizontal="center" vertical="center" wrapText="1"/>
      <protection/>
    </xf>
    <xf numFmtId="0" fontId="23" fillId="0" borderId="39" xfId="52" applyFont="1" applyBorder="1" applyAlignment="1">
      <alignment horizontal="center"/>
      <protection/>
    </xf>
    <xf numFmtId="0" fontId="23" fillId="0" borderId="39" xfId="52" applyFont="1" applyBorder="1" applyAlignment="1">
      <alignment horizontal="center" wrapText="1"/>
      <protection/>
    </xf>
    <xf numFmtId="3" fontId="23" fillId="0" borderId="13" xfId="52" applyNumberFormat="1" applyFont="1" applyBorder="1" applyAlignment="1">
      <alignment vertical="center"/>
      <protection/>
    </xf>
    <xf numFmtId="0" fontId="23" fillId="0" borderId="13" xfId="52" applyFont="1" applyBorder="1">
      <alignment/>
      <protection/>
    </xf>
    <xf numFmtId="3" fontId="23" fillId="0" borderId="11" xfId="52" applyNumberFormat="1" applyFont="1" applyBorder="1" applyProtection="1">
      <alignment/>
      <protection locked="0"/>
    </xf>
    <xf numFmtId="9" fontId="23" fillId="0" borderId="11" xfId="52" applyNumberFormat="1" applyFont="1" applyBorder="1" applyProtection="1">
      <alignment/>
      <protection locked="0"/>
    </xf>
    <xf numFmtId="3" fontId="13" fillId="0" borderId="0" xfId="52" applyNumberFormat="1">
      <alignment/>
      <protection/>
    </xf>
    <xf numFmtId="0" fontId="23" fillId="0" borderId="17" xfId="52" applyFont="1" applyBorder="1">
      <alignment/>
      <protection/>
    </xf>
    <xf numFmtId="3" fontId="23" fillId="0" borderId="15" xfId="52" applyNumberFormat="1" applyFont="1" applyBorder="1" applyProtection="1">
      <alignment/>
      <protection locked="0"/>
    </xf>
    <xf numFmtId="9" fontId="23" fillId="0" borderId="15" xfId="52" applyNumberFormat="1" applyFont="1" applyBorder="1" applyProtection="1">
      <alignment/>
      <protection locked="0"/>
    </xf>
    <xf numFmtId="3" fontId="23" fillId="0" borderId="40" xfId="52" applyNumberFormat="1" applyFont="1" applyBorder="1" applyAlignment="1">
      <alignment vertical="center"/>
      <protection/>
    </xf>
    <xf numFmtId="3" fontId="23" fillId="0" borderId="17" xfId="52" applyNumberFormat="1" applyFont="1" applyBorder="1" applyAlignment="1">
      <alignment vertical="center"/>
      <protection/>
    </xf>
    <xf numFmtId="3" fontId="23" fillId="0" borderId="15" xfId="52" applyNumberFormat="1" applyFont="1" applyBorder="1">
      <alignment/>
      <protection/>
    </xf>
    <xf numFmtId="9" fontId="23" fillId="0" borderId="15" xfId="52" applyNumberFormat="1" applyFont="1" applyBorder="1">
      <alignment/>
      <protection/>
    </xf>
    <xf numFmtId="0" fontId="23" fillId="0" borderId="22" xfId="52" applyFont="1" applyBorder="1">
      <alignment/>
      <protection/>
    </xf>
    <xf numFmtId="3" fontId="23" fillId="0" borderId="20" xfId="52" applyNumberFormat="1" applyFont="1" applyBorder="1">
      <alignment/>
      <protection/>
    </xf>
    <xf numFmtId="9" fontId="23" fillId="0" borderId="20" xfId="52" applyNumberFormat="1" applyFont="1" applyBorder="1">
      <alignment/>
      <protection/>
    </xf>
    <xf numFmtId="0" fontId="23" fillId="0" borderId="40" xfId="52" applyFont="1" applyBorder="1">
      <alignment/>
      <protection/>
    </xf>
    <xf numFmtId="3" fontId="23" fillId="0" borderId="36" xfId="52" applyNumberFormat="1" applyFont="1" applyBorder="1" applyProtection="1">
      <alignment/>
      <protection locked="0"/>
    </xf>
    <xf numFmtId="9" fontId="23" fillId="0" borderId="36" xfId="52" applyNumberFormat="1" applyFont="1" applyBorder="1" applyProtection="1">
      <alignment/>
      <protection locked="0"/>
    </xf>
    <xf numFmtId="0" fontId="23" fillId="0" borderId="41" xfId="52" applyFont="1" applyBorder="1">
      <alignment/>
      <protection/>
    </xf>
    <xf numFmtId="9" fontId="23" fillId="0" borderId="32" xfId="52" applyNumberFormat="1" applyFont="1" applyBorder="1">
      <alignment/>
      <protection/>
    </xf>
    <xf numFmtId="3" fontId="23" fillId="0" borderId="36" xfId="55" applyNumberFormat="1" applyFont="1" applyFill="1" applyBorder="1" applyProtection="1">
      <alignment/>
      <protection locked="0"/>
    </xf>
    <xf numFmtId="3" fontId="23" fillId="0" borderId="36" xfId="55" applyNumberFormat="1" applyFont="1" applyBorder="1" applyProtection="1">
      <alignment/>
      <protection locked="0"/>
    </xf>
    <xf numFmtId="3" fontId="23" fillId="0" borderId="11" xfId="55" applyNumberFormat="1" applyFont="1" applyBorder="1" applyProtection="1">
      <alignment/>
      <protection locked="0"/>
    </xf>
    <xf numFmtId="9" fontId="23" fillId="0" borderId="11" xfId="55" applyNumberFormat="1" applyFont="1" applyBorder="1" applyProtection="1">
      <alignment/>
      <protection locked="0"/>
    </xf>
    <xf numFmtId="3" fontId="23" fillId="0" borderId="15" xfId="55" applyNumberFormat="1" applyFont="1" applyFill="1" applyBorder="1" applyProtection="1">
      <alignment/>
      <protection locked="0"/>
    </xf>
    <xf numFmtId="3" fontId="23" fillId="0" borderId="15" xfId="55" applyNumberFormat="1" applyFont="1" applyBorder="1" applyProtection="1">
      <alignment/>
      <protection locked="0"/>
    </xf>
    <xf numFmtId="9" fontId="23" fillId="0" borderId="15" xfId="55" applyNumberFormat="1" applyFont="1" applyBorder="1" applyProtection="1">
      <alignment/>
      <protection locked="0"/>
    </xf>
    <xf numFmtId="3" fontId="23" fillId="0" borderId="15" xfId="55" applyNumberFormat="1" applyFont="1" applyBorder="1">
      <alignment/>
      <protection/>
    </xf>
    <xf numFmtId="9" fontId="23" fillId="0" borderId="15" xfId="55" applyNumberFormat="1" applyFont="1" applyBorder="1">
      <alignment/>
      <protection/>
    </xf>
    <xf numFmtId="3" fontId="23" fillId="0" borderId="20" xfId="55" applyNumberFormat="1" applyFont="1" applyBorder="1">
      <alignment/>
      <protection/>
    </xf>
    <xf numFmtId="9" fontId="23" fillId="0" borderId="20" xfId="55" applyNumberFormat="1" applyFont="1" applyBorder="1">
      <alignment/>
      <protection/>
    </xf>
    <xf numFmtId="3" fontId="23" fillId="0" borderId="32" xfId="52" applyNumberFormat="1" applyFont="1" applyBorder="1">
      <alignment/>
      <protection/>
    </xf>
    <xf numFmtId="9" fontId="23" fillId="0" borderId="20" xfId="52" applyNumberFormat="1" applyFont="1" applyBorder="1" applyProtection="1">
      <alignment/>
      <protection locked="0"/>
    </xf>
    <xf numFmtId="3" fontId="23" fillId="0" borderId="12" xfId="52" applyNumberFormat="1" applyFont="1" applyBorder="1" applyAlignment="1">
      <alignment vertical="center"/>
      <protection/>
    </xf>
    <xf numFmtId="3" fontId="23" fillId="0" borderId="26" xfId="52" applyNumberFormat="1" applyFont="1" applyBorder="1" applyAlignment="1">
      <alignment vertical="center"/>
      <protection/>
    </xf>
    <xf numFmtId="3" fontId="23" fillId="0" borderId="16" xfId="52" applyNumberFormat="1" applyFont="1" applyBorder="1" applyAlignment="1">
      <alignment vertical="center"/>
      <protection/>
    </xf>
    <xf numFmtId="3" fontId="23" fillId="0" borderId="15" xfId="52" applyNumberFormat="1" applyFont="1" applyFill="1" applyBorder="1" applyProtection="1">
      <alignment/>
      <protection locked="0"/>
    </xf>
    <xf numFmtId="9" fontId="23" fillId="0" borderId="27" xfId="52" applyNumberFormat="1" applyFont="1" applyBorder="1" applyProtection="1">
      <alignment/>
      <protection locked="0"/>
    </xf>
    <xf numFmtId="9" fontId="23" fillId="0" borderId="19" xfId="52" applyNumberFormat="1" applyFont="1" applyBorder="1" applyProtection="1">
      <alignment/>
      <protection locked="0"/>
    </xf>
    <xf numFmtId="9" fontId="23" fillId="0" borderId="19" xfId="52" applyNumberFormat="1" applyFont="1" applyBorder="1">
      <alignment/>
      <protection/>
    </xf>
    <xf numFmtId="9" fontId="23" fillId="0" borderId="37" xfId="52" applyNumberFormat="1" applyFont="1" applyBorder="1">
      <alignment/>
      <protection/>
    </xf>
    <xf numFmtId="0" fontId="21" fillId="0" borderId="0" xfId="52" applyFont="1">
      <alignment/>
      <protection/>
    </xf>
    <xf numFmtId="3" fontId="23" fillId="0" borderId="13" xfId="55" applyNumberFormat="1" applyFont="1" applyBorder="1" applyAlignment="1">
      <alignment vertical="center"/>
      <protection/>
    </xf>
    <xf numFmtId="0" fontId="23" fillId="0" borderId="13" xfId="55" applyFont="1" applyBorder="1">
      <alignment/>
      <protection/>
    </xf>
    <xf numFmtId="0" fontId="23" fillId="0" borderId="17" xfId="55" applyFont="1" applyBorder="1">
      <alignment/>
      <protection/>
    </xf>
    <xf numFmtId="3" fontId="23" fillId="0" borderId="17" xfId="55" applyNumberFormat="1" applyFont="1" applyBorder="1" applyAlignment="1">
      <alignment vertical="center"/>
      <protection/>
    </xf>
    <xf numFmtId="0" fontId="23" fillId="0" borderId="22" xfId="55" applyFont="1" applyBorder="1">
      <alignment/>
      <protection/>
    </xf>
    <xf numFmtId="3" fontId="23" fillId="0" borderId="13" xfId="52" applyNumberFormat="1" applyFont="1" applyFill="1" applyBorder="1" applyAlignment="1">
      <alignment vertical="center"/>
      <protection/>
    </xf>
    <xf numFmtId="0" fontId="23" fillId="0" borderId="13" xfId="52" applyFont="1" applyFill="1" applyBorder="1">
      <alignment/>
      <protection/>
    </xf>
    <xf numFmtId="3" fontId="23" fillId="0" borderId="36" xfId="52" applyNumberFormat="1" applyFont="1" applyFill="1" applyBorder="1" applyProtection="1">
      <alignment/>
      <protection locked="0"/>
    </xf>
    <xf numFmtId="3" fontId="23" fillId="0" borderId="11" xfId="52" applyNumberFormat="1" applyFont="1" applyFill="1" applyBorder="1" applyProtection="1">
      <alignment/>
      <protection locked="0"/>
    </xf>
    <xf numFmtId="9" fontId="23" fillId="0" borderId="11" xfId="52" applyNumberFormat="1" applyFont="1" applyFill="1" applyBorder="1" applyProtection="1">
      <alignment/>
      <protection locked="0"/>
    </xf>
    <xf numFmtId="0" fontId="23" fillId="0" borderId="17" xfId="52" applyFont="1" applyFill="1" applyBorder="1">
      <alignment/>
      <protection/>
    </xf>
    <xf numFmtId="9" fontId="23" fillId="0" borderId="15" xfId="52" applyNumberFormat="1" applyFont="1" applyFill="1" applyBorder="1" applyProtection="1">
      <alignment/>
      <protection locked="0"/>
    </xf>
    <xf numFmtId="3" fontId="13" fillId="0" borderId="0" xfId="52" applyNumberFormat="1" applyFill="1">
      <alignment/>
      <protection/>
    </xf>
    <xf numFmtId="3" fontId="23" fillId="0" borderId="17" xfId="52" applyNumberFormat="1" applyFont="1" applyFill="1" applyBorder="1" applyAlignment="1">
      <alignment vertical="center"/>
      <protection/>
    </xf>
    <xf numFmtId="3" fontId="23" fillId="0" borderId="15" xfId="52" applyNumberFormat="1" applyFont="1" applyFill="1" applyBorder="1">
      <alignment/>
      <protection/>
    </xf>
    <xf numFmtId="9" fontId="23" fillId="0" borderId="15" xfId="52" applyNumberFormat="1" applyFont="1" applyFill="1" applyBorder="1">
      <alignment/>
      <protection/>
    </xf>
    <xf numFmtId="0" fontId="23" fillId="0" borderId="22" xfId="52" applyFont="1" applyFill="1" applyBorder="1">
      <alignment/>
      <protection/>
    </xf>
    <xf numFmtId="3" fontId="23" fillId="0" borderId="20" xfId="52" applyNumberFormat="1" applyFont="1" applyFill="1" applyBorder="1">
      <alignment/>
      <protection/>
    </xf>
    <xf numFmtId="9" fontId="23" fillId="0" borderId="20" xfId="52" applyNumberFormat="1" applyFont="1" applyFill="1" applyBorder="1">
      <alignment/>
      <protection/>
    </xf>
    <xf numFmtId="0" fontId="23" fillId="0" borderId="0" xfId="52" applyFont="1" applyBorder="1" applyAlignment="1">
      <alignment horizontal="center" vertical="center"/>
      <protection/>
    </xf>
    <xf numFmtId="0" fontId="23" fillId="0" borderId="0" xfId="52" applyFont="1" applyBorder="1" applyAlignment="1" applyProtection="1">
      <alignment vertical="center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3" fillId="0" borderId="0" xfId="52" applyFont="1" applyBorder="1" applyAlignment="1" applyProtection="1">
      <alignment horizontal="center"/>
      <protection locked="0"/>
    </xf>
    <xf numFmtId="3" fontId="23" fillId="0" borderId="0" xfId="52" applyNumberFormat="1" applyFont="1" applyBorder="1" applyAlignment="1">
      <alignment vertical="center"/>
      <protection/>
    </xf>
    <xf numFmtId="0" fontId="23" fillId="0" borderId="0" xfId="52" applyFont="1" applyBorder="1">
      <alignment/>
      <protection/>
    </xf>
    <xf numFmtId="3" fontId="23" fillId="0" borderId="0" xfId="52" applyNumberFormat="1" applyFont="1" applyBorder="1">
      <alignment/>
      <protection/>
    </xf>
    <xf numFmtId="2" fontId="23" fillId="0" borderId="0" xfId="52" applyNumberFormat="1" applyFont="1" applyBorder="1">
      <alignment/>
      <protection/>
    </xf>
    <xf numFmtId="0" fontId="13" fillId="0" borderId="15" xfId="52" applyBorder="1" applyAlignment="1">
      <alignment horizontal="left"/>
      <protection/>
    </xf>
    <xf numFmtId="0" fontId="13" fillId="0" borderId="42" xfId="52" applyBorder="1" applyAlignment="1">
      <alignment horizontal="left"/>
      <protection/>
    </xf>
    <xf numFmtId="3" fontId="13" fillId="0" borderId="15" xfId="52" applyNumberFormat="1" applyBorder="1">
      <alignment/>
      <protection/>
    </xf>
    <xf numFmtId="9" fontId="13" fillId="0" borderId="15" xfId="52" applyNumberFormat="1" applyBorder="1">
      <alignment/>
      <protection/>
    </xf>
    <xf numFmtId="0" fontId="24" fillId="0" borderId="42" xfId="52" applyFont="1" applyBorder="1" applyAlignment="1">
      <alignment horizontal="left"/>
      <protection/>
    </xf>
    <xf numFmtId="0" fontId="24" fillId="0" borderId="43" xfId="52" applyFont="1" applyBorder="1" applyAlignment="1">
      <alignment horizontal="left"/>
      <protection/>
    </xf>
    <xf numFmtId="3" fontId="24" fillId="0" borderId="15" xfId="52" applyNumberFormat="1" applyFont="1" applyBorder="1">
      <alignment/>
      <protection/>
    </xf>
    <xf numFmtId="9" fontId="24" fillId="0" borderId="15" xfId="52" applyNumberFormat="1" applyFont="1" applyBorder="1">
      <alignment/>
      <protection/>
    </xf>
    <xf numFmtId="0" fontId="13" fillId="0" borderId="15" xfId="52" applyBorder="1">
      <alignment/>
      <protection/>
    </xf>
    <xf numFmtId="0" fontId="13" fillId="0" borderId="15" xfId="52" applyBorder="1" applyAlignment="1">
      <alignment horizontal="left" wrapText="1"/>
      <protection/>
    </xf>
    <xf numFmtId="9" fontId="13" fillId="0" borderId="0" xfId="52" applyNumberFormat="1">
      <alignment/>
      <protection/>
    </xf>
    <xf numFmtId="3" fontId="23" fillId="0" borderId="0" xfId="52" applyNumberFormat="1" applyFont="1" applyBorder="1" applyProtection="1">
      <alignment/>
      <protection locked="0"/>
    </xf>
    <xf numFmtId="3" fontId="13" fillId="0" borderId="0" xfId="52" applyNumberFormat="1" applyAlignment="1">
      <alignment horizontal="center"/>
      <protection/>
    </xf>
    <xf numFmtId="3" fontId="27" fillId="0" borderId="0" xfId="52" applyNumberFormat="1" applyFont="1" applyBorder="1">
      <alignment/>
      <protection/>
    </xf>
    <xf numFmtId="0" fontId="13" fillId="0" borderId="0" xfId="53" applyFont="1" applyFill="1">
      <alignment/>
      <protection/>
    </xf>
    <xf numFmtId="0" fontId="13" fillId="0" borderId="0" xfId="53" applyFont="1" applyFill="1" applyAlignment="1">
      <alignment horizontal="center"/>
      <protection/>
    </xf>
    <xf numFmtId="0" fontId="13" fillId="0" borderId="0" xfId="53" applyFill="1">
      <alignment/>
      <protection/>
    </xf>
    <xf numFmtId="0" fontId="30" fillId="0" borderId="0" xfId="0" applyFont="1" applyFill="1" applyBorder="1" applyAlignment="1">
      <alignment horizontal="center" vertical="center"/>
    </xf>
    <xf numFmtId="0" fontId="13" fillId="0" borderId="0" xfId="53" applyFill="1" applyBorder="1">
      <alignment/>
      <protection/>
    </xf>
    <xf numFmtId="0" fontId="21" fillId="0" borderId="39" xfId="53" applyFont="1" applyFill="1" applyBorder="1" applyAlignment="1">
      <alignment horizontal="center" vertical="center"/>
      <protection/>
    </xf>
    <xf numFmtId="0" fontId="21" fillId="0" borderId="39" xfId="53" applyFont="1" applyFill="1" applyBorder="1" applyAlignment="1">
      <alignment horizontal="center" vertical="center" wrapText="1"/>
      <protection/>
    </xf>
    <xf numFmtId="0" fontId="21" fillId="0" borderId="39" xfId="53" applyFont="1" applyFill="1" applyBorder="1" applyAlignment="1">
      <alignment horizontal="center" vertical="center" wrapText="1"/>
      <protection/>
    </xf>
    <xf numFmtId="0" fontId="21" fillId="0" borderId="39" xfId="53" applyFont="1" applyFill="1" applyBorder="1" applyAlignment="1">
      <alignment horizontal="center" vertical="center"/>
      <protection/>
    </xf>
    <xf numFmtId="0" fontId="21" fillId="0" borderId="39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0" xfId="53" applyFont="1" applyFill="1" applyAlignment="1">
      <alignment horizontal="center"/>
      <protection/>
    </xf>
    <xf numFmtId="3" fontId="23" fillId="0" borderId="40" xfId="53" applyNumberFormat="1" applyFont="1" applyFill="1" applyBorder="1" applyAlignment="1">
      <alignment vertical="center"/>
      <protection/>
    </xf>
    <xf numFmtId="0" fontId="23" fillId="0" borderId="40" xfId="53" applyFont="1" applyFill="1" applyBorder="1">
      <alignment/>
      <protection/>
    </xf>
    <xf numFmtId="3" fontId="23" fillId="0" borderId="40" xfId="53" applyNumberFormat="1" applyFont="1" applyFill="1" applyBorder="1" applyProtection="1">
      <alignment/>
      <protection locked="0"/>
    </xf>
    <xf numFmtId="3" fontId="23" fillId="0" borderId="33" xfId="53" applyNumberFormat="1" applyFont="1" applyFill="1" applyBorder="1" applyProtection="1">
      <alignment/>
      <protection locked="0"/>
    </xf>
    <xf numFmtId="3" fontId="23" fillId="0" borderId="36" xfId="53" applyNumberFormat="1" applyFont="1" applyFill="1" applyBorder="1" applyProtection="1">
      <alignment/>
      <protection locked="0"/>
    </xf>
    <xf numFmtId="3" fontId="23" fillId="0" borderId="44" xfId="53" applyNumberFormat="1" applyFont="1" applyFill="1" applyBorder="1" applyProtection="1">
      <alignment/>
      <protection locked="0"/>
    </xf>
    <xf numFmtId="0" fontId="31" fillId="0" borderId="0" xfId="53" applyFont="1" applyFill="1" applyBorder="1">
      <alignment/>
      <protection/>
    </xf>
    <xf numFmtId="0" fontId="31" fillId="0" borderId="0" xfId="53" applyFont="1" applyFill="1">
      <alignment/>
      <protection/>
    </xf>
    <xf numFmtId="3" fontId="23" fillId="0" borderId="41" xfId="53" applyNumberFormat="1" applyFont="1" applyFill="1" applyBorder="1" applyAlignment="1">
      <alignment vertical="center"/>
      <protection/>
    </xf>
    <xf numFmtId="0" fontId="23" fillId="0" borderId="17" xfId="53" applyFont="1" applyFill="1" applyBorder="1">
      <alignment/>
      <protection/>
    </xf>
    <xf numFmtId="3" fontId="23" fillId="0" borderId="17" xfId="53" applyNumberFormat="1" applyFont="1" applyFill="1" applyBorder="1" applyProtection="1">
      <alignment/>
      <protection locked="0"/>
    </xf>
    <xf numFmtId="3" fontId="23" fillId="0" borderId="18" xfId="53" applyNumberFormat="1" applyFont="1" applyFill="1" applyBorder="1" applyProtection="1">
      <alignment/>
      <protection locked="0"/>
    </xf>
    <xf numFmtId="3" fontId="23" fillId="0" borderId="15" xfId="53" applyNumberFormat="1" applyFont="1" applyFill="1" applyBorder="1" applyProtection="1">
      <alignment/>
      <protection locked="0"/>
    </xf>
    <xf numFmtId="3" fontId="23" fillId="0" borderId="19" xfId="53" applyNumberFormat="1" applyFont="1" applyFill="1" applyBorder="1" applyProtection="1">
      <alignment/>
      <protection locked="0"/>
    </xf>
    <xf numFmtId="3" fontId="23" fillId="0" borderId="17" xfId="53" applyNumberFormat="1" applyFont="1" applyFill="1" applyBorder="1" applyAlignment="1">
      <alignment vertical="center"/>
      <protection/>
    </xf>
    <xf numFmtId="3" fontId="23" fillId="0" borderId="17" xfId="53" applyNumberFormat="1" applyFont="1" applyFill="1" applyBorder="1">
      <alignment/>
      <protection/>
    </xf>
    <xf numFmtId="3" fontId="23" fillId="0" borderId="18" xfId="53" applyNumberFormat="1" applyFont="1" applyFill="1" applyBorder="1">
      <alignment/>
      <protection/>
    </xf>
    <xf numFmtId="3" fontId="23" fillId="0" borderId="15" xfId="53" applyNumberFormat="1" applyFont="1" applyFill="1" applyBorder="1">
      <alignment/>
      <protection/>
    </xf>
    <xf numFmtId="3" fontId="23" fillId="0" borderId="19" xfId="53" applyNumberFormat="1" applyFont="1" applyFill="1" applyBorder="1">
      <alignment/>
      <protection/>
    </xf>
    <xf numFmtId="3" fontId="23" fillId="0" borderId="22" xfId="53" applyNumberFormat="1" applyFont="1" applyFill="1" applyBorder="1" applyAlignment="1">
      <alignment vertical="center"/>
      <protection/>
    </xf>
    <xf numFmtId="0" fontId="23" fillId="0" borderId="41" xfId="53" applyFont="1" applyFill="1" applyBorder="1">
      <alignment/>
      <protection/>
    </xf>
    <xf numFmtId="3" fontId="23" fillId="0" borderId="22" xfId="53" applyNumberFormat="1" applyFont="1" applyFill="1" applyBorder="1">
      <alignment/>
      <protection/>
    </xf>
    <xf numFmtId="3" fontId="23" fillId="0" borderId="31" xfId="53" applyNumberFormat="1" applyFont="1" applyFill="1" applyBorder="1">
      <alignment/>
      <protection/>
    </xf>
    <xf numFmtId="3" fontId="23" fillId="0" borderId="32" xfId="53" applyNumberFormat="1" applyFont="1" applyFill="1" applyBorder="1">
      <alignment/>
      <protection/>
    </xf>
    <xf numFmtId="3" fontId="23" fillId="0" borderId="23" xfId="53" applyNumberFormat="1" applyFont="1" applyFill="1" applyBorder="1">
      <alignment/>
      <protection/>
    </xf>
    <xf numFmtId="3" fontId="23" fillId="0" borderId="13" xfId="53" applyNumberFormat="1" applyFont="1" applyFill="1" applyBorder="1" applyAlignment="1">
      <alignment vertical="center"/>
      <protection/>
    </xf>
    <xf numFmtId="0" fontId="23" fillId="0" borderId="13" xfId="53" applyFont="1" applyFill="1" applyBorder="1">
      <alignment/>
      <protection/>
    </xf>
    <xf numFmtId="3" fontId="23" fillId="0" borderId="13" xfId="53" applyNumberFormat="1" applyFont="1" applyFill="1" applyBorder="1" applyProtection="1">
      <alignment/>
      <protection locked="0"/>
    </xf>
    <xf numFmtId="3" fontId="23" fillId="0" borderId="14" xfId="53" applyNumberFormat="1" applyFont="1" applyFill="1" applyBorder="1" applyProtection="1">
      <alignment/>
      <protection locked="0"/>
    </xf>
    <xf numFmtId="3" fontId="23" fillId="0" borderId="11" xfId="53" applyNumberFormat="1" applyFont="1" applyFill="1" applyBorder="1" applyProtection="1">
      <alignment/>
      <protection locked="0"/>
    </xf>
    <xf numFmtId="164" fontId="23" fillId="0" borderId="27" xfId="58" applyNumberFormat="1" applyFont="1" applyFill="1" applyBorder="1" applyAlignment="1" applyProtection="1">
      <alignment/>
      <protection locked="0"/>
    </xf>
    <xf numFmtId="164" fontId="23" fillId="0" borderId="19" xfId="58" applyNumberFormat="1" applyFont="1" applyFill="1" applyBorder="1" applyAlignment="1" applyProtection="1">
      <alignment/>
      <protection locked="0"/>
    </xf>
    <xf numFmtId="164" fontId="23" fillId="0" borderId="19" xfId="58" applyNumberFormat="1" applyFont="1" applyFill="1" applyBorder="1" applyAlignment="1">
      <alignment/>
    </xf>
    <xf numFmtId="0" fontId="23" fillId="0" borderId="22" xfId="53" applyFont="1" applyFill="1" applyBorder="1">
      <alignment/>
      <protection/>
    </xf>
    <xf numFmtId="3" fontId="23" fillId="0" borderId="25" xfId="53" applyNumberFormat="1" applyFont="1" applyFill="1" applyBorder="1">
      <alignment/>
      <protection/>
    </xf>
    <xf numFmtId="3" fontId="23" fillId="0" borderId="20" xfId="53" applyNumberFormat="1" applyFont="1" applyFill="1" applyBorder="1">
      <alignment/>
      <protection/>
    </xf>
    <xf numFmtId="164" fontId="23" fillId="0" borderId="37" xfId="58" applyNumberFormat="1" applyFont="1" applyFill="1" applyBorder="1" applyAlignment="1">
      <alignment/>
    </xf>
    <xf numFmtId="3" fontId="32" fillId="24" borderId="13" xfId="53" applyNumberFormat="1" applyFont="1" applyFill="1" applyBorder="1" applyProtection="1">
      <alignment/>
      <protection locked="0"/>
    </xf>
    <xf numFmtId="3" fontId="32" fillId="24" borderId="14" xfId="53" applyNumberFormat="1" applyFont="1" applyFill="1" applyBorder="1" applyProtection="1">
      <alignment/>
      <protection locked="0"/>
    </xf>
    <xf numFmtId="3" fontId="32" fillId="24" borderId="11" xfId="53" applyNumberFormat="1" applyFont="1" applyFill="1" applyBorder="1" applyProtection="1">
      <alignment/>
      <protection locked="0"/>
    </xf>
    <xf numFmtId="3" fontId="32" fillId="24" borderId="27" xfId="53" applyNumberFormat="1" applyFont="1" applyFill="1" applyBorder="1" applyProtection="1">
      <alignment/>
      <protection locked="0"/>
    </xf>
    <xf numFmtId="3" fontId="32" fillId="24" borderId="17" xfId="53" applyNumberFormat="1" applyFont="1" applyFill="1" applyBorder="1" applyProtection="1">
      <alignment/>
      <protection locked="0"/>
    </xf>
    <xf numFmtId="3" fontId="32" fillId="24" borderId="18" xfId="53" applyNumberFormat="1" applyFont="1" applyFill="1" applyBorder="1" applyProtection="1">
      <alignment/>
      <protection locked="0"/>
    </xf>
    <xf numFmtId="3" fontId="32" fillId="24" borderId="15" xfId="53" applyNumberFormat="1" applyFont="1" applyFill="1" applyBorder="1" applyProtection="1">
      <alignment/>
      <protection locked="0"/>
    </xf>
    <xf numFmtId="3" fontId="32" fillId="24" borderId="19" xfId="53" applyNumberFormat="1" applyFont="1" applyFill="1" applyBorder="1" applyProtection="1">
      <alignment/>
      <protection locked="0"/>
    </xf>
    <xf numFmtId="3" fontId="32" fillId="24" borderId="17" xfId="53" applyNumberFormat="1" applyFont="1" applyFill="1" applyBorder="1">
      <alignment/>
      <protection/>
    </xf>
    <xf numFmtId="3" fontId="32" fillId="24" borderId="18" xfId="53" applyNumberFormat="1" applyFont="1" applyFill="1" applyBorder="1">
      <alignment/>
      <protection/>
    </xf>
    <xf numFmtId="3" fontId="32" fillId="24" borderId="15" xfId="53" applyNumberFormat="1" applyFont="1" applyFill="1" applyBorder="1">
      <alignment/>
      <protection/>
    </xf>
    <xf numFmtId="3" fontId="32" fillId="24" borderId="19" xfId="53" applyNumberFormat="1" applyFont="1" applyFill="1" applyBorder="1">
      <alignment/>
      <protection/>
    </xf>
    <xf numFmtId="3" fontId="32" fillId="24" borderId="22" xfId="53" applyNumberFormat="1" applyFont="1" applyFill="1" applyBorder="1">
      <alignment/>
      <protection/>
    </xf>
    <xf numFmtId="3" fontId="32" fillId="24" borderId="25" xfId="53" applyNumberFormat="1" applyFont="1" applyFill="1" applyBorder="1">
      <alignment/>
      <protection/>
    </xf>
    <xf numFmtId="3" fontId="32" fillId="24" borderId="20" xfId="53" applyNumberFormat="1" applyFont="1" applyFill="1" applyBorder="1">
      <alignment/>
      <protection/>
    </xf>
    <xf numFmtId="3" fontId="32" fillId="24" borderId="37" xfId="53" applyNumberFormat="1" applyFont="1" applyFill="1" applyBorder="1">
      <alignment/>
      <protection/>
    </xf>
    <xf numFmtId="3" fontId="23" fillId="0" borderId="13" xfId="0" applyNumberFormat="1" applyFont="1" applyFill="1" applyBorder="1" applyAlignment="1">
      <alignment vertical="center"/>
    </xf>
    <xf numFmtId="3" fontId="23" fillId="0" borderId="17" xfId="0" applyNumberFormat="1" applyFont="1" applyFill="1" applyBorder="1" applyAlignment="1">
      <alignment vertical="center"/>
    </xf>
    <xf numFmtId="3" fontId="23" fillId="0" borderId="22" xfId="0" applyNumberFormat="1" applyFont="1" applyFill="1" applyBorder="1" applyAlignment="1">
      <alignment vertical="center"/>
    </xf>
    <xf numFmtId="3" fontId="23" fillId="0" borderId="27" xfId="53" applyNumberFormat="1" applyFont="1" applyFill="1" applyBorder="1" applyProtection="1">
      <alignment/>
      <protection locked="0"/>
    </xf>
    <xf numFmtId="3" fontId="23" fillId="0" borderId="13" xfId="53" applyNumberFormat="1" applyFont="1" applyFill="1" applyBorder="1" applyProtection="1">
      <alignment/>
      <protection locked="0"/>
    </xf>
    <xf numFmtId="3" fontId="23" fillId="0" borderId="14" xfId="53" applyNumberFormat="1" applyFont="1" applyFill="1" applyBorder="1" applyProtection="1">
      <alignment/>
      <protection locked="0"/>
    </xf>
    <xf numFmtId="3" fontId="23" fillId="0" borderId="11" xfId="53" applyNumberFormat="1" applyFont="1" applyFill="1" applyBorder="1" applyProtection="1">
      <alignment/>
      <protection locked="0"/>
    </xf>
    <xf numFmtId="3" fontId="23" fillId="0" borderId="27" xfId="53" applyNumberFormat="1" applyFont="1" applyFill="1" applyBorder="1" applyProtection="1">
      <alignment/>
      <protection locked="0"/>
    </xf>
    <xf numFmtId="3" fontId="23" fillId="0" borderId="17" xfId="53" applyNumberFormat="1" applyFont="1" applyFill="1" applyBorder="1" applyProtection="1">
      <alignment/>
      <protection locked="0"/>
    </xf>
    <xf numFmtId="3" fontId="23" fillId="0" borderId="18" xfId="53" applyNumberFormat="1" applyFont="1" applyFill="1" applyBorder="1" applyProtection="1">
      <alignment/>
      <protection locked="0"/>
    </xf>
    <xf numFmtId="3" fontId="23" fillId="0" borderId="15" xfId="53" applyNumberFormat="1" applyFont="1" applyFill="1" applyBorder="1" applyProtection="1">
      <alignment/>
      <protection locked="0"/>
    </xf>
    <xf numFmtId="164" fontId="23" fillId="0" borderId="19" xfId="58" applyNumberFormat="1" applyFont="1" applyFill="1" applyBorder="1" applyAlignment="1" applyProtection="1">
      <alignment/>
      <protection locked="0"/>
    </xf>
    <xf numFmtId="3" fontId="23" fillId="0" borderId="19" xfId="53" applyNumberFormat="1" applyFont="1" applyFill="1" applyBorder="1" applyProtection="1">
      <alignment/>
      <protection locked="0"/>
    </xf>
    <xf numFmtId="3" fontId="23" fillId="0" borderId="17" xfId="53" applyNumberFormat="1" applyFont="1" applyFill="1" applyBorder="1">
      <alignment/>
      <protection/>
    </xf>
    <xf numFmtId="3" fontId="23" fillId="0" borderId="18" xfId="53" applyNumberFormat="1" applyFont="1" applyFill="1" applyBorder="1">
      <alignment/>
      <protection/>
    </xf>
    <xf numFmtId="3" fontId="23" fillId="0" borderId="15" xfId="53" applyNumberFormat="1" applyFont="1" applyFill="1" applyBorder="1">
      <alignment/>
      <protection/>
    </xf>
    <xf numFmtId="3" fontId="23" fillId="0" borderId="19" xfId="53" applyNumberFormat="1" applyFont="1" applyFill="1" applyBorder="1">
      <alignment/>
      <protection/>
    </xf>
    <xf numFmtId="3" fontId="23" fillId="0" borderId="22" xfId="53" applyNumberFormat="1" applyFont="1" applyFill="1" applyBorder="1">
      <alignment/>
      <protection/>
    </xf>
    <xf numFmtId="3" fontId="23" fillId="0" borderId="25" xfId="53" applyNumberFormat="1" applyFont="1" applyFill="1" applyBorder="1">
      <alignment/>
      <protection/>
    </xf>
    <xf numFmtId="3" fontId="23" fillId="0" borderId="20" xfId="53" applyNumberFormat="1" applyFont="1" applyFill="1" applyBorder="1">
      <alignment/>
      <protection/>
    </xf>
    <xf numFmtId="3" fontId="23" fillId="0" borderId="45" xfId="53" applyNumberFormat="1" applyFont="1" applyFill="1" applyBorder="1" applyProtection="1">
      <alignment/>
      <protection locked="0"/>
    </xf>
    <xf numFmtId="3" fontId="32" fillId="0" borderId="13" xfId="53" applyNumberFormat="1" applyFont="1" applyFill="1" applyBorder="1" applyProtection="1">
      <alignment/>
      <protection locked="0"/>
    </xf>
    <xf numFmtId="3" fontId="32" fillId="0" borderId="14" xfId="53" applyNumberFormat="1" applyFont="1" applyFill="1" applyBorder="1" applyProtection="1">
      <alignment/>
      <protection locked="0"/>
    </xf>
    <xf numFmtId="3" fontId="32" fillId="0" borderId="11" xfId="53" applyNumberFormat="1" applyFont="1" applyFill="1" applyBorder="1" applyProtection="1">
      <alignment/>
      <protection locked="0"/>
    </xf>
    <xf numFmtId="3" fontId="32" fillId="0" borderId="27" xfId="53" applyNumberFormat="1" applyFont="1" applyFill="1" applyBorder="1" applyProtection="1">
      <alignment/>
      <protection locked="0"/>
    </xf>
    <xf numFmtId="3" fontId="32" fillId="0" borderId="17" xfId="53" applyNumberFormat="1" applyFont="1" applyFill="1" applyBorder="1" applyProtection="1">
      <alignment/>
      <protection locked="0"/>
    </xf>
    <xf numFmtId="3" fontId="32" fillId="0" borderId="18" xfId="53" applyNumberFormat="1" applyFont="1" applyFill="1" applyBorder="1" applyProtection="1">
      <alignment/>
      <protection locked="0"/>
    </xf>
    <xf numFmtId="3" fontId="32" fillId="0" borderId="15" xfId="53" applyNumberFormat="1" applyFont="1" applyFill="1" applyBorder="1" applyProtection="1">
      <alignment/>
      <protection locked="0"/>
    </xf>
    <xf numFmtId="3" fontId="32" fillId="0" borderId="19" xfId="53" applyNumberFormat="1" applyFont="1" applyFill="1" applyBorder="1" applyProtection="1">
      <alignment/>
      <protection locked="0"/>
    </xf>
    <xf numFmtId="3" fontId="32" fillId="0" borderId="17" xfId="53" applyNumberFormat="1" applyFont="1" applyFill="1" applyBorder="1">
      <alignment/>
      <protection/>
    </xf>
    <xf numFmtId="3" fontId="32" fillId="0" borderId="18" xfId="53" applyNumberFormat="1" applyFont="1" applyFill="1" applyBorder="1">
      <alignment/>
      <protection/>
    </xf>
    <xf numFmtId="3" fontId="32" fillId="0" borderId="15" xfId="53" applyNumberFormat="1" applyFont="1" applyFill="1" applyBorder="1">
      <alignment/>
      <protection/>
    </xf>
    <xf numFmtId="3" fontId="32" fillId="0" borderId="19" xfId="53" applyNumberFormat="1" applyFont="1" applyFill="1" applyBorder="1">
      <alignment/>
      <protection/>
    </xf>
    <xf numFmtId="3" fontId="32" fillId="0" borderId="22" xfId="53" applyNumberFormat="1" applyFont="1" applyFill="1" applyBorder="1">
      <alignment/>
      <protection/>
    </xf>
    <xf numFmtId="3" fontId="32" fillId="0" borderId="25" xfId="53" applyNumberFormat="1" applyFont="1" applyFill="1" applyBorder="1">
      <alignment/>
      <protection/>
    </xf>
    <xf numFmtId="3" fontId="32" fillId="0" borderId="20" xfId="53" applyNumberFormat="1" applyFont="1" applyFill="1" applyBorder="1">
      <alignment/>
      <protection/>
    </xf>
    <xf numFmtId="3" fontId="32" fillId="0" borderId="37" xfId="53" applyNumberFormat="1" applyFont="1" applyFill="1" applyBorder="1">
      <alignment/>
      <protection/>
    </xf>
    <xf numFmtId="3" fontId="23" fillId="0" borderId="33" xfId="53" applyNumberFormat="1" applyFont="1" applyFill="1" applyBorder="1" applyProtection="1">
      <alignment/>
      <protection locked="0"/>
    </xf>
    <xf numFmtId="3" fontId="23" fillId="0" borderId="36" xfId="53" applyNumberFormat="1" applyFont="1" applyFill="1" applyBorder="1" applyProtection="1">
      <alignment/>
      <protection locked="0"/>
    </xf>
    <xf numFmtId="164" fontId="23" fillId="0" borderId="27" xfId="58" applyNumberFormat="1" applyFont="1" applyFill="1" applyBorder="1" applyAlignment="1" applyProtection="1">
      <alignment/>
      <protection locked="0"/>
    </xf>
    <xf numFmtId="164" fontId="23" fillId="0" borderId="19" xfId="58" applyNumberFormat="1" applyFont="1" applyFill="1" applyBorder="1" applyAlignment="1">
      <alignment/>
    </xf>
    <xf numFmtId="3" fontId="23" fillId="0" borderId="31" xfId="53" applyNumberFormat="1" applyFont="1" applyFill="1" applyBorder="1">
      <alignment/>
      <protection/>
    </xf>
    <xf numFmtId="3" fontId="23" fillId="0" borderId="32" xfId="53" applyNumberFormat="1" applyFont="1" applyFill="1" applyBorder="1">
      <alignment/>
      <protection/>
    </xf>
    <xf numFmtId="164" fontId="23" fillId="0" borderId="37" xfId="58" applyNumberFormat="1" applyFont="1" applyFill="1" applyBorder="1" applyAlignment="1">
      <alignment/>
    </xf>
    <xf numFmtId="3" fontId="23" fillId="0" borderId="30" xfId="53" applyNumberFormat="1" applyFont="1" applyFill="1" applyBorder="1">
      <alignment/>
      <protection/>
    </xf>
    <xf numFmtId="3" fontId="32" fillId="0" borderId="33" xfId="53" applyNumberFormat="1" applyFont="1" applyFill="1" applyBorder="1" applyProtection="1">
      <alignment/>
      <protection locked="0"/>
    </xf>
    <xf numFmtId="3" fontId="32" fillId="0" borderId="36" xfId="53" applyNumberFormat="1" applyFont="1" applyFill="1" applyBorder="1" applyProtection="1">
      <alignment/>
      <protection locked="0"/>
    </xf>
    <xf numFmtId="0" fontId="23" fillId="0" borderId="46" xfId="53" applyFont="1" applyFill="1" applyBorder="1" applyAlignment="1">
      <alignment vertical="center"/>
      <protection/>
    </xf>
    <xf numFmtId="0" fontId="23" fillId="0" borderId="46" xfId="53" applyFont="1" applyFill="1" applyBorder="1" applyAlignment="1" applyProtection="1">
      <alignment vertical="center" wrapText="1"/>
      <protection locked="0"/>
    </xf>
    <xf numFmtId="0" fontId="23" fillId="0" borderId="46" xfId="53" applyFont="1" applyFill="1" applyBorder="1" applyAlignment="1" applyProtection="1">
      <alignment horizontal="center" vertical="center"/>
      <protection locked="0"/>
    </xf>
    <xf numFmtId="0" fontId="23" fillId="0" borderId="46" xfId="53" applyFont="1" applyFill="1" applyBorder="1" applyAlignment="1" applyProtection="1">
      <alignment horizontal="center" vertical="center" wrapText="1"/>
      <protection locked="0"/>
    </xf>
    <xf numFmtId="0" fontId="23" fillId="0" borderId="46" xfId="53" applyFont="1" applyFill="1" applyBorder="1" applyAlignment="1" applyProtection="1">
      <alignment horizontal="center"/>
      <protection locked="0"/>
    </xf>
    <xf numFmtId="3" fontId="23" fillId="0" borderId="0" xfId="53" applyNumberFormat="1" applyFont="1" applyFill="1" applyBorder="1" applyAlignment="1">
      <alignment vertical="center"/>
      <protection/>
    </xf>
    <xf numFmtId="0" fontId="23" fillId="0" borderId="0" xfId="53" applyFont="1" applyFill="1" applyBorder="1">
      <alignment/>
      <protection/>
    </xf>
    <xf numFmtId="3" fontId="32" fillId="0" borderId="0" xfId="53" applyNumberFormat="1" applyFont="1" applyFill="1" applyBorder="1" applyProtection="1">
      <alignment/>
      <protection locked="0"/>
    </xf>
    <xf numFmtId="0" fontId="23" fillId="0" borderId="0" xfId="53" applyFont="1" applyFill="1" applyBorder="1" applyAlignment="1">
      <alignment vertical="center"/>
      <protection/>
    </xf>
    <xf numFmtId="0" fontId="23" fillId="0" borderId="0" xfId="53" applyFont="1" applyFill="1" applyBorder="1" applyAlignment="1" applyProtection="1">
      <alignment vertical="center" wrapText="1"/>
      <protection locked="0"/>
    </xf>
    <xf numFmtId="0" fontId="23" fillId="0" borderId="0" xfId="53" applyFont="1" applyFill="1" applyBorder="1" applyAlignment="1" applyProtection="1">
      <alignment horizontal="center" vertical="center"/>
      <protection locked="0"/>
    </xf>
    <xf numFmtId="0" fontId="23" fillId="0" borderId="0" xfId="53" applyFont="1" applyFill="1" applyBorder="1" applyAlignment="1" applyProtection="1">
      <alignment horizontal="center" vertical="center" wrapText="1"/>
      <protection locked="0"/>
    </xf>
    <xf numFmtId="0" fontId="23" fillId="0" borderId="0" xfId="53" applyFont="1" applyFill="1" applyBorder="1" applyAlignment="1" applyProtection="1">
      <alignment horizontal="center"/>
      <protection locked="0"/>
    </xf>
    <xf numFmtId="3" fontId="32" fillId="0" borderId="0" xfId="53" applyNumberFormat="1" applyFont="1" applyFill="1" applyBorder="1">
      <alignment/>
      <protection/>
    </xf>
    <xf numFmtId="0" fontId="23" fillId="0" borderId="47" xfId="53" applyFont="1" applyFill="1" applyBorder="1">
      <alignment/>
      <protection/>
    </xf>
    <xf numFmtId="3" fontId="23" fillId="0" borderId="28" xfId="53" applyNumberFormat="1" applyFont="1" applyFill="1" applyBorder="1" applyProtection="1">
      <alignment/>
      <protection locked="0"/>
    </xf>
    <xf numFmtId="0" fontId="23" fillId="0" borderId="0" xfId="53" applyFont="1" applyFill="1" applyBorder="1" applyAlignment="1">
      <alignment horizontal="center" vertical="center"/>
      <protection/>
    </xf>
    <xf numFmtId="0" fontId="23" fillId="0" borderId="48" xfId="53" applyFont="1" applyFill="1" applyBorder="1">
      <alignment/>
      <protection/>
    </xf>
    <xf numFmtId="3" fontId="23" fillId="0" borderId="29" xfId="53" applyNumberFormat="1" applyFont="1" applyFill="1" applyBorder="1" applyProtection="1">
      <alignment/>
      <protection locked="0"/>
    </xf>
    <xf numFmtId="0" fontId="23" fillId="0" borderId="49" xfId="53" applyFont="1" applyFill="1" applyBorder="1">
      <alignment/>
      <protection/>
    </xf>
    <xf numFmtId="3" fontId="23" fillId="0" borderId="22" xfId="53" applyNumberFormat="1" applyFont="1" applyFill="1" applyBorder="1" applyProtection="1">
      <alignment/>
      <protection locked="0"/>
    </xf>
    <xf numFmtId="164" fontId="23" fillId="0" borderId="37" xfId="58" applyNumberFormat="1" applyFont="1" applyFill="1" applyBorder="1" applyAlignment="1" applyProtection="1">
      <alignment/>
      <protection locked="0"/>
    </xf>
    <xf numFmtId="3" fontId="23" fillId="0" borderId="0" xfId="53" applyNumberFormat="1" applyFont="1" applyFill="1" applyBorder="1" applyProtection="1">
      <alignment/>
      <protection locked="0"/>
    </xf>
    <xf numFmtId="3" fontId="23" fillId="0" borderId="0" xfId="53" applyNumberFormat="1" applyFont="1" applyFill="1" applyBorder="1">
      <alignment/>
      <protection/>
    </xf>
    <xf numFmtId="0" fontId="21" fillId="0" borderId="50" xfId="54" applyFont="1" applyFill="1" applyBorder="1" applyAlignment="1">
      <alignment horizontal="center"/>
      <protection/>
    </xf>
    <xf numFmtId="0" fontId="22" fillId="0" borderId="51" xfId="54" applyFont="1" applyFill="1" applyBorder="1" applyAlignment="1">
      <alignment horizontal="center" vertical="top" wrapText="1"/>
      <protection/>
    </xf>
    <xf numFmtId="0" fontId="22" fillId="0" borderId="0" xfId="54" applyFont="1" applyFill="1" applyBorder="1" applyAlignment="1">
      <alignment horizontal="center" vertical="top" wrapText="1"/>
      <protection/>
    </xf>
    <xf numFmtId="0" fontId="21" fillId="0" borderId="52" xfId="54" applyFont="1" applyFill="1" applyBorder="1" applyAlignment="1">
      <alignment horizontal="center"/>
      <protection/>
    </xf>
    <xf numFmtId="0" fontId="13" fillId="0" borderId="53" xfId="54" applyFont="1" applyFill="1" applyBorder="1" applyAlignment="1" applyProtection="1">
      <alignment horizontal="center" vertical="center"/>
      <protection locked="0"/>
    </xf>
    <xf numFmtId="0" fontId="13" fillId="0" borderId="54" xfId="54" applyFont="1" applyFill="1" applyBorder="1" applyAlignment="1" applyProtection="1">
      <alignment vertical="center" wrapText="1"/>
      <protection locked="0"/>
    </xf>
    <xf numFmtId="0" fontId="13" fillId="0" borderId="53" xfId="54" applyFont="1" applyFill="1" applyBorder="1" applyAlignment="1" applyProtection="1">
      <alignment vertical="center" wrapText="1"/>
      <protection locked="0"/>
    </xf>
    <xf numFmtId="0" fontId="21" fillId="0" borderId="10" xfId="54" applyFont="1" applyFill="1" applyBorder="1" applyAlignment="1" applyProtection="1">
      <alignment horizontal="center" vertical="center"/>
      <protection locked="0"/>
    </xf>
    <xf numFmtId="0" fontId="13" fillId="0" borderId="54" xfId="54" applyFont="1" applyFill="1" applyBorder="1" applyAlignment="1" applyProtection="1">
      <alignment horizontal="center" vertical="center"/>
      <protection locked="0"/>
    </xf>
    <xf numFmtId="0" fontId="13" fillId="0" borderId="53" xfId="54" applyFont="1" applyFill="1" applyBorder="1" applyAlignment="1">
      <alignment horizontal="center" vertical="center"/>
      <protection/>
    </xf>
    <xf numFmtId="0" fontId="21" fillId="0" borderId="10" xfId="54" applyFont="1" applyFill="1" applyBorder="1" applyAlignment="1" applyProtection="1">
      <alignment vertical="center" wrapText="1"/>
      <protection locked="0"/>
    </xf>
    <xf numFmtId="0" fontId="25" fillId="0" borderId="0" xfId="54" applyFont="1" applyFill="1">
      <alignment/>
      <protection/>
    </xf>
    <xf numFmtId="0" fontId="24" fillId="0" borderId="55" xfId="54" applyFont="1" applyFill="1" applyBorder="1" applyAlignment="1">
      <alignment horizontal="center"/>
      <protection/>
    </xf>
    <xf numFmtId="0" fontId="24" fillId="0" borderId="34" xfId="54" applyFont="1" applyFill="1" applyBorder="1" applyAlignment="1">
      <alignment horizontal="center"/>
      <protection/>
    </xf>
    <xf numFmtId="0" fontId="21" fillId="0" borderId="52" xfId="54" applyFont="1" applyFill="1" applyBorder="1" applyAlignment="1" applyProtection="1">
      <alignment horizontal="center"/>
      <protection locked="0"/>
    </xf>
    <xf numFmtId="0" fontId="13" fillId="0" borderId="50" xfId="54" applyFont="1" applyFill="1" applyBorder="1" applyAlignment="1" applyProtection="1">
      <alignment horizontal="center"/>
      <protection locked="0"/>
    </xf>
    <xf numFmtId="0" fontId="21" fillId="0" borderId="56" xfId="54" applyFont="1" applyFill="1" applyBorder="1" applyAlignment="1" applyProtection="1">
      <alignment horizontal="center"/>
      <protection locked="0"/>
    </xf>
    <xf numFmtId="0" fontId="13" fillId="0" borderId="57" xfId="54" applyFont="1" applyFill="1" applyBorder="1" applyAlignment="1" applyProtection="1">
      <alignment horizontal="center"/>
      <protection locked="0"/>
    </xf>
    <xf numFmtId="0" fontId="21" fillId="0" borderId="10" xfId="54" applyFont="1" applyFill="1" applyBorder="1" applyAlignment="1">
      <alignment horizontal="center" vertical="center"/>
      <protection/>
    </xf>
    <xf numFmtId="0" fontId="13" fillId="0" borderId="54" xfId="54" applyFont="1" applyFill="1" applyBorder="1" applyAlignment="1">
      <alignment horizontal="center" vertical="center"/>
      <protection/>
    </xf>
    <xf numFmtId="0" fontId="21" fillId="0" borderId="58" xfId="54" applyFont="1" applyFill="1" applyBorder="1" applyAlignment="1">
      <alignment horizontal="center"/>
      <protection/>
    </xf>
    <xf numFmtId="0" fontId="21" fillId="0" borderId="56" xfId="54" applyFont="1" applyFill="1" applyBorder="1" applyAlignment="1">
      <alignment horizontal="center"/>
      <protection/>
    </xf>
    <xf numFmtId="0" fontId="21" fillId="0" borderId="57" xfId="54" applyFont="1" applyFill="1" applyBorder="1" applyAlignment="1">
      <alignment horizontal="center"/>
      <protection/>
    </xf>
    <xf numFmtId="0" fontId="21" fillId="0" borderId="10" xfId="54" applyFont="1" applyFill="1" applyBorder="1" applyAlignment="1">
      <alignment vertical="center" wrapText="1"/>
      <protection/>
    </xf>
    <xf numFmtId="0" fontId="21" fillId="0" borderId="54" xfId="54" applyFont="1" applyFill="1" applyBorder="1" applyAlignment="1">
      <alignment vertical="center" wrapText="1"/>
      <protection/>
    </xf>
    <xf numFmtId="0" fontId="21" fillId="0" borderId="53" xfId="54" applyFont="1" applyFill="1" applyBorder="1" applyAlignment="1">
      <alignment vertical="center" wrapText="1"/>
      <protection/>
    </xf>
    <xf numFmtId="0" fontId="21" fillId="0" borderId="10" xfId="54" applyFont="1" applyFill="1" applyBorder="1" applyAlignment="1">
      <alignment horizontal="center" vertical="center"/>
      <protection/>
    </xf>
    <xf numFmtId="0" fontId="21" fillId="0" borderId="54" xfId="54" applyFont="1" applyFill="1" applyBorder="1" applyAlignment="1">
      <alignment horizontal="center" vertical="center"/>
      <protection/>
    </xf>
    <xf numFmtId="0" fontId="21" fillId="0" borderId="53" xfId="54" applyFont="1" applyFill="1" applyBorder="1" applyAlignment="1">
      <alignment horizontal="center" vertical="center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54" xfId="54" applyFont="1" applyFill="1" applyBorder="1" applyAlignment="1">
      <alignment horizontal="center" vertical="center" wrapText="1"/>
      <protection/>
    </xf>
    <xf numFmtId="0" fontId="21" fillId="0" borderId="53" xfId="54" applyFont="1" applyFill="1" applyBorder="1" applyAlignment="1">
      <alignment horizontal="center" vertical="center" wrapText="1"/>
      <protection/>
    </xf>
    <xf numFmtId="0" fontId="21" fillId="0" borderId="50" xfId="54" applyFont="1" applyFill="1" applyBorder="1" applyAlignment="1" applyProtection="1">
      <alignment horizontal="center"/>
      <protection locked="0"/>
    </xf>
    <xf numFmtId="49" fontId="21" fillId="0" borderId="10" xfId="54" applyNumberFormat="1" applyFont="1" applyFill="1" applyBorder="1" applyAlignment="1">
      <alignment horizontal="center" vertical="center"/>
      <protection/>
    </xf>
    <xf numFmtId="49" fontId="21" fillId="0" borderId="54" xfId="54" applyNumberFormat="1" applyFont="1" applyFill="1" applyBorder="1" applyAlignment="1">
      <alignment horizontal="center" vertical="center"/>
      <protection/>
    </xf>
    <xf numFmtId="49" fontId="21" fillId="0" borderId="53" xfId="54" applyNumberFormat="1" applyFont="1" applyFill="1" applyBorder="1" applyAlignment="1">
      <alignment horizontal="center" vertical="center"/>
      <protection/>
    </xf>
    <xf numFmtId="0" fontId="23" fillId="0" borderId="39" xfId="54" applyFont="1" applyFill="1" applyBorder="1" applyAlignment="1">
      <alignment horizontal="center" vertical="center" wrapText="1"/>
      <protection/>
    </xf>
    <xf numFmtId="0" fontId="13" fillId="0" borderId="39" xfId="54" applyFill="1" applyBorder="1" applyAlignment="1">
      <alignment horizontal="center" vertical="center" wrapText="1"/>
      <protection/>
    </xf>
    <xf numFmtId="0" fontId="13" fillId="0" borderId="39" xfId="54" applyFill="1" applyBorder="1" applyAlignment="1">
      <alignment horizontal="center" vertical="center"/>
      <protection/>
    </xf>
    <xf numFmtId="0" fontId="23" fillId="0" borderId="39" xfId="54" applyFont="1" applyFill="1" applyBorder="1" applyAlignment="1">
      <alignment horizontal="center" vertical="center"/>
      <protection/>
    </xf>
    <xf numFmtId="0" fontId="23" fillId="0" borderId="39" xfId="54" applyFont="1" applyFill="1" applyBorder="1" applyAlignment="1">
      <alignment horizontal="center" vertical="center" wrapText="1"/>
      <protection/>
    </xf>
    <xf numFmtId="0" fontId="21" fillId="0" borderId="39" xfId="54" applyFont="1" applyFill="1" applyBorder="1" applyAlignment="1">
      <alignment horizontal="center" vertical="center" wrapText="1"/>
      <protection/>
    </xf>
    <xf numFmtId="0" fontId="13" fillId="0" borderId="58" xfId="54" applyFont="1" applyFill="1" applyBorder="1" applyAlignment="1" applyProtection="1">
      <alignment horizontal="center"/>
      <protection locked="0"/>
    </xf>
    <xf numFmtId="0" fontId="21" fillId="0" borderId="10" xfId="54" applyFont="1" applyFill="1" applyBorder="1" applyAlignment="1" applyProtection="1">
      <alignment horizontal="center" vertical="center" wrapText="1"/>
      <protection locked="0"/>
    </xf>
    <xf numFmtId="0" fontId="21" fillId="0" borderId="54" xfId="54" applyFont="1" applyFill="1" applyBorder="1" applyAlignment="1" applyProtection="1">
      <alignment horizontal="center" vertical="center" wrapText="1"/>
      <protection locked="0"/>
    </xf>
    <xf numFmtId="0" fontId="21" fillId="0" borderId="54" xfId="54" applyFont="1" applyFill="1" applyBorder="1" applyAlignment="1" applyProtection="1">
      <alignment vertical="center" wrapText="1"/>
      <protection locked="0"/>
    </xf>
    <xf numFmtId="0" fontId="21" fillId="0" borderId="54" xfId="54" applyFont="1" applyFill="1" applyBorder="1" applyAlignment="1" applyProtection="1">
      <alignment horizontal="center" vertical="center"/>
      <protection locked="0"/>
    </xf>
    <xf numFmtId="0" fontId="21" fillId="0" borderId="53" xfId="54" applyFont="1" applyFill="1" applyBorder="1" applyAlignment="1" applyProtection="1">
      <alignment horizontal="center" vertical="center"/>
      <protection locked="0"/>
    </xf>
    <xf numFmtId="0" fontId="21" fillId="0" borderId="53" xfId="54" applyFont="1" applyFill="1" applyBorder="1" applyAlignment="1" applyProtection="1">
      <alignment horizontal="center" vertical="center" wrapText="1"/>
      <protection locked="0"/>
    </xf>
    <xf numFmtId="0" fontId="13" fillId="0" borderId="0" xfId="52" applyAlignment="1">
      <alignment horizontal="left"/>
      <protection/>
    </xf>
    <xf numFmtId="0" fontId="23" fillId="0" borderId="13" xfId="52" applyFont="1" applyBorder="1" applyAlignment="1" applyProtection="1">
      <alignment horizontal="center" vertical="center" wrapText="1"/>
      <protection locked="0"/>
    </xf>
    <xf numFmtId="0" fontId="23" fillId="0" borderId="17" xfId="52" applyFont="1" applyBorder="1" applyAlignment="1" applyProtection="1">
      <alignment horizontal="center" vertical="center" wrapText="1"/>
      <protection locked="0"/>
    </xf>
    <xf numFmtId="0" fontId="23" fillId="0" borderId="22" xfId="52" applyFont="1" applyBorder="1" applyAlignment="1" applyProtection="1">
      <alignment horizontal="center" vertical="center" wrapText="1"/>
      <protection locked="0"/>
    </xf>
    <xf numFmtId="0" fontId="23" fillId="0" borderId="13" xfId="52" applyFont="1" applyBorder="1" applyAlignment="1" applyProtection="1">
      <alignment horizontal="center"/>
      <protection locked="0"/>
    </xf>
    <xf numFmtId="0" fontId="23" fillId="0" borderId="17" xfId="52" applyFont="1" applyBorder="1" applyAlignment="1" applyProtection="1">
      <alignment horizontal="center"/>
      <protection locked="0"/>
    </xf>
    <xf numFmtId="3" fontId="23" fillId="0" borderId="41" xfId="52" applyNumberFormat="1" applyFont="1" applyBorder="1" applyAlignment="1">
      <alignment vertical="center"/>
      <protection/>
    </xf>
    <xf numFmtId="3" fontId="23" fillId="0" borderId="40" xfId="52" applyNumberFormat="1" applyFont="1" applyBorder="1" applyAlignment="1">
      <alignment vertical="center"/>
      <protection/>
    </xf>
    <xf numFmtId="0" fontId="23" fillId="0" borderId="22" xfId="52" applyFont="1" applyBorder="1" applyAlignment="1" applyProtection="1">
      <alignment horizontal="center"/>
      <protection locked="0"/>
    </xf>
    <xf numFmtId="3" fontId="23" fillId="0" borderId="54" xfId="52" applyNumberFormat="1" applyFont="1" applyBorder="1" applyAlignment="1">
      <alignment vertical="center"/>
      <protection/>
    </xf>
    <xf numFmtId="3" fontId="23" fillId="0" borderId="53" xfId="52" applyNumberFormat="1" applyFont="1" applyBorder="1" applyAlignment="1">
      <alignment vertical="center"/>
      <protection/>
    </xf>
    <xf numFmtId="0" fontId="23" fillId="0" borderId="13" xfId="52" applyFont="1" applyBorder="1" applyAlignment="1">
      <alignment horizontal="center" vertical="center"/>
      <protection/>
    </xf>
    <xf numFmtId="0" fontId="23" fillId="0" borderId="17" xfId="52" applyFont="1" applyBorder="1" applyAlignment="1">
      <alignment horizontal="center" vertical="center"/>
      <protection/>
    </xf>
    <xf numFmtId="0" fontId="23" fillId="0" borderId="22" xfId="52" applyFont="1" applyBorder="1" applyAlignment="1">
      <alignment horizontal="center" vertical="center"/>
      <protection/>
    </xf>
    <xf numFmtId="0" fontId="23" fillId="0" borderId="10" xfId="52" applyFont="1" applyBorder="1" applyAlignment="1">
      <alignment horizontal="center" vertical="center"/>
      <protection/>
    </xf>
    <xf numFmtId="0" fontId="23" fillId="0" borderId="54" xfId="52" applyFont="1" applyBorder="1" applyAlignment="1">
      <alignment horizontal="center" vertical="center"/>
      <protection/>
    </xf>
    <xf numFmtId="0" fontId="23" fillId="0" borderId="53" xfId="52" applyFont="1" applyBorder="1" applyAlignment="1">
      <alignment horizontal="center" vertical="center"/>
      <protection/>
    </xf>
    <xf numFmtId="0" fontId="23" fillId="0" borderId="10" xfId="52" applyFont="1" applyBorder="1" applyAlignment="1" applyProtection="1">
      <alignment vertical="center" wrapText="1"/>
      <protection locked="0"/>
    </xf>
    <xf numFmtId="0" fontId="23" fillId="0" borderId="54" xfId="52" applyFont="1" applyBorder="1" applyAlignment="1" applyProtection="1">
      <alignment vertical="center" wrapText="1"/>
      <protection locked="0"/>
    </xf>
    <xf numFmtId="0" fontId="23" fillId="0" borderId="53" xfId="52" applyFont="1" applyBorder="1" applyAlignment="1" applyProtection="1">
      <alignment vertical="center" wrapText="1"/>
      <protection locked="0"/>
    </xf>
    <xf numFmtId="0" fontId="23" fillId="0" borderId="10" xfId="55" applyFont="1" applyBorder="1" applyAlignment="1">
      <alignment horizontal="center" vertical="center"/>
      <protection/>
    </xf>
    <xf numFmtId="0" fontId="23" fillId="0" borderId="54" xfId="55" applyFont="1" applyBorder="1" applyAlignment="1">
      <alignment horizontal="center" vertical="center"/>
      <protection/>
    </xf>
    <xf numFmtId="0" fontId="23" fillId="0" borderId="53" xfId="55" applyFont="1" applyBorder="1" applyAlignment="1">
      <alignment horizontal="center" vertical="center"/>
      <protection/>
    </xf>
    <xf numFmtId="0" fontId="23" fillId="0" borderId="10" xfId="52" applyFont="1" applyBorder="1" applyAlignment="1" applyProtection="1">
      <alignment horizontal="left" vertical="center" wrapText="1"/>
      <protection locked="0"/>
    </xf>
    <xf numFmtId="0" fontId="23" fillId="0" borderId="54" xfId="52" applyFont="1" applyBorder="1" applyAlignment="1" applyProtection="1">
      <alignment horizontal="left" vertical="center" wrapText="1"/>
      <protection locked="0"/>
    </xf>
    <xf numFmtId="0" fontId="23" fillId="0" borderId="53" xfId="52" applyFont="1" applyBorder="1" applyAlignment="1" applyProtection="1">
      <alignment horizontal="left" vertical="center" wrapText="1"/>
      <protection locked="0"/>
    </xf>
    <xf numFmtId="3" fontId="23" fillId="0" borderId="41" xfId="52" applyNumberFormat="1" applyFont="1" applyBorder="1" applyAlignment="1">
      <alignment horizontal="right" vertical="center"/>
      <protection/>
    </xf>
    <xf numFmtId="3" fontId="23" fillId="0" borderId="54" xfId="52" applyNumberFormat="1" applyFont="1" applyBorder="1" applyAlignment="1">
      <alignment horizontal="right" vertical="center"/>
      <protection/>
    </xf>
    <xf numFmtId="3" fontId="23" fillId="0" borderId="53" xfId="52" applyNumberFormat="1" applyFont="1" applyBorder="1" applyAlignment="1">
      <alignment horizontal="right" vertical="center"/>
      <protection/>
    </xf>
    <xf numFmtId="0" fontId="23" fillId="0" borderId="40" xfId="52" applyFont="1" applyBorder="1" applyAlignment="1" applyProtection="1">
      <alignment horizontal="center"/>
      <protection locked="0"/>
    </xf>
    <xf numFmtId="0" fontId="23" fillId="0" borderId="13" xfId="52" applyFont="1" applyFill="1" applyBorder="1" applyAlignment="1" applyProtection="1">
      <alignment vertical="center" wrapText="1"/>
      <protection locked="0"/>
    </xf>
    <xf numFmtId="0" fontId="23" fillId="0" borderId="17" xfId="52" applyFont="1" applyFill="1" applyBorder="1" applyAlignment="1" applyProtection="1">
      <alignment vertical="center" wrapText="1"/>
      <protection locked="0"/>
    </xf>
    <xf numFmtId="0" fontId="23" fillId="0" borderId="22" xfId="52" applyFont="1" applyFill="1" applyBorder="1" applyAlignment="1" applyProtection="1">
      <alignment vertical="center" wrapText="1"/>
      <protection locked="0"/>
    </xf>
    <xf numFmtId="0" fontId="23" fillId="0" borderId="39" xfId="52" applyFont="1" applyBorder="1" applyAlignment="1" applyProtection="1">
      <alignment horizontal="center" vertical="center" wrapText="1"/>
      <protection locked="0"/>
    </xf>
    <xf numFmtId="0" fontId="24" fillId="0" borderId="42" xfId="52" applyFont="1" applyBorder="1" applyAlignment="1">
      <alignment horizontal="left"/>
      <protection/>
    </xf>
    <xf numFmtId="0" fontId="24" fillId="0" borderId="18" xfId="52" applyFont="1" applyBorder="1" applyAlignment="1">
      <alignment horizontal="left"/>
      <protection/>
    </xf>
    <xf numFmtId="0" fontId="23" fillId="0" borderId="41" xfId="52" applyFont="1" applyBorder="1" applyAlignment="1" applyProtection="1">
      <alignment horizontal="center"/>
      <protection locked="0"/>
    </xf>
    <xf numFmtId="0" fontId="23" fillId="0" borderId="54" xfId="52" applyFont="1" applyBorder="1" applyAlignment="1" applyProtection="1">
      <alignment horizontal="center"/>
      <protection locked="0"/>
    </xf>
    <xf numFmtId="0" fontId="23" fillId="0" borderId="53" xfId="52" applyFont="1" applyBorder="1" applyAlignment="1" applyProtection="1">
      <alignment horizontal="center"/>
      <protection locked="0"/>
    </xf>
    <xf numFmtId="0" fontId="13" fillId="0" borderId="42" xfId="52" applyBorder="1" applyAlignment="1">
      <alignment horizontal="left"/>
      <protection/>
    </xf>
    <xf numFmtId="0" fontId="13" fillId="0" borderId="18" xfId="52" applyBorder="1" applyAlignment="1">
      <alignment horizontal="left"/>
      <protection/>
    </xf>
    <xf numFmtId="0" fontId="24" fillId="0" borderId="0" xfId="52" applyFont="1" applyAlignment="1">
      <alignment horizontal="center" vertical="center"/>
      <protection/>
    </xf>
    <xf numFmtId="0" fontId="23" fillId="0" borderId="39" xfId="52" applyFont="1" applyBorder="1" applyAlignment="1">
      <alignment horizontal="center" vertical="center"/>
      <protection/>
    </xf>
    <xf numFmtId="0" fontId="13" fillId="0" borderId="39" xfId="52" applyBorder="1" applyAlignment="1">
      <alignment horizontal="center" vertical="center"/>
      <protection/>
    </xf>
    <xf numFmtId="0" fontId="23" fillId="0" borderId="39" xfId="52" applyFont="1" applyBorder="1" applyAlignment="1">
      <alignment horizontal="center" vertical="center" wrapText="1"/>
      <protection/>
    </xf>
    <xf numFmtId="0" fontId="13" fillId="0" borderId="39" xfId="52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13" fillId="0" borderId="53" xfId="52" applyBorder="1" applyAlignment="1">
      <alignment horizontal="center" vertical="center" wrapText="1"/>
      <protection/>
    </xf>
    <xf numFmtId="0" fontId="23" fillId="0" borderId="53" xfId="52" applyFont="1" applyBorder="1" applyAlignment="1">
      <alignment horizontal="center" vertical="center" wrapText="1"/>
      <protection/>
    </xf>
    <xf numFmtId="0" fontId="23" fillId="0" borderId="59" xfId="52" applyFont="1" applyBorder="1" applyAlignment="1" applyProtection="1">
      <alignment vertical="center" wrapText="1"/>
      <protection locked="0"/>
    </xf>
    <xf numFmtId="0" fontId="23" fillId="0" borderId="60" xfId="52" applyFont="1" applyBorder="1" applyAlignment="1" applyProtection="1">
      <alignment vertical="center" wrapText="1"/>
      <protection locked="0"/>
    </xf>
    <xf numFmtId="0" fontId="23" fillId="0" borderId="61" xfId="52" applyFont="1" applyBorder="1" applyAlignment="1" applyProtection="1">
      <alignment vertical="center" wrapText="1"/>
      <protection locked="0"/>
    </xf>
    <xf numFmtId="0" fontId="23" fillId="0" borderId="40" xfId="52" applyFont="1" applyBorder="1" applyAlignment="1" applyProtection="1">
      <alignment horizontal="center" vertical="center" wrapText="1"/>
      <protection locked="0"/>
    </xf>
    <xf numFmtId="0" fontId="23" fillId="0" borderId="41" xfId="52" applyFont="1" applyBorder="1" applyAlignment="1" applyProtection="1">
      <alignment horizontal="center" vertical="center" wrapText="1"/>
      <protection locked="0"/>
    </xf>
    <xf numFmtId="0" fontId="23" fillId="0" borderId="10" xfId="52" applyFont="1" applyBorder="1" applyAlignment="1" applyProtection="1">
      <alignment horizontal="center"/>
      <protection locked="0"/>
    </xf>
    <xf numFmtId="0" fontId="23" fillId="0" borderId="40" xfId="52" applyFont="1" applyFill="1" applyBorder="1" applyAlignment="1" applyProtection="1">
      <alignment vertical="center" wrapText="1"/>
      <protection locked="0"/>
    </xf>
    <xf numFmtId="0" fontId="23" fillId="0" borderId="13" xfId="52" applyFont="1" applyBorder="1" applyAlignment="1" applyProtection="1">
      <alignment vertical="center" wrapText="1"/>
      <protection locked="0"/>
    </xf>
    <xf numFmtId="0" fontId="23" fillId="0" borderId="17" xfId="52" applyFont="1" applyBorder="1" applyAlignment="1" applyProtection="1">
      <alignment vertical="center" wrapText="1"/>
      <protection locked="0"/>
    </xf>
    <xf numFmtId="0" fontId="23" fillId="0" borderId="22" xfId="52" applyFont="1" applyBorder="1" applyAlignment="1" applyProtection="1">
      <alignment vertical="center" wrapText="1"/>
      <protection locked="0"/>
    </xf>
    <xf numFmtId="0" fontId="23" fillId="0" borderId="26" xfId="52" applyFont="1" applyFill="1" applyBorder="1" applyAlignment="1" applyProtection="1">
      <alignment vertical="center" wrapText="1"/>
      <protection locked="0"/>
    </xf>
    <xf numFmtId="0" fontId="23" fillId="0" borderId="16" xfId="52" applyFont="1" applyFill="1" applyBorder="1" applyAlignment="1" applyProtection="1">
      <alignment vertical="center" wrapText="1"/>
      <protection locked="0"/>
    </xf>
    <xf numFmtId="0" fontId="23" fillId="0" borderId="24" xfId="52" applyFont="1" applyFill="1" applyBorder="1" applyAlignment="1" applyProtection="1">
      <alignment vertical="center" wrapText="1"/>
      <protection locked="0"/>
    </xf>
    <xf numFmtId="0" fontId="23" fillId="0" borderId="40" xfId="52" applyFont="1" applyBorder="1" applyAlignment="1" applyProtection="1">
      <alignment vertical="center" wrapText="1"/>
      <protection locked="0"/>
    </xf>
    <xf numFmtId="3" fontId="23" fillId="0" borderId="21" xfId="52" applyNumberFormat="1" applyFont="1" applyBorder="1" applyAlignment="1">
      <alignment vertical="center"/>
      <protection/>
    </xf>
    <xf numFmtId="3" fontId="23" fillId="0" borderId="26" xfId="52" applyNumberFormat="1" applyFont="1" applyBorder="1" applyAlignment="1">
      <alignment vertical="center"/>
      <protection/>
    </xf>
    <xf numFmtId="3" fontId="23" fillId="0" borderId="60" xfId="52" applyNumberFormat="1" applyFont="1" applyBorder="1" applyAlignment="1">
      <alignment vertical="center"/>
      <protection/>
    </xf>
    <xf numFmtId="3" fontId="23" fillId="0" borderId="61" xfId="52" applyNumberFormat="1" applyFont="1" applyBorder="1" applyAlignment="1">
      <alignment vertical="center"/>
      <protection/>
    </xf>
    <xf numFmtId="0" fontId="23" fillId="0" borderId="62" xfId="52" applyFont="1" applyBorder="1" applyAlignment="1" applyProtection="1">
      <alignment vertical="center" wrapText="1"/>
      <protection locked="0"/>
    </xf>
    <xf numFmtId="0" fontId="23" fillId="0" borderId="43" xfId="52" applyFont="1" applyBorder="1" applyAlignment="1" applyProtection="1">
      <alignment vertical="center" wrapText="1"/>
      <protection locked="0"/>
    </xf>
    <xf numFmtId="0" fontId="23" fillId="0" borderId="63" xfId="52" applyFont="1" applyBorder="1" applyAlignment="1" applyProtection="1">
      <alignment vertical="center" wrapText="1"/>
      <protection locked="0"/>
    </xf>
    <xf numFmtId="0" fontId="23" fillId="0" borderId="40" xfId="52" applyFont="1" applyBorder="1" applyAlignment="1">
      <alignment horizontal="center" vertical="center"/>
      <protection/>
    </xf>
    <xf numFmtId="0" fontId="23" fillId="0" borderId="13" xfId="55" applyFont="1" applyBorder="1" applyAlignment="1">
      <alignment horizontal="center" vertical="center"/>
      <protection/>
    </xf>
    <xf numFmtId="0" fontId="23" fillId="0" borderId="17" xfId="55" applyFont="1" applyBorder="1" applyAlignment="1">
      <alignment horizontal="center" vertical="center"/>
      <protection/>
    </xf>
    <xf numFmtId="0" fontId="23" fillId="0" borderId="53" xfId="52" applyFont="1" applyBorder="1" applyAlignment="1" applyProtection="1">
      <alignment horizontal="center" vertical="center" wrapText="1"/>
      <protection locked="0"/>
    </xf>
    <xf numFmtId="0" fontId="23" fillId="0" borderId="54" xfId="52" applyFont="1" applyBorder="1" applyAlignment="1">
      <alignment horizontal="center" vertical="center" wrapText="1"/>
      <protection/>
    </xf>
    <xf numFmtId="0" fontId="23" fillId="0" borderId="10" xfId="52" applyFont="1" applyBorder="1" applyAlignment="1" applyProtection="1">
      <alignment horizontal="center" vertical="center" wrapText="1"/>
      <protection locked="0"/>
    </xf>
    <xf numFmtId="0" fontId="23" fillId="0" borderId="54" xfId="52" applyFont="1" applyBorder="1" applyAlignment="1" applyProtection="1">
      <alignment horizontal="center" vertical="center" wrapText="1"/>
      <protection locked="0"/>
    </xf>
    <xf numFmtId="0" fontId="23" fillId="0" borderId="39" xfId="52" applyFont="1" applyFill="1" applyBorder="1" applyAlignment="1" applyProtection="1">
      <alignment horizontal="center" vertical="center" wrapText="1"/>
      <protection locked="0"/>
    </xf>
    <xf numFmtId="3" fontId="23" fillId="0" borderId="41" xfId="52" applyNumberFormat="1" applyFont="1" applyFill="1" applyBorder="1" applyAlignment="1">
      <alignment vertical="center"/>
      <protection/>
    </xf>
    <xf numFmtId="3" fontId="23" fillId="0" borderId="40" xfId="52" applyNumberFormat="1" applyFont="1" applyFill="1" applyBorder="1" applyAlignment="1">
      <alignment vertical="center"/>
      <protection/>
    </xf>
    <xf numFmtId="0" fontId="23" fillId="0" borderId="17" xfId="52" applyFont="1" applyFill="1" applyBorder="1" applyAlignment="1" applyProtection="1">
      <alignment horizontal="center"/>
      <protection locked="0"/>
    </xf>
    <xf numFmtId="0" fontId="23" fillId="0" borderId="22" xfId="52" applyFont="1" applyFill="1" applyBorder="1" applyAlignment="1" applyProtection="1">
      <alignment horizontal="center"/>
      <protection locked="0"/>
    </xf>
    <xf numFmtId="3" fontId="23" fillId="0" borderId="54" xfId="52" applyNumberFormat="1" applyFont="1" applyFill="1" applyBorder="1" applyAlignment="1">
      <alignment vertical="center"/>
      <protection/>
    </xf>
    <xf numFmtId="3" fontId="23" fillId="0" borderId="53" xfId="52" applyNumberFormat="1" applyFont="1" applyFill="1" applyBorder="1" applyAlignment="1">
      <alignment vertical="center"/>
      <protection/>
    </xf>
    <xf numFmtId="0" fontId="23" fillId="0" borderId="13" xfId="52" applyFont="1" applyFill="1" applyBorder="1" applyAlignment="1" applyProtection="1">
      <alignment horizontal="center"/>
      <protection locked="0"/>
    </xf>
    <xf numFmtId="0" fontId="23" fillId="0" borderId="10" xfId="52" applyFont="1" applyFill="1" applyBorder="1" applyAlignment="1">
      <alignment horizontal="center" vertical="center"/>
      <protection/>
    </xf>
    <xf numFmtId="0" fontId="23" fillId="0" borderId="54" xfId="52" applyFont="1" applyFill="1" applyBorder="1" applyAlignment="1">
      <alignment horizontal="center" vertical="center"/>
      <protection/>
    </xf>
    <xf numFmtId="0" fontId="23" fillId="0" borderId="53" xfId="52" applyFont="1" applyFill="1" applyBorder="1" applyAlignment="1">
      <alignment horizontal="center" vertical="center"/>
      <protection/>
    </xf>
    <xf numFmtId="0" fontId="23" fillId="0" borderId="13" xfId="52" applyFont="1" applyFill="1" applyBorder="1" applyAlignment="1">
      <alignment horizontal="center" vertical="center"/>
      <protection/>
    </xf>
    <xf numFmtId="0" fontId="23" fillId="0" borderId="17" xfId="52" applyFont="1" applyFill="1" applyBorder="1" applyAlignment="1">
      <alignment horizontal="center" vertical="center"/>
      <protection/>
    </xf>
    <xf numFmtId="3" fontId="23" fillId="0" borderId="41" xfId="55" applyNumberFormat="1" applyFont="1" applyBorder="1" applyAlignment="1">
      <alignment vertical="center"/>
      <protection/>
    </xf>
    <xf numFmtId="3" fontId="23" fillId="0" borderId="40" xfId="55" applyNumberFormat="1" applyFont="1" applyBorder="1" applyAlignment="1">
      <alignment vertical="center"/>
      <protection/>
    </xf>
    <xf numFmtId="0" fontId="23" fillId="0" borderId="17" xfId="55" applyFont="1" applyBorder="1" applyAlignment="1" applyProtection="1">
      <alignment horizontal="center"/>
      <protection locked="0"/>
    </xf>
    <xf numFmtId="0" fontId="23" fillId="0" borderId="22" xfId="55" applyFont="1" applyBorder="1" applyAlignment="1" applyProtection="1">
      <alignment horizontal="center"/>
      <protection locked="0"/>
    </xf>
    <xf numFmtId="3" fontId="23" fillId="0" borderId="54" xfId="55" applyNumberFormat="1" applyFont="1" applyBorder="1" applyAlignment="1">
      <alignment vertical="center"/>
      <protection/>
    </xf>
    <xf numFmtId="3" fontId="23" fillId="0" borderId="53" xfId="55" applyNumberFormat="1" applyFont="1" applyBorder="1" applyAlignment="1">
      <alignment vertical="center"/>
      <protection/>
    </xf>
    <xf numFmtId="0" fontId="23" fillId="0" borderId="10" xfId="55" applyFont="1" applyFill="1" applyBorder="1" applyAlignment="1" applyProtection="1">
      <alignment vertical="center" wrapText="1"/>
      <protection locked="0"/>
    </xf>
    <xf numFmtId="0" fontId="23" fillId="0" borderId="54" xfId="55" applyFont="1" applyFill="1" applyBorder="1" applyAlignment="1" applyProtection="1">
      <alignment vertical="center" wrapText="1"/>
      <protection locked="0"/>
    </xf>
    <xf numFmtId="0" fontId="23" fillId="0" borderId="53" xfId="55" applyFont="1" applyFill="1" applyBorder="1" applyAlignment="1" applyProtection="1">
      <alignment vertical="center" wrapText="1"/>
      <protection locked="0"/>
    </xf>
    <xf numFmtId="0" fontId="23" fillId="0" borderId="13" xfId="55" applyFont="1" applyBorder="1" applyAlignment="1" applyProtection="1">
      <alignment horizontal="center" vertical="center" wrapText="1"/>
      <protection locked="0"/>
    </xf>
    <xf numFmtId="0" fontId="23" fillId="0" borderId="17" xfId="55" applyFont="1" applyBorder="1" applyAlignment="1" applyProtection="1">
      <alignment horizontal="center" vertical="center" wrapText="1"/>
      <protection locked="0"/>
    </xf>
    <xf numFmtId="0" fontId="23" fillId="0" borderId="22" xfId="55" applyFont="1" applyBorder="1" applyAlignment="1" applyProtection="1">
      <alignment horizontal="center" vertical="center" wrapText="1"/>
      <protection locked="0"/>
    </xf>
    <xf numFmtId="0" fontId="23" fillId="0" borderId="13" xfId="55" applyFont="1" applyBorder="1" applyAlignment="1" applyProtection="1">
      <alignment horizontal="center"/>
      <protection locked="0"/>
    </xf>
    <xf numFmtId="0" fontId="23" fillId="0" borderId="10" xfId="52" applyFont="1" applyFill="1" applyBorder="1" applyAlignment="1" applyProtection="1">
      <alignment vertical="center" wrapText="1"/>
      <protection locked="0"/>
    </xf>
    <xf numFmtId="0" fontId="23" fillId="0" borderId="54" xfId="52" applyFont="1" applyFill="1" applyBorder="1" applyAlignment="1" applyProtection="1">
      <alignment vertical="center" wrapText="1"/>
      <protection locked="0"/>
    </xf>
    <xf numFmtId="0" fontId="23" fillId="0" borderId="53" xfId="52" applyFont="1" applyFill="1" applyBorder="1" applyAlignment="1" applyProtection="1">
      <alignment vertical="center" wrapText="1"/>
      <protection locked="0"/>
    </xf>
    <xf numFmtId="3" fontId="23" fillId="0" borderId="41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23" fillId="0" borderId="41" xfId="0" applyFont="1" applyFill="1" applyBorder="1" applyAlignment="1" applyProtection="1">
      <alignment horizontal="center"/>
      <protection locked="0"/>
    </xf>
    <xf numFmtId="0" fontId="23" fillId="0" borderId="54" xfId="0" applyFont="1" applyFill="1" applyBorder="1" applyAlignment="1" applyProtection="1">
      <alignment horizontal="center"/>
      <protection locked="0"/>
    </xf>
    <xf numFmtId="0" fontId="23" fillId="0" borderId="53" xfId="0" applyFont="1" applyFill="1" applyBorder="1" applyAlignment="1" applyProtection="1">
      <alignment horizontal="center"/>
      <protection locked="0"/>
    </xf>
    <xf numFmtId="0" fontId="23" fillId="0" borderId="10" xfId="53" applyFont="1" applyFill="1" applyBorder="1" applyAlignment="1">
      <alignment horizontal="center" vertical="center"/>
      <protection/>
    </xf>
    <xf numFmtId="0" fontId="23" fillId="0" borderId="54" xfId="53" applyFont="1" applyFill="1" applyBorder="1" applyAlignment="1">
      <alignment horizontal="center" vertical="center"/>
      <protection/>
    </xf>
    <xf numFmtId="0" fontId="23" fillId="0" borderId="53" xfId="53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 applyProtection="1">
      <alignment vertical="center" wrapText="1"/>
      <protection locked="0"/>
    </xf>
    <xf numFmtId="0" fontId="23" fillId="0" borderId="54" xfId="0" applyFont="1" applyFill="1" applyBorder="1" applyAlignment="1" applyProtection="1">
      <alignment vertical="center" wrapText="1"/>
      <protection locked="0"/>
    </xf>
    <xf numFmtId="0" fontId="23" fillId="0" borderId="53" xfId="0" applyFont="1" applyFill="1" applyBorder="1" applyAlignment="1" applyProtection="1">
      <alignment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3" fillId="0" borderId="54" xfId="0" applyFont="1" applyFill="1" applyBorder="1" applyAlignment="1" applyProtection="1">
      <alignment horizontal="center" vertical="center"/>
      <protection locked="0"/>
    </xf>
    <xf numFmtId="0" fontId="23" fillId="0" borderId="53" xfId="0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54" xfId="0" applyFont="1" applyFill="1" applyBorder="1" applyAlignment="1" applyProtection="1">
      <alignment horizontal="center" vertical="center" wrapText="1"/>
      <protection locked="0"/>
    </xf>
    <xf numFmtId="0" fontId="23" fillId="0" borderId="53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/>
      <protection locked="0"/>
    </xf>
    <xf numFmtId="0" fontId="23" fillId="0" borderId="40" xfId="0" applyFont="1" applyFill="1" applyBorder="1" applyAlignment="1" applyProtection="1">
      <alignment horizontal="center"/>
      <protection locked="0"/>
    </xf>
    <xf numFmtId="0" fontId="23" fillId="0" borderId="10" xfId="53" applyFont="1" applyFill="1" applyBorder="1" applyAlignment="1" applyProtection="1">
      <alignment horizontal="center"/>
      <protection locked="0"/>
    </xf>
    <xf numFmtId="0" fontId="23" fillId="0" borderId="54" xfId="53" applyFont="1" applyFill="1" applyBorder="1" applyAlignment="1" applyProtection="1">
      <alignment horizontal="center"/>
      <protection locked="0"/>
    </xf>
    <xf numFmtId="0" fontId="23" fillId="0" borderId="40" xfId="53" applyFont="1" applyFill="1" applyBorder="1" applyAlignment="1" applyProtection="1">
      <alignment horizontal="center"/>
      <protection locked="0"/>
    </xf>
    <xf numFmtId="3" fontId="23" fillId="0" borderId="41" xfId="53" applyNumberFormat="1" applyFont="1" applyFill="1" applyBorder="1" applyAlignment="1">
      <alignment vertical="center"/>
      <protection/>
    </xf>
    <xf numFmtId="0" fontId="13" fillId="0" borderId="40" xfId="53" applyFont="1" applyFill="1" applyBorder="1" applyAlignment="1">
      <alignment vertical="center"/>
      <protection/>
    </xf>
    <xf numFmtId="0" fontId="23" fillId="0" borderId="41" xfId="53" applyFont="1" applyFill="1" applyBorder="1" applyAlignment="1" applyProtection="1">
      <alignment horizontal="center"/>
      <protection locked="0"/>
    </xf>
    <xf numFmtId="0" fontId="23" fillId="0" borderId="53" xfId="53" applyFont="1" applyFill="1" applyBorder="1" applyAlignment="1" applyProtection="1">
      <alignment horizontal="center"/>
      <protection locked="0"/>
    </xf>
    <xf numFmtId="0" fontId="23" fillId="0" borderId="54" xfId="53" applyFont="1" applyFill="1" applyBorder="1" applyAlignment="1" applyProtection="1">
      <alignment vertical="center" wrapText="1"/>
      <protection locked="0"/>
    </xf>
    <xf numFmtId="0" fontId="23" fillId="0" borderId="54" xfId="53" applyFont="1" applyFill="1" applyBorder="1" applyAlignment="1" applyProtection="1">
      <alignment horizontal="center" vertical="center"/>
      <protection locked="0"/>
    </xf>
    <xf numFmtId="0" fontId="23" fillId="0" borderId="10" xfId="53" applyFont="1" applyFill="1" applyBorder="1" applyAlignment="1" applyProtection="1">
      <alignment horizontal="center" vertical="center" wrapText="1"/>
      <protection locked="0"/>
    </xf>
    <xf numFmtId="0" fontId="23" fillId="0" borderId="54" xfId="53" applyFont="1" applyFill="1" applyBorder="1" applyAlignment="1" applyProtection="1">
      <alignment horizontal="center" vertical="center" wrapText="1"/>
      <protection locked="0"/>
    </xf>
    <xf numFmtId="0" fontId="23" fillId="0" borderId="10" xfId="53" applyFont="1" applyFill="1" applyBorder="1" applyAlignment="1" applyProtection="1">
      <alignment vertical="center" wrapText="1"/>
      <protection locked="0"/>
    </xf>
    <xf numFmtId="0" fontId="23" fillId="0" borderId="53" xfId="53" applyFont="1" applyFill="1" applyBorder="1" applyAlignment="1" applyProtection="1">
      <alignment vertical="center" wrapText="1"/>
      <protection locked="0"/>
    </xf>
    <xf numFmtId="0" fontId="23" fillId="0" borderId="10" xfId="53" applyFont="1" applyFill="1" applyBorder="1" applyAlignment="1" applyProtection="1">
      <alignment horizontal="center" vertical="center"/>
      <protection locked="0"/>
    </xf>
    <xf numFmtId="0" fontId="23" fillId="0" borderId="53" xfId="53" applyFont="1" applyFill="1" applyBorder="1" applyAlignment="1" applyProtection="1">
      <alignment horizontal="center" vertical="center"/>
      <protection locked="0"/>
    </xf>
    <xf numFmtId="0" fontId="23" fillId="0" borderId="53" xfId="53" applyFont="1" applyFill="1" applyBorder="1" applyAlignment="1" applyProtection="1">
      <alignment horizontal="center" vertical="center" wrapText="1"/>
      <protection locked="0"/>
    </xf>
    <xf numFmtId="0" fontId="23" fillId="0" borderId="0" xfId="53" applyFont="1" applyFill="1" applyBorder="1" applyAlignment="1">
      <alignment horizontal="center" vertical="center"/>
      <protection/>
    </xf>
    <xf numFmtId="0" fontId="23" fillId="0" borderId="0" xfId="53" applyFont="1" applyFill="1" applyBorder="1" applyAlignment="1" applyProtection="1">
      <alignment vertical="center" wrapText="1"/>
      <protection locked="0"/>
    </xf>
    <xf numFmtId="0" fontId="23" fillId="0" borderId="0" xfId="53" applyFont="1" applyFill="1" applyBorder="1" applyAlignment="1" applyProtection="1">
      <alignment horizontal="center" vertical="center"/>
      <protection locked="0"/>
    </xf>
    <xf numFmtId="0" fontId="23" fillId="0" borderId="0" xfId="53" applyFont="1" applyFill="1" applyBorder="1" applyAlignment="1" applyProtection="1">
      <alignment horizontal="center" vertical="center" wrapText="1"/>
      <protection locked="0"/>
    </xf>
    <xf numFmtId="0" fontId="23" fillId="0" borderId="0" xfId="53" applyFont="1" applyFill="1" applyBorder="1" applyAlignment="1" applyProtection="1">
      <alignment horizontal="center"/>
      <protection locked="0"/>
    </xf>
    <xf numFmtId="3" fontId="23" fillId="0" borderId="0" xfId="53" applyNumberFormat="1" applyFont="1" applyFill="1" applyBorder="1" applyAlignment="1">
      <alignment vertical="center"/>
      <protection/>
    </xf>
    <xf numFmtId="0" fontId="13" fillId="0" borderId="0" xfId="53" applyFont="1" applyFill="1" applyBorder="1" applyAlignment="1">
      <alignment vertical="center"/>
      <protection/>
    </xf>
    <xf numFmtId="0" fontId="23" fillId="0" borderId="52" xfId="53" applyFont="1" applyFill="1" applyBorder="1" applyAlignment="1">
      <alignment horizontal="center" vertical="center"/>
      <protection/>
    </xf>
    <xf numFmtId="0" fontId="23" fillId="0" borderId="46" xfId="53" applyFont="1" applyFill="1" applyBorder="1" applyAlignment="1">
      <alignment horizontal="center" vertical="center"/>
      <protection/>
    </xf>
    <xf numFmtId="0" fontId="23" fillId="0" borderId="59" xfId="53" applyFont="1" applyFill="1" applyBorder="1" applyAlignment="1">
      <alignment horizontal="center" vertical="center"/>
      <protection/>
    </xf>
    <xf numFmtId="0" fontId="23" fillId="0" borderId="50" xfId="53" applyFont="1" applyFill="1" applyBorder="1" applyAlignment="1">
      <alignment horizontal="center" vertical="center"/>
      <protection/>
    </xf>
    <xf numFmtId="0" fontId="23" fillId="0" borderId="60" xfId="53" applyFont="1" applyFill="1" applyBorder="1" applyAlignment="1">
      <alignment horizontal="center" vertical="center"/>
      <protection/>
    </xf>
    <xf numFmtId="0" fontId="23" fillId="0" borderId="57" xfId="53" applyFont="1" applyFill="1" applyBorder="1" applyAlignment="1">
      <alignment horizontal="center" vertical="center"/>
      <protection/>
    </xf>
    <xf numFmtId="0" fontId="23" fillId="0" borderId="51" xfId="53" applyFont="1" applyFill="1" applyBorder="1" applyAlignment="1">
      <alignment horizontal="center" vertical="center"/>
      <protection/>
    </xf>
    <xf numFmtId="0" fontId="23" fillId="0" borderId="61" xfId="53" applyFont="1" applyFill="1" applyBorder="1" applyAlignment="1">
      <alignment horizontal="center" vertical="center"/>
      <protection/>
    </xf>
    <xf numFmtId="0" fontId="33" fillId="0" borderId="10" xfId="53" applyFont="1" applyFill="1" applyBorder="1" applyAlignment="1" applyProtection="1">
      <alignment vertical="center" wrapText="1"/>
      <protection locked="0"/>
    </xf>
    <xf numFmtId="0" fontId="33" fillId="0" borderId="54" xfId="53" applyFont="1" applyFill="1" applyBorder="1" applyAlignment="1" applyProtection="1">
      <alignment vertical="center" wrapText="1"/>
      <protection locked="0"/>
    </xf>
    <xf numFmtId="0" fontId="33" fillId="0" borderId="53" xfId="53" applyFont="1" applyFill="1" applyBorder="1" applyAlignment="1" applyProtection="1">
      <alignment vertical="center" wrapText="1"/>
      <protection locked="0"/>
    </xf>
    <xf numFmtId="3" fontId="23" fillId="0" borderId="40" xfId="53" applyNumberFormat="1" applyFont="1" applyFill="1" applyBorder="1" applyAlignment="1">
      <alignment vertical="center"/>
      <protection/>
    </xf>
    <xf numFmtId="0" fontId="23" fillId="24" borderId="54" xfId="53" applyFont="1" applyFill="1" applyBorder="1" applyAlignment="1" applyProtection="1">
      <alignment vertical="center" wrapText="1"/>
      <protection locked="0"/>
    </xf>
    <xf numFmtId="0" fontId="23" fillId="24" borderId="53" xfId="53" applyFont="1" applyFill="1" applyBorder="1" applyAlignment="1" applyProtection="1">
      <alignment vertical="center" wrapText="1"/>
      <protection locked="0"/>
    </xf>
    <xf numFmtId="0" fontId="24" fillId="0" borderId="51" xfId="0" applyFont="1" applyFill="1" applyBorder="1" applyAlignment="1">
      <alignment horizontal="center" vertical="center"/>
    </xf>
    <xf numFmtId="0" fontId="23" fillId="0" borderId="39" xfId="53" applyFont="1" applyFill="1" applyBorder="1" applyAlignment="1">
      <alignment vertical="center"/>
      <protection/>
    </xf>
    <xf numFmtId="0" fontId="13" fillId="0" borderId="39" xfId="53" applyFont="1" applyFill="1" applyBorder="1" applyAlignment="1">
      <alignment vertical="center"/>
      <protection/>
    </xf>
    <xf numFmtId="0" fontId="23" fillId="0" borderId="39" xfId="53" applyFont="1" applyFill="1" applyBorder="1" applyAlignment="1">
      <alignment vertical="center" wrapText="1"/>
      <protection/>
    </xf>
    <xf numFmtId="0" fontId="13" fillId="0" borderId="39" xfId="53" applyFont="1" applyFill="1" applyBorder="1" applyAlignment="1">
      <alignment vertical="center" wrapText="1"/>
      <protection/>
    </xf>
    <xf numFmtId="0" fontId="23" fillId="0" borderId="10" xfId="53" applyFont="1" applyFill="1" applyBorder="1" applyAlignment="1">
      <alignment horizontal="center" vertical="center" wrapText="1"/>
      <protection/>
    </xf>
    <xf numFmtId="0" fontId="13" fillId="0" borderId="53" xfId="53" applyFill="1" applyBorder="1" applyAlignment="1">
      <alignment horizontal="center" vertical="center" wrapText="1"/>
      <protection/>
    </xf>
    <xf numFmtId="0" fontId="23" fillId="0" borderId="39" xfId="53" applyFont="1" applyFill="1" applyBorder="1" applyAlignment="1">
      <alignment horizontal="center" vertical="center" wrapText="1"/>
      <protection/>
    </xf>
    <xf numFmtId="0" fontId="13" fillId="0" borderId="39" xfId="53" applyFont="1" applyFill="1" applyBorder="1" applyAlignment="1">
      <alignment horizontal="center" vertical="center"/>
      <protection/>
    </xf>
    <xf numFmtId="0" fontId="23" fillId="0" borderId="13" xfId="53" applyFont="1" applyFill="1" applyBorder="1" applyAlignment="1">
      <alignment horizontal="center" vertical="center"/>
      <protection/>
    </xf>
    <xf numFmtId="0" fontId="23" fillId="0" borderId="22" xfId="53" applyFont="1" applyFill="1" applyBorder="1" applyAlignment="1">
      <alignment horizontal="center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Informacja o realizacji 2011r." xfId="52"/>
    <cellStyle name="Normalny_przedsięwzięcia pozostałe do WPF ASIA" xfId="53"/>
    <cellStyle name="Normalny_WPF na 2011 rok (pozostałe)" xfId="54"/>
    <cellStyle name="Normalny_WPF na wrzesień 2011 AUTOPOPRAWKA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0"/>
  <sheetViews>
    <sheetView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38" sqref="C38:C43"/>
    </sheetView>
  </sheetViews>
  <sheetFormatPr defaultColWidth="9.00390625" defaultRowHeight="12.75"/>
  <cols>
    <col min="1" max="1" width="4.25390625" style="1" customWidth="1"/>
    <col min="2" max="2" width="41.375" style="1" customWidth="1"/>
    <col min="3" max="3" width="8.375" style="1" customWidth="1"/>
    <col min="4" max="4" width="16.125" style="2" customWidth="1"/>
    <col min="5" max="5" width="9.00390625" style="3" customWidth="1"/>
    <col min="6" max="6" width="12.875" style="1" customWidth="1"/>
    <col min="7" max="7" width="13.00390625" style="1" customWidth="1"/>
    <col min="8" max="8" width="12.625" style="1" customWidth="1"/>
    <col min="9" max="9" width="11.875" style="1" customWidth="1"/>
    <col min="10" max="10" width="11.625" style="1" customWidth="1"/>
    <col min="11" max="11" width="11.25390625" style="1" customWidth="1"/>
    <col min="12" max="12" width="9.875" style="1" customWidth="1"/>
    <col min="13" max="16384" width="9.125" style="1" customWidth="1"/>
  </cols>
  <sheetData>
    <row r="1" spans="1:12" ht="33" customHeight="1">
      <c r="A1" s="292" t="s">
        <v>73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2" ht="22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ht="12.75">
      <c r="L3" s="4" t="s">
        <v>72</v>
      </c>
    </row>
    <row r="4" spans="2:12" ht="32.25" customHeight="1" thickBot="1">
      <c r="B4" s="282" t="s">
        <v>0</v>
      </c>
      <c r="C4" s="282"/>
      <c r="D4" s="282"/>
      <c r="E4" s="282"/>
      <c r="F4" s="282"/>
      <c r="G4" s="282"/>
      <c r="H4" s="282"/>
      <c r="I4" s="283"/>
      <c r="J4" s="282"/>
      <c r="K4" s="282"/>
      <c r="L4" s="282"/>
    </row>
    <row r="5" spans="1:12" s="3" customFormat="1" ht="16.5" customHeight="1" thickBot="1">
      <c r="A5" s="320" t="s">
        <v>1</v>
      </c>
      <c r="B5" s="317" t="s">
        <v>2</v>
      </c>
      <c r="C5" s="317" t="s">
        <v>3</v>
      </c>
      <c r="D5" s="321" t="s">
        <v>4</v>
      </c>
      <c r="E5" s="317" t="s">
        <v>5</v>
      </c>
      <c r="F5" s="317" t="s">
        <v>6</v>
      </c>
      <c r="G5" s="317" t="s">
        <v>7</v>
      </c>
      <c r="H5" s="317" t="s">
        <v>8</v>
      </c>
      <c r="I5" s="317" t="s">
        <v>9</v>
      </c>
      <c r="J5" s="317" t="s">
        <v>10</v>
      </c>
      <c r="K5" s="317" t="s">
        <v>11</v>
      </c>
      <c r="L5" s="317" t="s">
        <v>12</v>
      </c>
    </row>
    <row r="6" spans="1:12" s="3" customFormat="1" ht="28.5" customHeight="1" thickBot="1">
      <c r="A6" s="319"/>
      <c r="B6" s="318"/>
      <c r="C6" s="319"/>
      <c r="D6" s="322"/>
      <c r="E6" s="319"/>
      <c r="F6" s="319"/>
      <c r="G6" s="318"/>
      <c r="H6" s="318"/>
      <c r="I6" s="318"/>
      <c r="J6" s="318"/>
      <c r="K6" s="318"/>
      <c r="L6" s="318"/>
    </row>
    <row r="7" spans="1:12" s="7" customFormat="1" ht="15" customHeight="1" thickBot="1">
      <c r="A7" s="5">
        <v>1</v>
      </c>
      <c r="B7" s="6">
        <v>2</v>
      </c>
      <c r="C7" s="5">
        <v>3</v>
      </c>
      <c r="D7" s="6">
        <v>4</v>
      </c>
      <c r="E7" s="5">
        <v>5</v>
      </c>
      <c r="F7" s="6">
        <v>6</v>
      </c>
      <c r="G7" s="5">
        <v>7</v>
      </c>
      <c r="H7" s="6">
        <v>8</v>
      </c>
      <c r="I7" s="5">
        <v>9</v>
      </c>
      <c r="J7" s="6">
        <v>10</v>
      </c>
      <c r="K7" s="5">
        <v>11</v>
      </c>
      <c r="L7" s="6">
        <v>12</v>
      </c>
    </row>
    <row r="8" spans="1:12" s="13" customFormat="1" ht="12.75">
      <c r="A8" s="299">
        <v>1</v>
      </c>
      <c r="B8" s="291" t="s">
        <v>13</v>
      </c>
      <c r="C8" s="288">
        <v>60004</v>
      </c>
      <c r="D8" s="324" t="s">
        <v>14</v>
      </c>
      <c r="E8" s="295"/>
      <c r="F8" s="8" t="s">
        <v>15</v>
      </c>
      <c r="G8" s="9" t="s">
        <v>16</v>
      </c>
      <c r="H8" s="10"/>
      <c r="I8" s="11">
        <v>139826904.62</v>
      </c>
      <c r="J8" s="11">
        <v>139826904.62</v>
      </c>
      <c r="K8" s="12">
        <f>H8+J8</f>
        <v>139826904.62</v>
      </c>
      <c r="L8" s="35">
        <f>K8/F9</f>
        <v>0.10692814781330354</v>
      </c>
    </row>
    <row r="9" spans="1:12" s="13" customFormat="1" ht="12.75">
      <c r="A9" s="300"/>
      <c r="B9" s="286"/>
      <c r="C9" s="327"/>
      <c r="D9" s="325"/>
      <c r="E9" s="296"/>
      <c r="F9" s="14">
        <v>1307671623.23</v>
      </c>
      <c r="G9" s="15" t="s">
        <v>17</v>
      </c>
      <c r="H9" s="16"/>
      <c r="I9" s="17"/>
      <c r="J9" s="18"/>
      <c r="K9" s="18"/>
      <c r="L9" s="19"/>
    </row>
    <row r="10" spans="1:12" s="13" customFormat="1" ht="12.75">
      <c r="A10" s="300"/>
      <c r="B10" s="286"/>
      <c r="C10" s="327"/>
      <c r="D10" s="325"/>
      <c r="E10" s="323"/>
      <c r="F10" s="14" t="s">
        <v>18</v>
      </c>
      <c r="G10" s="15" t="s">
        <v>19</v>
      </c>
      <c r="H10" s="16"/>
      <c r="I10" s="17"/>
      <c r="J10" s="18"/>
      <c r="K10" s="18"/>
      <c r="L10" s="19"/>
    </row>
    <row r="11" spans="1:12" s="13" customFormat="1" ht="12.75">
      <c r="A11" s="300"/>
      <c r="B11" s="286"/>
      <c r="C11" s="327"/>
      <c r="D11" s="325"/>
      <c r="E11" s="297" t="s">
        <v>20</v>
      </c>
      <c r="F11" s="14">
        <v>0</v>
      </c>
      <c r="G11" s="15" t="s">
        <v>21</v>
      </c>
      <c r="H11" s="16"/>
      <c r="I11" s="17"/>
      <c r="J11" s="18"/>
      <c r="K11" s="18"/>
      <c r="L11" s="19"/>
    </row>
    <row r="12" spans="1:12" s="13" customFormat="1" ht="12.75">
      <c r="A12" s="300"/>
      <c r="B12" s="286"/>
      <c r="C12" s="327"/>
      <c r="D12" s="325"/>
      <c r="E12" s="296"/>
      <c r="F12" s="14" t="s">
        <v>22</v>
      </c>
      <c r="G12" s="15" t="s">
        <v>23</v>
      </c>
      <c r="H12" s="20">
        <f aca="true" t="shared" si="0" ref="H12:J13">H8+H10</f>
        <v>0</v>
      </c>
      <c r="I12" s="21">
        <f t="shared" si="0"/>
        <v>139826904.62</v>
      </c>
      <c r="J12" s="21">
        <f t="shared" si="0"/>
        <v>139826904.62</v>
      </c>
      <c r="K12" s="21">
        <f>K8+K10</f>
        <v>139826904.62</v>
      </c>
      <c r="L12" s="36">
        <f>K12/F9</f>
        <v>0.10692814781330354</v>
      </c>
    </row>
    <row r="13" spans="1:12" s="13" customFormat="1" ht="13.5" thickBot="1">
      <c r="A13" s="300"/>
      <c r="B13" s="286"/>
      <c r="C13" s="328"/>
      <c r="D13" s="325"/>
      <c r="E13" s="296"/>
      <c r="F13" s="22">
        <v>1307671623.23</v>
      </c>
      <c r="G13" s="23" t="s">
        <v>24</v>
      </c>
      <c r="H13" s="24">
        <f t="shared" si="0"/>
        <v>0</v>
      </c>
      <c r="I13" s="42">
        <f t="shared" si="0"/>
        <v>0</v>
      </c>
      <c r="J13" s="43">
        <f t="shared" si="0"/>
        <v>0</v>
      </c>
      <c r="K13" s="43">
        <f>K9+K11</f>
        <v>0</v>
      </c>
      <c r="L13" s="25"/>
    </row>
    <row r="14" spans="1:12" s="13" customFormat="1" ht="12.75">
      <c r="A14" s="299">
        <v>2</v>
      </c>
      <c r="B14" s="291" t="s">
        <v>25</v>
      </c>
      <c r="C14" s="288">
        <v>60004</v>
      </c>
      <c r="D14" s="324" t="s">
        <v>14</v>
      </c>
      <c r="E14" s="295"/>
      <c r="F14" s="8" t="s">
        <v>15</v>
      </c>
      <c r="G14" s="9" t="s">
        <v>16</v>
      </c>
      <c r="H14" s="10"/>
      <c r="I14" s="11">
        <v>649124</v>
      </c>
      <c r="J14" s="11">
        <v>649124</v>
      </c>
      <c r="K14" s="12">
        <f>H14+J14</f>
        <v>649124</v>
      </c>
      <c r="L14" s="35">
        <f>K14/F15</f>
        <v>0.36156692890579223</v>
      </c>
    </row>
    <row r="15" spans="1:12" s="13" customFormat="1" ht="12.75">
      <c r="A15" s="300"/>
      <c r="B15" s="286"/>
      <c r="C15" s="327"/>
      <c r="D15" s="325"/>
      <c r="E15" s="296"/>
      <c r="F15" s="14">
        <v>1795308</v>
      </c>
      <c r="G15" s="15" t="s">
        <v>17</v>
      </c>
      <c r="H15" s="16"/>
      <c r="I15" s="17"/>
      <c r="J15" s="18"/>
      <c r="K15" s="18"/>
      <c r="L15" s="19"/>
    </row>
    <row r="16" spans="1:12" s="13" customFormat="1" ht="12.75">
      <c r="A16" s="300"/>
      <c r="B16" s="286"/>
      <c r="C16" s="327"/>
      <c r="D16" s="325"/>
      <c r="E16" s="323"/>
      <c r="F16" s="14" t="s">
        <v>18</v>
      </c>
      <c r="G16" s="15" t="s">
        <v>19</v>
      </c>
      <c r="H16" s="16"/>
      <c r="I16" s="17"/>
      <c r="J16" s="18"/>
      <c r="K16" s="18"/>
      <c r="L16" s="19"/>
    </row>
    <row r="17" spans="1:12" s="13" customFormat="1" ht="12.75">
      <c r="A17" s="300"/>
      <c r="B17" s="286"/>
      <c r="C17" s="327"/>
      <c r="D17" s="325"/>
      <c r="E17" s="297" t="s">
        <v>26</v>
      </c>
      <c r="F17" s="14">
        <v>0</v>
      </c>
      <c r="G17" s="15" t="s">
        <v>21</v>
      </c>
      <c r="H17" s="16"/>
      <c r="I17" s="17"/>
      <c r="J17" s="18"/>
      <c r="K17" s="18"/>
      <c r="L17" s="19"/>
    </row>
    <row r="18" spans="1:12" s="13" customFormat="1" ht="12.75">
      <c r="A18" s="300"/>
      <c r="B18" s="286"/>
      <c r="C18" s="327"/>
      <c r="D18" s="325"/>
      <c r="E18" s="296"/>
      <c r="F18" s="14" t="s">
        <v>22</v>
      </c>
      <c r="G18" s="15" t="s">
        <v>23</v>
      </c>
      <c r="H18" s="20">
        <f aca="true" t="shared" si="1" ref="H18:J19">H14+H16</f>
        <v>0</v>
      </c>
      <c r="I18" s="26">
        <f t="shared" si="1"/>
        <v>649124</v>
      </c>
      <c r="J18" s="21">
        <f t="shared" si="1"/>
        <v>649124</v>
      </c>
      <c r="K18" s="21">
        <f>K14+K16</f>
        <v>649124</v>
      </c>
      <c r="L18" s="36">
        <f>K18/F15</f>
        <v>0.36156692890579223</v>
      </c>
    </row>
    <row r="19" spans="1:12" s="13" customFormat="1" ht="13.5" thickBot="1">
      <c r="A19" s="290"/>
      <c r="B19" s="287"/>
      <c r="C19" s="328"/>
      <c r="D19" s="325"/>
      <c r="E19" s="298"/>
      <c r="F19" s="22">
        <v>1795308</v>
      </c>
      <c r="G19" s="27" t="s">
        <v>24</v>
      </c>
      <c r="H19" s="24">
        <f t="shared" si="1"/>
        <v>0</v>
      </c>
      <c r="I19" s="28">
        <f t="shared" si="1"/>
        <v>0</v>
      </c>
      <c r="J19" s="29">
        <f t="shared" si="1"/>
        <v>0</v>
      </c>
      <c r="K19" s="29">
        <f>K15+K17</f>
        <v>0</v>
      </c>
      <c r="L19" s="25"/>
    </row>
    <row r="20" spans="1:12" s="13" customFormat="1" ht="12.75">
      <c r="A20" s="299">
        <v>3</v>
      </c>
      <c r="B20" s="326" t="s">
        <v>27</v>
      </c>
      <c r="C20" s="288">
        <v>60004</v>
      </c>
      <c r="D20" s="324" t="s">
        <v>14</v>
      </c>
      <c r="E20" s="295"/>
      <c r="F20" s="8" t="s">
        <v>15</v>
      </c>
      <c r="G20" s="30" t="s">
        <v>16</v>
      </c>
      <c r="H20" s="10"/>
      <c r="I20" s="44">
        <v>174216</v>
      </c>
      <c r="J20" s="44">
        <v>174216</v>
      </c>
      <c r="K20" s="12">
        <f>H20+J20</f>
        <v>174216</v>
      </c>
      <c r="L20" s="35">
        <f>K20/F21</f>
        <v>0.4450007152052639</v>
      </c>
    </row>
    <row r="21" spans="1:12" s="13" customFormat="1" ht="12.75">
      <c r="A21" s="300"/>
      <c r="B21" s="286"/>
      <c r="C21" s="327"/>
      <c r="D21" s="325"/>
      <c r="E21" s="296"/>
      <c r="F21" s="14">
        <v>391496</v>
      </c>
      <c r="G21" s="15" t="s">
        <v>17</v>
      </c>
      <c r="H21" s="16"/>
      <c r="I21" s="17"/>
      <c r="J21" s="18"/>
      <c r="K21" s="18"/>
      <c r="L21" s="19"/>
    </row>
    <row r="22" spans="1:12" s="13" customFormat="1" ht="12.75">
      <c r="A22" s="300"/>
      <c r="B22" s="286"/>
      <c r="C22" s="327"/>
      <c r="D22" s="325"/>
      <c r="E22" s="323"/>
      <c r="F22" s="14" t="s">
        <v>18</v>
      </c>
      <c r="G22" s="15" t="s">
        <v>19</v>
      </c>
      <c r="H22" s="16"/>
      <c r="I22" s="17"/>
      <c r="J22" s="18"/>
      <c r="K22" s="18"/>
      <c r="L22" s="19"/>
    </row>
    <row r="23" spans="1:12" s="13" customFormat="1" ht="12.75">
      <c r="A23" s="300"/>
      <c r="B23" s="286"/>
      <c r="C23" s="327"/>
      <c r="D23" s="325"/>
      <c r="E23" s="297" t="s">
        <v>26</v>
      </c>
      <c r="F23" s="14">
        <v>0</v>
      </c>
      <c r="G23" s="15" t="s">
        <v>21</v>
      </c>
      <c r="H23" s="16"/>
      <c r="I23" s="17"/>
      <c r="J23" s="18"/>
      <c r="K23" s="18"/>
      <c r="L23" s="19"/>
    </row>
    <row r="24" spans="1:12" s="13" customFormat="1" ht="12.75">
      <c r="A24" s="300"/>
      <c r="B24" s="286"/>
      <c r="C24" s="327"/>
      <c r="D24" s="325"/>
      <c r="E24" s="296"/>
      <c r="F24" s="14" t="s">
        <v>22</v>
      </c>
      <c r="G24" s="15" t="s">
        <v>23</v>
      </c>
      <c r="H24" s="20">
        <f aca="true" t="shared" si="2" ref="H24:J25">H20+H22</f>
        <v>0</v>
      </c>
      <c r="I24" s="26">
        <f t="shared" si="2"/>
        <v>174216</v>
      </c>
      <c r="J24" s="21">
        <f t="shared" si="2"/>
        <v>174216</v>
      </c>
      <c r="K24" s="21">
        <f>K20+K22</f>
        <v>174216</v>
      </c>
      <c r="L24" s="36">
        <f>K24/F21</f>
        <v>0.4450007152052639</v>
      </c>
    </row>
    <row r="25" spans="1:12" s="13" customFormat="1" ht="13.5" thickBot="1">
      <c r="A25" s="300"/>
      <c r="B25" s="286"/>
      <c r="C25" s="328"/>
      <c r="D25" s="325"/>
      <c r="E25" s="296"/>
      <c r="F25" s="22">
        <v>391496</v>
      </c>
      <c r="G25" s="23" t="s">
        <v>24</v>
      </c>
      <c r="H25" s="24">
        <f t="shared" si="2"/>
        <v>0</v>
      </c>
      <c r="I25" s="42">
        <f t="shared" si="2"/>
        <v>0</v>
      </c>
      <c r="J25" s="43">
        <f t="shared" si="2"/>
        <v>0</v>
      </c>
      <c r="K25" s="43">
        <f>K21+K23</f>
        <v>0</v>
      </c>
      <c r="L25" s="25"/>
    </row>
    <row r="26" spans="1:12" s="13" customFormat="1" ht="12.75">
      <c r="A26" s="299">
        <v>4</v>
      </c>
      <c r="B26" s="291" t="s">
        <v>28</v>
      </c>
      <c r="C26" s="288">
        <v>60004</v>
      </c>
      <c r="D26" s="324" t="s">
        <v>14</v>
      </c>
      <c r="E26" s="295"/>
      <c r="F26" s="8" t="s">
        <v>15</v>
      </c>
      <c r="G26" s="9" t="s">
        <v>16</v>
      </c>
      <c r="H26" s="10"/>
      <c r="I26" s="11">
        <v>376334</v>
      </c>
      <c r="J26" s="11">
        <v>376334</v>
      </c>
      <c r="K26" s="12">
        <f>H26+J26</f>
        <v>376334</v>
      </c>
      <c r="L26" s="35">
        <f>K26/F27</f>
        <v>0.5229795607535339</v>
      </c>
    </row>
    <row r="27" spans="1:12" s="13" customFormat="1" ht="12.75">
      <c r="A27" s="300"/>
      <c r="B27" s="286"/>
      <c r="C27" s="327"/>
      <c r="D27" s="325"/>
      <c r="E27" s="296"/>
      <c r="F27" s="14">
        <v>719596</v>
      </c>
      <c r="G27" s="15" t="s">
        <v>17</v>
      </c>
      <c r="H27" s="16"/>
      <c r="I27" s="17"/>
      <c r="J27" s="18"/>
      <c r="K27" s="18"/>
      <c r="L27" s="19"/>
    </row>
    <row r="28" spans="1:12" s="13" customFormat="1" ht="12.75">
      <c r="A28" s="300"/>
      <c r="B28" s="286"/>
      <c r="C28" s="327"/>
      <c r="D28" s="325"/>
      <c r="E28" s="323"/>
      <c r="F28" s="14" t="s">
        <v>18</v>
      </c>
      <c r="G28" s="15" t="s">
        <v>19</v>
      </c>
      <c r="H28" s="16"/>
      <c r="I28" s="17"/>
      <c r="J28" s="18"/>
      <c r="K28" s="18"/>
      <c r="L28" s="19"/>
    </row>
    <row r="29" spans="1:12" s="13" customFormat="1" ht="12.75">
      <c r="A29" s="300"/>
      <c r="B29" s="286"/>
      <c r="C29" s="327"/>
      <c r="D29" s="325"/>
      <c r="E29" s="297" t="s">
        <v>26</v>
      </c>
      <c r="F29" s="14">
        <v>0</v>
      </c>
      <c r="G29" s="15" t="s">
        <v>21</v>
      </c>
      <c r="H29" s="16"/>
      <c r="I29" s="17"/>
      <c r="J29" s="18"/>
      <c r="K29" s="18"/>
      <c r="L29" s="19"/>
    </row>
    <row r="30" spans="1:12" s="13" customFormat="1" ht="12.75">
      <c r="A30" s="300"/>
      <c r="B30" s="286"/>
      <c r="C30" s="327"/>
      <c r="D30" s="325"/>
      <c r="E30" s="296"/>
      <c r="F30" s="14" t="s">
        <v>22</v>
      </c>
      <c r="G30" s="15" t="s">
        <v>23</v>
      </c>
      <c r="H30" s="20">
        <f aca="true" t="shared" si="3" ref="H30:J31">H26+H28</f>
        <v>0</v>
      </c>
      <c r="I30" s="26">
        <f t="shared" si="3"/>
        <v>376334</v>
      </c>
      <c r="J30" s="21">
        <f t="shared" si="3"/>
        <v>376334</v>
      </c>
      <c r="K30" s="21">
        <f>K26+K28</f>
        <v>376334</v>
      </c>
      <c r="L30" s="36">
        <f>K30/F27</f>
        <v>0.5229795607535339</v>
      </c>
    </row>
    <row r="31" spans="1:12" s="13" customFormat="1" ht="13.5" thickBot="1">
      <c r="A31" s="290"/>
      <c r="B31" s="287"/>
      <c r="C31" s="328"/>
      <c r="D31" s="325"/>
      <c r="E31" s="298"/>
      <c r="F31" s="22">
        <v>719596</v>
      </c>
      <c r="G31" s="27" t="s">
        <v>24</v>
      </c>
      <c r="H31" s="24">
        <f t="shared" si="3"/>
        <v>0</v>
      </c>
      <c r="I31" s="28">
        <f t="shared" si="3"/>
        <v>0</v>
      </c>
      <c r="J31" s="29">
        <f t="shared" si="3"/>
        <v>0</v>
      </c>
      <c r="K31" s="29">
        <f>K27+K29</f>
        <v>0</v>
      </c>
      <c r="L31" s="25"/>
    </row>
    <row r="32" spans="1:12" s="13" customFormat="1" ht="12.75">
      <c r="A32" s="299">
        <v>5</v>
      </c>
      <c r="B32" s="326" t="s">
        <v>29</v>
      </c>
      <c r="C32" s="288">
        <v>60004</v>
      </c>
      <c r="D32" s="324" t="s">
        <v>14</v>
      </c>
      <c r="E32" s="295"/>
      <c r="F32" s="8" t="s">
        <v>15</v>
      </c>
      <c r="G32" s="30" t="s">
        <v>16</v>
      </c>
      <c r="H32" s="10"/>
      <c r="I32" s="44">
        <v>4707906</v>
      </c>
      <c r="J32" s="44">
        <v>4707906</v>
      </c>
      <c r="K32" s="12">
        <f>H32+J32</f>
        <v>4707906</v>
      </c>
      <c r="L32" s="35">
        <f>K32/F33</f>
        <v>0.48456124922960636</v>
      </c>
    </row>
    <row r="33" spans="1:12" s="13" customFormat="1" ht="12.75">
      <c r="A33" s="300"/>
      <c r="B33" s="286"/>
      <c r="C33" s="327"/>
      <c r="D33" s="325"/>
      <c r="E33" s="296"/>
      <c r="F33" s="14">
        <v>9715812</v>
      </c>
      <c r="G33" s="15" t="s">
        <v>17</v>
      </c>
      <c r="H33" s="16"/>
      <c r="I33" s="17"/>
      <c r="J33" s="18"/>
      <c r="K33" s="18"/>
      <c r="L33" s="19"/>
    </row>
    <row r="34" spans="1:12" s="13" customFormat="1" ht="12.75">
      <c r="A34" s="300"/>
      <c r="B34" s="286"/>
      <c r="C34" s="327"/>
      <c r="D34" s="325"/>
      <c r="E34" s="323"/>
      <c r="F34" s="14" t="s">
        <v>18</v>
      </c>
      <c r="G34" s="15" t="s">
        <v>19</v>
      </c>
      <c r="H34" s="16"/>
      <c r="I34" s="17"/>
      <c r="J34" s="18"/>
      <c r="K34" s="18"/>
      <c r="L34" s="19"/>
    </row>
    <row r="35" spans="1:12" s="13" customFormat="1" ht="12.75">
      <c r="A35" s="300"/>
      <c r="B35" s="286"/>
      <c r="C35" s="327"/>
      <c r="D35" s="325"/>
      <c r="E35" s="297" t="s">
        <v>30</v>
      </c>
      <c r="F35" s="14">
        <v>0</v>
      </c>
      <c r="G35" s="15" t="s">
        <v>21</v>
      </c>
      <c r="H35" s="16"/>
      <c r="I35" s="17"/>
      <c r="J35" s="18"/>
      <c r="K35" s="18"/>
      <c r="L35" s="19"/>
    </row>
    <row r="36" spans="1:12" s="13" customFormat="1" ht="12.75">
      <c r="A36" s="300"/>
      <c r="B36" s="286"/>
      <c r="C36" s="327"/>
      <c r="D36" s="325"/>
      <c r="E36" s="296"/>
      <c r="F36" s="14" t="s">
        <v>22</v>
      </c>
      <c r="G36" s="15" t="s">
        <v>23</v>
      </c>
      <c r="H36" s="20">
        <f aca="true" t="shared" si="4" ref="H36:J37">H32+H34</f>
        <v>0</v>
      </c>
      <c r="I36" s="26">
        <f t="shared" si="4"/>
        <v>4707906</v>
      </c>
      <c r="J36" s="21">
        <f t="shared" si="4"/>
        <v>4707906</v>
      </c>
      <c r="K36" s="21">
        <f>K32+K34</f>
        <v>4707906</v>
      </c>
      <c r="L36" s="36">
        <f>K36/F33</f>
        <v>0.48456124922960636</v>
      </c>
    </row>
    <row r="37" spans="1:12" s="13" customFormat="1" ht="13.5" thickBot="1">
      <c r="A37" s="300"/>
      <c r="B37" s="286"/>
      <c r="C37" s="328"/>
      <c r="D37" s="325"/>
      <c r="E37" s="296"/>
      <c r="F37" s="22">
        <v>9715812</v>
      </c>
      <c r="G37" s="23" t="s">
        <v>24</v>
      </c>
      <c r="H37" s="24">
        <f t="shared" si="4"/>
        <v>0</v>
      </c>
      <c r="I37" s="42">
        <f t="shared" si="4"/>
        <v>0</v>
      </c>
      <c r="J37" s="43">
        <f t="shared" si="4"/>
        <v>0</v>
      </c>
      <c r="K37" s="43">
        <f>K33+K35</f>
        <v>0</v>
      </c>
      <c r="L37" s="25"/>
    </row>
    <row r="38" spans="1:12" s="31" customFormat="1" ht="12" customHeight="1">
      <c r="A38" s="299">
        <v>6</v>
      </c>
      <c r="B38" s="304" t="s">
        <v>31</v>
      </c>
      <c r="C38" s="307">
        <v>60015</v>
      </c>
      <c r="D38" s="310" t="s">
        <v>32</v>
      </c>
      <c r="E38" s="284">
        <v>2008</v>
      </c>
      <c r="F38" s="8" t="s">
        <v>15</v>
      </c>
      <c r="G38" s="9" t="s">
        <v>16</v>
      </c>
      <c r="H38" s="37">
        <v>72788</v>
      </c>
      <c r="I38" s="38">
        <v>9806</v>
      </c>
      <c r="J38" s="41">
        <v>9806</v>
      </c>
      <c r="K38" s="12">
        <f>H38+J38</f>
        <v>82594</v>
      </c>
      <c r="L38" s="35">
        <f>K38/F39</f>
        <v>0.9136302294197031</v>
      </c>
    </row>
    <row r="39" spans="1:12" s="31" customFormat="1" ht="12" customHeight="1">
      <c r="A39" s="300"/>
      <c r="B39" s="305"/>
      <c r="C39" s="308"/>
      <c r="D39" s="311"/>
      <c r="E39" s="281"/>
      <c r="F39" s="14">
        <v>90402</v>
      </c>
      <c r="G39" s="15" t="s">
        <v>17</v>
      </c>
      <c r="H39" s="20"/>
      <c r="I39" s="39"/>
      <c r="J39" s="21"/>
      <c r="K39" s="21"/>
      <c r="L39" s="19"/>
    </row>
    <row r="40" spans="1:12" s="31" customFormat="1" ht="12" customHeight="1">
      <c r="A40" s="300"/>
      <c r="B40" s="305"/>
      <c r="C40" s="308"/>
      <c r="D40" s="311"/>
      <c r="E40" s="301"/>
      <c r="F40" s="14" t="s">
        <v>18</v>
      </c>
      <c r="G40" s="15" t="s">
        <v>19</v>
      </c>
      <c r="H40" s="20"/>
      <c r="I40" s="39"/>
      <c r="J40" s="21"/>
      <c r="K40" s="21"/>
      <c r="L40" s="19"/>
    </row>
    <row r="41" spans="1:12" s="31" customFormat="1" ht="12" customHeight="1">
      <c r="A41" s="300"/>
      <c r="B41" s="305"/>
      <c r="C41" s="308"/>
      <c r="D41" s="311"/>
      <c r="E41" s="302">
        <v>2013</v>
      </c>
      <c r="F41" s="14">
        <v>0</v>
      </c>
      <c r="G41" s="15" t="s">
        <v>21</v>
      </c>
      <c r="H41" s="20"/>
      <c r="I41" s="39"/>
      <c r="J41" s="21"/>
      <c r="K41" s="21"/>
      <c r="L41" s="19"/>
    </row>
    <row r="42" spans="1:12" s="31" customFormat="1" ht="12" customHeight="1">
      <c r="A42" s="300"/>
      <c r="B42" s="305"/>
      <c r="C42" s="308"/>
      <c r="D42" s="311"/>
      <c r="E42" s="281"/>
      <c r="F42" s="14" t="s">
        <v>33</v>
      </c>
      <c r="G42" s="15" t="s">
        <v>23</v>
      </c>
      <c r="H42" s="20">
        <f aca="true" t="shared" si="5" ref="H42:J43">H38+H40</f>
        <v>72788</v>
      </c>
      <c r="I42" s="39">
        <f t="shared" si="5"/>
        <v>9806</v>
      </c>
      <c r="J42" s="21">
        <f t="shared" si="5"/>
        <v>9806</v>
      </c>
      <c r="K42" s="21">
        <f>K38+K40</f>
        <v>82594</v>
      </c>
      <c r="L42" s="36">
        <f>K42/F39</f>
        <v>0.9136302294197031</v>
      </c>
    </row>
    <row r="43" spans="1:12" s="31" customFormat="1" ht="12" customHeight="1" thickBot="1">
      <c r="A43" s="290"/>
      <c r="B43" s="306"/>
      <c r="C43" s="309"/>
      <c r="D43" s="312"/>
      <c r="E43" s="303"/>
      <c r="F43" s="22">
        <v>90402</v>
      </c>
      <c r="G43" s="27" t="s">
        <v>24</v>
      </c>
      <c r="H43" s="24">
        <f t="shared" si="5"/>
        <v>0</v>
      </c>
      <c r="I43" s="40">
        <f t="shared" si="5"/>
        <v>0</v>
      </c>
      <c r="J43" s="29">
        <f t="shared" si="5"/>
        <v>0</v>
      </c>
      <c r="K43" s="29">
        <f>K39+K41</f>
        <v>0</v>
      </c>
      <c r="L43" s="25"/>
    </row>
    <row r="44" spans="1:12" s="31" customFormat="1" ht="12" customHeight="1">
      <c r="A44" s="299">
        <v>7</v>
      </c>
      <c r="B44" s="304" t="s">
        <v>34</v>
      </c>
      <c r="C44" s="307">
        <v>60015</v>
      </c>
      <c r="D44" s="310" t="s">
        <v>32</v>
      </c>
      <c r="E44" s="284">
        <v>2010</v>
      </c>
      <c r="F44" s="8" t="s">
        <v>15</v>
      </c>
      <c r="G44" s="9" t="s">
        <v>16</v>
      </c>
      <c r="H44" s="37">
        <v>90144</v>
      </c>
      <c r="I44" s="38">
        <v>240000</v>
      </c>
      <c r="J44" s="41">
        <v>238737</v>
      </c>
      <c r="K44" s="12">
        <f>H44+J44</f>
        <v>328881</v>
      </c>
      <c r="L44" s="35">
        <f>K44/F45</f>
        <v>0.5148257725180803</v>
      </c>
    </row>
    <row r="45" spans="1:12" s="31" customFormat="1" ht="12" customHeight="1">
      <c r="A45" s="300"/>
      <c r="B45" s="305"/>
      <c r="C45" s="308"/>
      <c r="D45" s="311"/>
      <c r="E45" s="281"/>
      <c r="F45" s="14">
        <v>638820</v>
      </c>
      <c r="G45" s="15" t="s">
        <v>17</v>
      </c>
      <c r="H45" s="20"/>
      <c r="I45" s="39"/>
      <c r="J45" s="21"/>
      <c r="K45" s="21"/>
      <c r="L45" s="19"/>
    </row>
    <row r="46" spans="1:12" s="31" customFormat="1" ht="12" customHeight="1">
      <c r="A46" s="300"/>
      <c r="B46" s="305"/>
      <c r="C46" s="308"/>
      <c r="D46" s="311"/>
      <c r="E46" s="301"/>
      <c r="F46" s="14" t="s">
        <v>18</v>
      </c>
      <c r="G46" s="15" t="s">
        <v>19</v>
      </c>
      <c r="H46" s="20"/>
      <c r="I46" s="39"/>
      <c r="J46" s="21"/>
      <c r="K46" s="21"/>
      <c r="L46" s="19"/>
    </row>
    <row r="47" spans="1:12" s="31" customFormat="1" ht="11.25" customHeight="1">
      <c r="A47" s="300"/>
      <c r="B47" s="305"/>
      <c r="C47" s="308"/>
      <c r="D47" s="311"/>
      <c r="E47" s="302">
        <v>2013</v>
      </c>
      <c r="F47" s="14">
        <v>0</v>
      </c>
      <c r="G47" s="15" t="s">
        <v>21</v>
      </c>
      <c r="H47" s="20"/>
      <c r="I47" s="39"/>
      <c r="J47" s="21"/>
      <c r="K47" s="21"/>
      <c r="L47" s="19"/>
    </row>
    <row r="48" spans="1:12" s="31" customFormat="1" ht="12" customHeight="1">
      <c r="A48" s="300"/>
      <c r="B48" s="305"/>
      <c r="C48" s="308"/>
      <c r="D48" s="311"/>
      <c r="E48" s="281"/>
      <c r="F48" s="14" t="s">
        <v>33</v>
      </c>
      <c r="G48" s="15" t="s">
        <v>23</v>
      </c>
      <c r="H48" s="20">
        <f aca="true" t="shared" si="6" ref="H48:J49">H44+H46</f>
        <v>90144</v>
      </c>
      <c r="I48" s="39">
        <f t="shared" si="6"/>
        <v>240000</v>
      </c>
      <c r="J48" s="21">
        <f t="shared" si="6"/>
        <v>238737</v>
      </c>
      <c r="K48" s="21">
        <f>K44+K46</f>
        <v>328881</v>
      </c>
      <c r="L48" s="36">
        <f>K48/F45</f>
        <v>0.5148257725180803</v>
      </c>
    </row>
    <row r="49" spans="1:12" s="31" customFormat="1" ht="12.75" customHeight="1" thickBot="1">
      <c r="A49" s="290"/>
      <c r="B49" s="306"/>
      <c r="C49" s="309"/>
      <c r="D49" s="312"/>
      <c r="E49" s="303"/>
      <c r="F49" s="22">
        <v>638820</v>
      </c>
      <c r="G49" s="27" t="s">
        <v>24</v>
      </c>
      <c r="H49" s="24">
        <f t="shared" si="6"/>
        <v>0</v>
      </c>
      <c r="I49" s="40">
        <f t="shared" si="6"/>
        <v>0</v>
      </c>
      <c r="J49" s="29">
        <f t="shared" si="6"/>
        <v>0</v>
      </c>
      <c r="K49" s="29">
        <f>K45+K47</f>
        <v>0</v>
      </c>
      <c r="L49" s="48"/>
    </row>
    <row r="50" spans="1:12" s="31" customFormat="1" ht="12" customHeight="1">
      <c r="A50" s="299">
        <v>8</v>
      </c>
      <c r="B50" s="304" t="s">
        <v>35</v>
      </c>
      <c r="C50" s="307">
        <v>60015</v>
      </c>
      <c r="D50" s="310" t="s">
        <v>32</v>
      </c>
      <c r="E50" s="284">
        <v>2008</v>
      </c>
      <c r="F50" s="8" t="s">
        <v>15</v>
      </c>
      <c r="G50" s="9" t="s">
        <v>16</v>
      </c>
      <c r="H50" s="37">
        <v>391890</v>
      </c>
      <c r="I50" s="38">
        <v>270000</v>
      </c>
      <c r="J50" s="41">
        <v>205817</v>
      </c>
      <c r="K50" s="12">
        <f>H50+J50</f>
        <v>597707</v>
      </c>
      <c r="L50" s="35">
        <f>K50/F51</f>
        <v>0.9985448847100963</v>
      </c>
    </row>
    <row r="51" spans="1:12" s="31" customFormat="1" ht="12" customHeight="1">
      <c r="A51" s="300"/>
      <c r="B51" s="305"/>
      <c r="C51" s="308"/>
      <c r="D51" s="311"/>
      <c r="E51" s="281"/>
      <c r="F51" s="14">
        <v>598578</v>
      </c>
      <c r="G51" s="15" t="s">
        <v>17</v>
      </c>
      <c r="H51" s="20"/>
      <c r="I51" s="39"/>
      <c r="J51" s="21"/>
      <c r="K51" s="21"/>
      <c r="L51" s="19"/>
    </row>
    <row r="52" spans="1:12" s="31" customFormat="1" ht="12" customHeight="1">
      <c r="A52" s="300"/>
      <c r="B52" s="305"/>
      <c r="C52" s="308"/>
      <c r="D52" s="311"/>
      <c r="E52" s="301"/>
      <c r="F52" s="14" t="s">
        <v>18</v>
      </c>
      <c r="G52" s="15" t="s">
        <v>19</v>
      </c>
      <c r="H52" s="20"/>
      <c r="I52" s="39"/>
      <c r="J52" s="21"/>
      <c r="K52" s="21"/>
      <c r="L52" s="19"/>
    </row>
    <row r="53" spans="1:12" s="31" customFormat="1" ht="12" customHeight="1">
      <c r="A53" s="300"/>
      <c r="B53" s="305"/>
      <c r="C53" s="308"/>
      <c r="D53" s="311"/>
      <c r="E53" s="302">
        <v>2012</v>
      </c>
      <c r="F53" s="14">
        <v>0</v>
      </c>
      <c r="G53" s="15" t="s">
        <v>21</v>
      </c>
      <c r="H53" s="20"/>
      <c r="I53" s="39"/>
      <c r="J53" s="21"/>
      <c r="K53" s="21"/>
      <c r="L53" s="19"/>
    </row>
    <row r="54" spans="1:12" s="31" customFormat="1" ht="12" customHeight="1">
      <c r="A54" s="300"/>
      <c r="B54" s="305"/>
      <c r="C54" s="308"/>
      <c r="D54" s="311"/>
      <c r="E54" s="281"/>
      <c r="F54" s="14" t="s">
        <v>33</v>
      </c>
      <c r="G54" s="15" t="s">
        <v>23</v>
      </c>
      <c r="H54" s="20">
        <f aca="true" t="shared" si="7" ref="H54:J55">H50+H52</f>
        <v>391890</v>
      </c>
      <c r="I54" s="39">
        <f t="shared" si="7"/>
        <v>270000</v>
      </c>
      <c r="J54" s="21">
        <f t="shared" si="7"/>
        <v>205817</v>
      </c>
      <c r="K54" s="21">
        <f>K50+K52</f>
        <v>597707</v>
      </c>
      <c r="L54" s="36">
        <f>K54/F51</f>
        <v>0.9985448847100963</v>
      </c>
    </row>
    <row r="55" spans="1:12" s="31" customFormat="1" ht="12" customHeight="1" thickBot="1">
      <c r="A55" s="290"/>
      <c r="B55" s="306"/>
      <c r="C55" s="309"/>
      <c r="D55" s="312"/>
      <c r="E55" s="303"/>
      <c r="F55" s="22">
        <v>598578</v>
      </c>
      <c r="G55" s="27" t="s">
        <v>24</v>
      </c>
      <c r="H55" s="24">
        <f t="shared" si="7"/>
        <v>0</v>
      </c>
      <c r="I55" s="40">
        <f t="shared" si="7"/>
        <v>0</v>
      </c>
      <c r="J55" s="29">
        <f t="shared" si="7"/>
        <v>0</v>
      </c>
      <c r="K55" s="29">
        <f>K51+K53</f>
        <v>0</v>
      </c>
      <c r="L55" s="25"/>
    </row>
    <row r="56" spans="1:12" s="31" customFormat="1" ht="12" customHeight="1">
      <c r="A56" s="299">
        <v>9</v>
      </c>
      <c r="B56" s="304" t="s">
        <v>36</v>
      </c>
      <c r="C56" s="307">
        <v>60015</v>
      </c>
      <c r="D56" s="310" t="s">
        <v>32</v>
      </c>
      <c r="E56" s="284">
        <v>2008</v>
      </c>
      <c r="F56" s="8" t="s">
        <v>15</v>
      </c>
      <c r="G56" s="9" t="s">
        <v>16</v>
      </c>
      <c r="H56" s="37">
        <v>1551734</v>
      </c>
      <c r="I56" s="38">
        <v>842000</v>
      </c>
      <c r="J56" s="41">
        <v>680014</v>
      </c>
      <c r="K56" s="12">
        <f>H56+J56</f>
        <v>2231748</v>
      </c>
      <c r="L56" s="35">
        <f>K56/F57</f>
        <v>0.9991046438541858</v>
      </c>
    </row>
    <row r="57" spans="1:12" s="31" customFormat="1" ht="12" customHeight="1">
      <c r="A57" s="300"/>
      <c r="B57" s="305"/>
      <c r="C57" s="308"/>
      <c r="D57" s="311"/>
      <c r="E57" s="281"/>
      <c r="F57" s="14">
        <v>2233748</v>
      </c>
      <c r="G57" s="15" t="s">
        <v>17</v>
      </c>
      <c r="H57" s="20"/>
      <c r="I57" s="39"/>
      <c r="J57" s="21"/>
      <c r="K57" s="21"/>
      <c r="L57" s="19"/>
    </row>
    <row r="58" spans="1:12" s="31" customFormat="1" ht="12" customHeight="1">
      <c r="A58" s="300"/>
      <c r="B58" s="305"/>
      <c r="C58" s="308"/>
      <c r="D58" s="311"/>
      <c r="E58" s="301"/>
      <c r="F58" s="14" t="s">
        <v>18</v>
      </c>
      <c r="G58" s="15" t="s">
        <v>19</v>
      </c>
      <c r="H58" s="20"/>
      <c r="I58" s="39"/>
      <c r="J58" s="21"/>
      <c r="K58" s="21"/>
      <c r="L58" s="19"/>
    </row>
    <row r="59" spans="1:12" s="31" customFormat="1" ht="12" customHeight="1">
      <c r="A59" s="300"/>
      <c r="B59" s="305"/>
      <c r="C59" s="308"/>
      <c r="D59" s="311"/>
      <c r="E59" s="302">
        <v>2012</v>
      </c>
      <c r="F59" s="14">
        <v>0</v>
      </c>
      <c r="G59" s="15" t="s">
        <v>21</v>
      </c>
      <c r="H59" s="20"/>
      <c r="I59" s="39"/>
      <c r="J59" s="21"/>
      <c r="K59" s="21"/>
      <c r="L59" s="19"/>
    </row>
    <row r="60" spans="1:12" s="31" customFormat="1" ht="11.25">
      <c r="A60" s="300"/>
      <c r="B60" s="305"/>
      <c r="C60" s="308"/>
      <c r="D60" s="311"/>
      <c r="E60" s="281"/>
      <c r="F60" s="14" t="s">
        <v>33</v>
      </c>
      <c r="G60" s="15" t="s">
        <v>23</v>
      </c>
      <c r="H60" s="20">
        <f aca="true" t="shared" si="8" ref="H60:J61">H56+H58</f>
        <v>1551734</v>
      </c>
      <c r="I60" s="39">
        <f t="shared" si="8"/>
        <v>842000</v>
      </c>
      <c r="J60" s="21">
        <f t="shared" si="8"/>
        <v>680014</v>
      </c>
      <c r="K60" s="21">
        <f>K56+K58</f>
        <v>2231748</v>
      </c>
      <c r="L60" s="36">
        <f>K60/F57</f>
        <v>0.9991046438541858</v>
      </c>
    </row>
    <row r="61" spans="1:12" s="31" customFormat="1" ht="12" customHeight="1" thickBot="1">
      <c r="A61" s="300"/>
      <c r="B61" s="306"/>
      <c r="C61" s="309"/>
      <c r="D61" s="312"/>
      <c r="E61" s="303"/>
      <c r="F61" s="22">
        <v>2233748</v>
      </c>
      <c r="G61" s="27" t="s">
        <v>24</v>
      </c>
      <c r="H61" s="24">
        <f t="shared" si="8"/>
        <v>0</v>
      </c>
      <c r="I61" s="40">
        <f t="shared" si="8"/>
        <v>0</v>
      </c>
      <c r="J61" s="29">
        <f t="shared" si="8"/>
        <v>0</v>
      </c>
      <c r="K61" s="29">
        <f>K57+K59</f>
        <v>0</v>
      </c>
      <c r="L61" s="25"/>
    </row>
    <row r="62" spans="1:12" s="31" customFormat="1" ht="11.25" customHeight="1">
      <c r="A62" s="299">
        <v>10</v>
      </c>
      <c r="B62" s="304" t="s">
        <v>37</v>
      </c>
      <c r="C62" s="307">
        <v>60015</v>
      </c>
      <c r="D62" s="310" t="s">
        <v>32</v>
      </c>
      <c r="E62" s="284">
        <v>2010</v>
      </c>
      <c r="F62" s="8" t="s">
        <v>15</v>
      </c>
      <c r="G62" s="9" t="s">
        <v>16</v>
      </c>
      <c r="H62" s="37">
        <v>3095942</v>
      </c>
      <c r="I62" s="38">
        <v>7446000</v>
      </c>
      <c r="J62" s="41">
        <v>7436000</v>
      </c>
      <c r="K62" s="12">
        <f>H62+J62</f>
        <v>10531942</v>
      </c>
      <c r="L62" s="35">
        <f>K62/F63</f>
        <v>0.5169872632034842</v>
      </c>
    </row>
    <row r="63" spans="1:12" s="31" customFormat="1" ht="12.75" customHeight="1">
      <c r="A63" s="300"/>
      <c r="B63" s="305"/>
      <c r="C63" s="308"/>
      <c r="D63" s="311"/>
      <c r="E63" s="281"/>
      <c r="F63" s="14">
        <v>20371763</v>
      </c>
      <c r="G63" s="15" t="s">
        <v>17</v>
      </c>
      <c r="H63" s="20"/>
      <c r="I63" s="39"/>
      <c r="J63" s="21"/>
      <c r="K63" s="21"/>
      <c r="L63" s="19"/>
    </row>
    <row r="64" spans="1:12" s="31" customFormat="1" ht="12.75" customHeight="1">
      <c r="A64" s="300"/>
      <c r="B64" s="305"/>
      <c r="C64" s="308"/>
      <c r="D64" s="311"/>
      <c r="E64" s="301"/>
      <c r="F64" s="14" t="s">
        <v>18</v>
      </c>
      <c r="G64" s="15" t="s">
        <v>19</v>
      </c>
      <c r="H64" s="20"/>
      <c r="I64" s="39"/>
      <c r="J64" s="21"/>
      <c r="K64" s="21"/>
      <c r="L64" s="19"/>
    </row>
    <row r="65" spans="1:12" s="31" customFormat="1" ht="10.5" customHeight="1">
      <c r="A65" s="300"/>
      <c r="B65" s="305"/>
      <c r="C65" s="308"/>
      <c r="D65" s="311"/>
      <c r="E65" s="302">
        <v>2013</v>
      </c>
      <c r="F65" s="14">
        <v>0</v>
      </c>
      <c r="G65" s="15" t="s">
        <v>21</v>
      </c>
      <c r="H65" s="20"/>
      <c r="I65" s="39"/>
      <c r="J65" s="21"/>
      <c r="K65" s="21"/>
      <c r="L65" s="19"/>
    </row>
    <row r="66" spans="1:12" s="31" customFormat="1" ht="12.75" customHeight="1">
      <c r="A66" s="300"/>
      <c r="B66" s="305"/>
      <c r="C66" s="308"/>
      <c r="D66" s="311"/>
      <c r="E66" s="281"/>
      <c r="F66" s="14" t="s">
        <v>33</v>
      </c>
      <c r="G66" s="15" t="s">
        <v>23</v>
      </c>
      <c r="H66" s="20">
        <f aca="true" t="shared" si="9" ref="H66:J67">H62+H64</f>
        <v>3095942</v>
      </c>
      <c r="I66" s="39">
        <f t="shared" si="9"/>
        <v>7446000</v>
      </c>
      <c r="J66" s="21">
        <f t="shared" si="9"/>
        <v>7436000</v>
      </c>
      <c r="K66" s="21">
        <f>K62+K64</f>
        <v>10531942</v>
      </c>
      <c r="L66" s="36">
        <f>K66/F63</f>
        <v>0.5169872632034842</v>
      </c>
    </row>
    <row r="67" spans="1:12" s="31" customFormat="1" ht="12.75" customHeight="1" thickBot="1">
      <c r="A67" s="290"/>
      <c r="B67" s="306"/>
      <c r="C67" s="309"/>
      <c r="D67" s="312"/>
      <c r="E67" s="303"/>
      <c r="F67" s="22">
        <v>20371763</v>
      </c>
      <c r="G67" s="27" t="s">
        <v>24</v>
      </c>
      <c r="H67" s="24">
        <f t="shared" si="9"/>
        <v>0</v>
      </c>
      <c r="I67" s="40">
        <f t="shared" si="9"/>
        <v>0</v>
      </c>
      <c r="J67" s="29">
        <f t="shared" si="9"/>
        <v>0</v>
      </c>
      <c r="K67" s="29">
        <f>K63+K65</f>
        <v>0</v>
      </c>
      <c r="L67" s="25"/>
    </row>
    <row r="68" spans="1:12" s="31" customFormat="1" ht="11.25" customHeight="1">
      <c r="A68" s="299">
        <v>11</v>
      </c>
      <c r="B68" s="304" t="s">
        <v>38</v>
      </c>
      <c r="C68" s="307">
        <v>60015</v>
      </c>
      <c r="D68" s="310" t="s">
        <v>32</v>
      </c>
      <c r="E68" s="284">
        <v>2010</v>
      </c>
      <c r="F68" s="8" t="s">
        <v>15</v>
      </c>
      <c r="G68" s="9" t="s">
        <v>16</v>
      </c>
      <c r="H68" s="37">
        <v>52736</v>
      </c>
      <c r="I68" s="38">
        <v>160000</v>
      </c>
      <c r="J68" s="41">
        <v>148850</v>
      </c>
      <c r="K68" s="12">
        <f>H68+J68</f>
        <v>201586</v>
      </c>
      <c r="L68" s="35">
        <f>K68/F69</f>
        <v>0.46691959901421237</v>
      </c>
    </row>
    <row r="69" spans="1:12" s="31" customFormat="1" ht="11.25" customHeight="1">
      <c r="A69" s="300"/>
      <c r="B69" s="305"/>
      <c r="C69" s="308"/>
      <c r="D69" s="311"/>
      <c r="E69" s="281"/>
      <c r="F69" s="14">
        <v>431736</v>
      </c>
      <c r="G69" s="15" t="s">
        <v>17</v>
      </c>
      <c r="H69" s="20"/>
      <c r="I69" s="39"/>
      <c r="J69" s="21"/>
      <c r="K69" s="21"/>
      <c r="L69" s="19"/>
    </row>
    <row r="70" spans="1:12" s="31" customFormat="1" ht="12.75" customHeight="1">
      <c r="A70" s="300"/>
      <c r="B70" s="305"/>
      <c r="C70" s="308"/>
      <c r="D70" s="311"/>
      <c r="E70" s="301"/>
      <c r="F70" s="14" t="s">
        <v>18</v>
      </c>
      <c r="G70" s="15" t="s">
        <v>19</v>
      </c>
      <c r="H70" s="20"/>
      <c r="I70" s="39"/>
      <c r="J70" s="21"/>
      <c r="K70" s="21"/>
      <c r="L70" s="19"/>
    </row>
    <row r="71" spans="1:12" s="31" customFormat="1" ht="11.25" customHeight="1">
      <c r="A71" s="300"/>
      <c r="B71" s="305"/>
      <c r="C71" s="308"/>
      <c r="D71" s="311"/>
      <c r="E71" s="302">
        <v>2013</v>
      </c>
      <c r="F71" s="14">
        <v>0</v>
      </c>
      <c r="G71" s="15" t="s">
        <v>21</v>
      </c>
      <c r="H71" s="20"/>
      <c r="I71" s="39"/>
      <c r="J71" s="21"/>
      <c r="K71" s="21"/>
      <c r="L71" s="19"/>
    </row>
    <row r="72" spans="1:12" s="31" customFormat="1" ht="12.75" customHeight="1">
      <c r="A72" s="300"/>
      <c r="B72" s="305"/>
      <c r="C72" s="308"/>
      <c r="D72" s="311"/>
      <c r="E72" s="281"/>
      <c r="F72" s="14" t="s">
        <v>33</v>
      </c>
      <c r="G72" s="15" t="s">
        <v>23</v>
      </c>
      <c r="H72" s="20">
        <f aca="true" t="shared" si="10" ref="H72:J73">H68+H70</f>
        <v>52736</v>
      </c>
      <c r="I72" s="39">
        <f t="shared" si="10"/>
        <v>160000</v>
      </c>
      <c r="J72" s="21">
        <f t="shared" si="10"/>
        <v>148850</v>
      </c>
      <c r="K72" s="21">
        <f>K68+K70</f>
        <v>201586</v>
      </c>
      <c r="L72" s="36">
        <f>K72/F69</f>
        <v>0.46691959901421237</v>
      </c>
    </row>
    <row r="73" spans="1:12" s="31" customFormat="1" ht="12.75" customHeight="1" thickBot="1">
      <c r="A73" s="300"/>
      <c r="B73" s="306"/>
      <c r="C73" s="309"/>
      <c r="D73" s="312"/>
      <c r="E73" s="303"/>
      <c r="F73" s="22">
        <v>431736</v>
      </c>
      <c r="G73" s="27" t="s">
        <v>24</v>
      </c>
      <c r="H73" s="24">
        <f t="shared" si="10"/>
        <v>0</v>
      </c>
      <c r="I73" s="40">
        <f t="shared" si="10"/>
        <v>0</v>
      </c>
      <c r="J73" s="29">
        <f t="shared" si="10"/>
        <v>0</v>
      </c>
      <c r="K73" s="29">
        <f>K69+K71</f>
        <v>0</v>
      </c>
      <c r="L73" s="25"/>
    </row>
    <row r="74" spans="1:12" s="31" customFormat="1" ht="12.75" customHeight="1">
      <c r="A74" s="299">
        <v>12</v>
      </c>
      <c r="B74" s="304" t="s">
        <v>39</v>
      </c>
      <c r="C74" s="307">
        <v>60015</v>
      </c>
      <c r="D74" s="310" t="s">
        <v>32</v>
      </c>
      <c r="E74" s="284">
        <v>2009</v>
      </c>
      <c r="F74" s="8" t="s">
        <v>15</v>
      </c>
      <c r="G74" s="9" t="s">
        <v>16</v>
      </c>
      <c r="H74" s="37">
        <v>1013439</v>
      </c>
      <c r="I74" s="38">
        <v>1013439</v>
      </c>
      <c r="J74" s="41">
        <v>1013439</v>
      </c>
      <c r="K74" s="12">
        <f>H74+J74</f>
        <v>2026878</v>
      </c>
      <c r="L74" s="35">
        <f>K74/F75</f>
        <v>0.6486484929615642</v>
      </c>
    </row>
    <row r="75" spans="1:12" s="31" customFormat="1" ht="12" customHeight="1">
      <c r="A75" s="300"/>
      <c r="B75" s="305"/>
      <c r="C75" s="308"/>
      <c r="D75" s="311"/>
      <c r="E75" s="281"/>
      <c r="F75" s="14">
        <v>3124771</v>
      </c>
      <c r="G75" s="15" t="s">
        <v>17</v>
      </c>
      <c r="H75" s="20"/>
      <c r="I75" s="39"/>
      <c r="J75" s="21"/>
      <c r="K75" s="21"/>
      <c r="L75" s="19"/>
    </row>
    <row r="76" spans="1:12" s="31" customFormat="1" ht="12.75" customHeight="1">
      <c r="A76" s="300"/>
      <c r="B76" s="305"/>
      <c r="C76" s="308"/>
      <c r="D76" s="311"/>
      <c r="E76" s="301"/>
      <c r="F76" s="14" t="s">
        <v>18</v>
      </c>
      <c r="G76" s="15" t="s">
        <v>19</v>
      </c>
      <c r="H76" s="20"/>
      <c r="I76" s="39"/>
      <c r="J76" s="21"/>
      <c r="K76" s="21"/>
      <c r="L76" s="19"/>
    </row>
    <row r="77" spans="1:12" s="31" customFormat="1" ht="10.5" customHeight="1">
      <c r="A77" s="300"/>
      <c r="B77" s="305"/>
      <c r="C77" s="308"/>
      <c r="D77" s="311"/>
      <c r="E77" s="302">
        <v>2013</v>
      </c>
      <c r="F77" s="14">
        <v>0</v>
      </c>
      <c r="G77" s="15" t="s">
        <v>21</v>
      </c>
      <c r="H77" s="20"/>
      <c r="I77" s="39"/>
      <c r="J77" s="21"/>
      <c r="K77" s="21"/>
      <c r="L77" s="19"/>
    </row>
    <row r="78" spans="1:12" s="31" customFormat="1" ht="12.75" customHeight="1">
      <c r="A78" s="300"/>
      <c r="B78" s="305"/>
      <c r="C78" s="308"/>
      <c r="D78" s="311"/>
      <c r="E78" s="281"/>
      <c r="F78" s="14" t="s">
        <v>33</v>
      </c>
      <c r="G78" s="15" t="s">
        <v>23</v>
      </c>
      <c r="H78" s="20">
        <f aca="true" t="shared" si="11" ref="H78:J79">H74+H76</f>
        <v>1013439</v>
      </c>
      <c r="I78" s="39">
        <f t="shared" si="11"/>
        <v>1013439</v>
      </c>
      <c r="J78" s="21">
        <f t="shared" si="11"/>
        <v>1013439</v>
      </c>
      <c r="K78" s="21">
        <f>K74+K76</f>
        <v>2026878</v>
      </c>
      <c r="L78" s="36">
        <f>K78/F75</f>
        <v>0.6486484929615642</v>
      </c>
    </row>
    <row r="79" spans="1:12" s="31" customFormat="1" ht="12.75" customHeight="1" thickBot="1">
      <c r="A79" s="290"/>
      <c r="B79" s="306"/>
      <c r="C79" s="309"/>
      <c r="D79" s="312"/>
      <c r="E79" s="303"/>
      <c r="F79" s="22">
        <v>3124771</v>
      </c>
      <c r="G79" s="27" t="s">
        <v>24</v>
      </c>
      <c r="H79" s="24">
        <f t="shared" si="11"/>
        <v>0</v>
      </c>
      <c r="I79" s="40">
        <f t="shared" si="11"/>
        <v>0</v>
      </c>
      <c r="J79" s="29">
        <f t="shared" si="11"/>
        <v>0</v>
      </c>
      <c r="K79" s="29">
        <f>K75+K77</f>
        <v>0</v>
      </c>
      <c r="L79" s="25"/>
    </row>
    <row r="80" spans="1:12" s="31" customFormat="1" ht="12.75" customHeight="1">
      <c r="A80" s="299">
        <v>13</v>
      </c>
      <c r="B80" s="304" t="s">
        <v>34</v>
      </c>
      <c r="C80" s="307">
        <v>60016</v>
      </c>
      <c r="D80" s="310" t="s">
        <v>32</v>
      </c>
      <c r="E80" s="284">
        <v>2010</v>
      </c>
      <c r="F80" s="8" t="s">
        <v>15</v>
      </c>
      <c r="G80" s="9" t="s">
        <v>16</v>
      </c>
      <c r="H80" s="37">
        <v>51287</v>
      </c>
      <c r="I80" s="38">
        <v>240000</v>
      </c>
      <c r="J80" s="41">
        <v>239446</v>
      </c>
      <c r="K80" s="12">
        <f>H80+J80</f>
        <v>290733</v>
      </c>
      <c r="L80" s="35">
        <f>K80/F81</f>
        <v>0.4632995871093993</v>
      </c>
    </row>
    <row r="81" spans="1:12" s="31" customFormat="1" ht="12.75" customHeight="1">
      <c r="A81" s="300"/>
      <c r="B81" s="305"/>
      <c r="C81" s="308"/>
      <c r="D81" s="311"/>
      <c r="E81" s="281"/>
      <c r="F81" s="14">
        <v>627527</v>
      </c>
      <c r="G81" s="15" t="s">
        <v>17</v>
      </c>
      <c r="H81" s="20"/>
      <c r="I81" s="39"/>
      <c r="J81" s="21"/>
      <c r="K81" s="21"/>
      <c r="L81" s="19"/>
    </row>
    <row r="82" spans="1:12" s="31" customFormat="1" ht="9.75" customHeight="1">
      <c r="A82" s="300"/>
      <c r="B82" s="305"/>
      <c r="C82" s="308"/>
      <c r="D82" s="311"/>
      <c r="E82" s="301"/>
      <c r="F82" s="14" t="s">
        <v>18</v>
      </c>
      <c r="G82" s="15" t="s">
        <v>19</v>
      </c>
      <c r="H82" s="20"/>
      <c r="I82" s="39"/>
      <c r="J82" s="21"/>
      <c r="K82" s="21"/>
      <c r="L82" s="19"/>
    </row>
    <row r="83" spans="1:12" s="31" customFormat="1" ht="10.5" customHeight="1">
      <c r="A83" s="300"/>
      <c r="B83" s="305"/>
      <c r="C83" s="308"/>
      <c r="D83" s="311"/>
      <c r="E83" s="302">
        <v>2013</v>
      </c>
      <c r="F83" s="14">
        <v>0</v>
      </c>
      <c r="G83" s="15" t="s">
        <v>21</v>
      </c>
      <c r="H83" s="20"/>
      <c r="I83" s="39"/>
      <c r="J83" s="21"/>
      <c r="K83" s="21"/>
      <c r="L83" s="19"/>
    </row>
    <row r="84" spans="1:12" s="31" customFormat="1" ht="12.75" customHeight="1">
      <c r="A84" s="300"/>
      <c r="B84" s="305"/>
      <c r="C84" s="308"/>
      <c r="D84" s="311"/>
      <c r="E84" s="281"/>
      <c r="F84" s="14" t="s">
        <v>33</v>
      </c>
      <c r="G84" s="15" t="s">
        <v>23</v>
      </c>
      <c r="H84" s="20">
        <f aca="true" t="shared" si="12" ref="H84:J85">H80+H82</f>
        <v>51287</v>
      </c>
      <c r="I84" s="39">
        <f t="shared" si="12"/>
        <v>240000</v>
      </c>
      <c r="J84" s="21">
        <f t="shared" si="12"/>
        <v>239446</v>
      </c>
      <c r="K84" s="21">
        <f>K80+K82</f>
        <v>290733</v>
      </c>
      <c r="L84" s="36">
        <f>K84/F81</f>
        <v>0.4632995871093993</v>
      </c>
    </row>
    <row r="85" spans="1:12" s="31" customFormat="1" ht="12.75" customHeight="1" thickBot="1">
      <c r="A85" s="300"/>
      <c r="B85" s="306"/>
      <c r="C85" s="309"/>
      <c r="D85" s="312"/>
      <c r="E85" s="303"/>
      <c r="F85" s="22">
        <v>627527</v>
      </c>
      <c r="G85" s="27" t="s">
        <v>24</v>
      </c>
      <c r="H85" s="24">
        <f t="shared" si="12"/>
        <v>0</v>
      </c>
      <c r="I85" s="40">
        <f t="shared" si="12"/>
        <v>0</v>
      </c>
      <c r="J85" s="29">
        <f t="shared" si="12"/>
        <v>0</v>
      </c>
      <c r="K85" s="29">
        <f>K81+K83</f>
        <v>0</v>
      </c>
      <c r="L85" s="25"/>
    </row>
    <row r="86" spans="1:12" s="31" customFormat="1" ht="12.75" customHeight="1">
      <c r="A86" s="299">
        <v>14</v>
      </c>
      <c r="B86" s="304" t="s">
        <v>35</v>
      </c>
      <c r="C86" s="307">
        <v>60016</v>
      </c>
      <c r="D86" s="310" t="s">
        <v>32</v>
      </c>
      <c r="E86" s="284">
        <v>2008</v>
      </c>
      <c r="F86" s="8" t="s">
        <v>15</v>
      </c>
      <c r="G86" s="9" t="s">
        <v>16</v>
      </c>
      <c r="H86" s="37">
        <v>2612</v>
      </c>
      <c r="I86" s="38">
        <v>2293</v>
      </c>
      <c r="J86" s="41">
        <v>2130</v>
      </c>
      <c r="K86" s="12">
        <f>H86+J86</f>
        <v>4742</v>
      </c>
      <c r="L86" s="35">
        <f>K86/F87</f>
        <v>0.8030482641828959</v>
      </c>
    </row>
    <row r="87" spans="1:12" s="31" customFormat="1" ht="12.75" customHeight="1">
      <c r="A87" s="300"/>
      <c r="B87" s="305"/>
      <c r="C87" s="308"/>
      <c r="D87" s="311"/>
      <c r="E87" s="281"/>
      <c r="F87" s="14">
        <v>5905</v>
      </c>
      <c r="G87" s="15" t="s">
        <v>17</v>
      </c>
      <c r="H87" s="20"/>
      <c r="I87" s="39"/>
      <c r="J87" s="21"/>
      <c r="K87" s="21"/>
      <c r="L87" s="19"/>
    </row>
    <row r="88" spans="1:12" s="31" customFormat="1" ht="9.75" customHeight="1">
      <c r="A88" s="300"/>
      <c r="B88" s="305"/>
      <c r="C88" s="308"/>
      <c r="D88" s="311"/>
      <c r="E88" s="301"/>
      <c r="F88" s="14" t="s">
        <v>18</v>
      </c>
      <c r="G88" s="15" t="s">
        <v>19</v>
      </c>
      <c r="H88" s="20"/>
      <c r="I88" s="39"/>
      <c r="J88" s="21"/>
      <c r="K88" s="21"/>
      <c r="L88" s="19"/>
    </row>
    <row r="89" spans="1:12" s="31" customFormat="1" ht="11.25" customHeight="1">
      <c r="A89" s="300"/>
      <c r="B89" s="305"/>
      <c r="C89" s="308"/>
      <c r="D89" s="311"/>
      <c r="E89" s="302">
        <v>2013</v>
      </c>
      <c r="F89" s="14">
        <v>0</v>
      </c>
      <c r="G89" s="15" t="s">
        <v>21</v>
      </c>
      <c r="H89" s="20"/>
      <c r="I89" s="39"/>
      <c r="J89" s="21"/>
      <c r="K89" s="21"/>
      <c r="L89" s="19"/>
    </row>
    <row r="90" spans="1:12" s="31" customFormat="1" ht="12.75" customHeight="1">
      <c r="A90" s="300"/>
      <c r="B90" s="305"/>
      <c r="C90" s="308"/>
      <c r="D90" s="311"/>
      <c r="E90" s="281"/>
      <c r="F90" s="14" t="s">
        <v>33</v>
      </c>
      <c r="G90" s="15" t="s">
        <v>23</v>
      </c>
      <c r="H90" s="20">
        <f aca="true" t="shared" si="13" ref="H90:J91">H86+H88</f>
        <v>2612</v>
      </c>
      <c r="I90" s="39">
        <f t="shared" si="13"/>
        <v>2293</v>
      </c>
      <c r="J90" s="21">
        <f t="shared" si="13"/>
        <v>2130</v>
      </c>
      <c r="K90" s="21">
        <f>K86+K88</f>
        <v>4742</v>
      </c>
      <c r="L90" s="36">
        <f>K90/F87</f>
        <v>0.8030482641828959</v>
      </c>
    </row>
    <row r="91" spans="1:12" s="31" customFormat="1" ht="12.75" customHeight="1" thickBot="1">
      <c r="A91" s="290"/>
      <c r="B91" s="306"/>
      <c r="C91" s="309"/>
      <c r="D91" s="312"/>
      <c r="E91" s="303"/>
      <c r="F91" s="22">
        <v>5905</v>
      </c>
      <c r="G91" s="27" t="s">
        <v>24</v>
      </c>
      <c r="H91" s="24">
        <f t="shared" si="13"/>
        <v>0</v>
      </c>
      <c r="I91" s="40">
        <f t="shared" si="13"/>
        <v>0</v>
      </c>
      <c r="J91" s="29">
        <f t="shared" si="13"/>
        <v>0</v>
      </c>
      <c r="K91" s="29">
        <f>K87+K89</f>
        <v>0</v>
      </c>
      <c r="L91" s="25"/>
    </row>
    <row r="92" spans="1:12" s="31" customFormat="1" ht="12.75" customHeight="1">
      <c r="A92" s="299">
        <v>15</v>
      </c>
      <c r="B92" s="304" t="s">
        <v>37</v>
      </c>
      <c r="C92" s="307">
        <v>60016</v>
      </c>
      <c r="D92" s="310" t="s">
        <v>32</v>
      </c>
      <c r="E92" s="284">
        <v>2010</v>
      </c>
      <c r="F92" s="8" t="s">
        <v>15</v>
      </c>
      <c r="G92" s="9" t="s">
        <v>16</v>
      </c>
      <c r="H92" s="37">
        <v>2677497</v>
      </c>
      <c r="I92" s="38">
        <v>7260000</v>
      </c>
      <c r="J92" s="41">
        <v>5774630</v>
      </c>
      <c r="K92" s="12">
        <f>H92+J92</f>
        <v>8452127</v>
      </c>
      <c r="L92" s="35">
        <f>K92/F93</f>
        <v>0.45074474423899863</v>
      </c>
    </row>
    <row r="93" spans="1:12" s="31" customFormat="1" ht="12.75" customHeight="1">
      <c r="A93" s="300"/>
      <c r="B93" s="305"/>
      <c r="C93" s="308"/>
      <c r="D93" s="311"/>
      <c r="E93" s="281"/>
      <c r="F93" s="14">
        <v>18751471</v>
      </c>
      <c r="G93" s="15" t="s">
        <v>17</v>
      </c>
      <c r="H93" s="20"/>
      <c r="I93" s="39"/>
      <c r="J93" s="21"/>
      <c r="K93" s="21"/>
      <c r="L93" s="19"/>
    </row>
    <row r="94" spans="1:12" s="31" customFormat="1" ht="12.75" customHeight="1">
      <c r="A94" s="300"/>
      <c r="B94" s="305"/>
      <c r="C94" s="308"/>
      <c r="D94" s="311"/>
      <c r="E94" s="301"/>
      <c r="F94" s="14" t="s">
        <v>18</v>
      </c>
      <c r="G94" s="15" t="s">
        <v>19</v>
      </c>
      <c r="H94" s="20"/>
      <c r="I94" s="39"/>
      <c r="J94" s="21"/>
      <c r="K94" s="21"/>
      <c r="L94" s="19"/>
    </row>
    <row r="95" spans="1:12" s="31" customFormat="1" ht="12.75" customHeight="1">
      <c r="A95" s="300"/>
      <c r="B95" s="305"/>
      <c r="C95" s="308"/>
      <c r="D95" s="311"/>
      <c r="E95" s="302">
        <v>2013</v>
      </c>
      <c r="F95" s="14">
        <v>0</v>
      </c>
      <c r="G95" s="15" t="s">
        <v>21</v>
      </c>
      <c r="H95" s="20"/>
      <c r="I95" s="39"/>
      <c r="J95" s="21"/>
      <c r="K95" s="21"/>
      <c r="L95" s="19"/>
    </row>
    <row r="96" spans="1:12" s="31" customFormat="1" ht="12.75" customHeight="1">
      <c r="A96" s="300"/>
      <c r="B96" s="305"/>
      <c r="C96" s="308"/>
      <c r="D96" s="311"/>
      <c r="E96" s="281"/>
      <c r="F96" s="14" t="s">
        <v>33</v>
      </c>
      <c r="G96" s="15" t="s">
        <v>23</v>
      </c>
      <c r="H96" s="20">
        <f aca="true" t="shared" si="14" ref="H96:J97">H92+H94</f>
        <v>2677497</v>
      </c>
      <c r="I96" s="39">
        <f t="shared" si="14"/>
        <v>7260000</v>
      </c>
      <c r="J96" s="21">
        <f t="shared" si="14"/>
        <v>5774630</v>
      </c>
      <c r="K96" s="21">
        <f>K92+K94</f>
        <v>8452127</v>
      </c>
      <c r="L96" s="36">
        <f>K96/F93</f>
        <v>0.45074474423899863</v>
      </c>
    </row>
    <row r="97" spans="1:12" s="31" customFormat="1" ht="12.75" customHeight="1" thickBot="1">
      <c r="A97" s="290"/>
      <c r="B97" s="306"/>
      <c r="C97" s="309"/>
      <c r="D97" s="312"/>
      <c r="E97" s="303"/>
      <c r="F97" s="22">
        <v>18751471</v>
      </c>
      <c r="G97" s="27" t="s">
        <v>24</v>
      </c>
      <c r="H97" s="24">
        <f t="shared" si="14"/>
        <v>0</v>
      </c>
      <c r="I97" s="40">
        <f t="shared" si="14"/>
        <v>0</v>
      </c>
      <c r="J97" s="29">
        <f t="shared" si="14"/>
        <v>0</v>
      </c>
      <c r="K97" s="29">
        <f>K93+K95</f>
        <v>0</v>
      </c>
      <c r="L97" s="48"/>
    </row>
    <row r="98" spans="1:12" s="31" customFormat="1" ht="12.75" customHeight="1">
      <c r="A98" s="299">
        <v>16</v>
      </c>
      <c r="B98" s="304" t="s">
        <v>38</v>
      </c>
      <c r="C98" s="307">
        <v>60016</v>
      </c>
      <c r="D98" s="310" t="s">
        <v>32</v>
      </c>
      <c r="E98" s="284">
        <v>2010</v>
      </c>
      <c r="F98" s="8" t="s">
        <v>15</v>
      </c>
      <c r="G98" s="9" t="s">
        <v>16</v>
      </c>
      <c r="H98" s="37">
        <v>13213</v>
      </c>
      <c r="I98" s="38">
        <v>160000</v>
      </c>
      <c r="J98" s="41">
        <v>88326</v>
      </c>
      <c r="K98" s="12">
        <f>H98+J98</f>
        <v>101539</v>
      </c>
      <c r="L98" s="35">
        <f>K98/F99</f>
        <v>0.24765609756097562</v>
      </c>
    </row>
    <row r="99" spans="1:12" s="31" customFormat="1" ht="12.75" customHeight="1">
      <c r="A99" s="300"/>
      <c r="B99" s="305"/>
      <c r="C99" s="308"/>
      <c r="D99" s="311"/>
      <c r="E99" s="281"/>
      <c r="F99" s="14">
        <v>410000</v>
      </c>
      <c r="G99" s="15" t="s">
        <v>17</v>
      </c>
      <c r="H99" s="20"/>
      <c r="I99" s="39"/>
      <c r="J99" s="21"/>
      <c r="K99" s="21"/>
      <c r="L99" s="19"/>
    </row>
    <row r="100" spans="1:12" s="31" customFormat="1" ht="11.25" customHeight="1">
      <c r="A100" s="300"/>
      <c r="B100" s="305"/>
      <c r="C100" s="308"/>
      <c r="D100" s="311"/>
      <c r="E100" s="301"/>
      <c r="F100" s="14" t="s">
        <v>18</v>
      </c>
      <c r="G100" s="15" t="s">
        <v>19</v>
      </c>
      <c r="H100" s="20"/>
      <c r="I100" s="39"/>
      <c r="J100" s="21"/>
      <c r="K100" s="21"/>
      <c r="L100" s="19"/>
    </row>
    <row r="101" spans="1:12" s="31" customFormat="1" ht="12.75" customHeight="1">
      <c r="A101" s="300"/>
      <c r="B101" s="305"/>
      <c r="C101" s="308"/>
      <c r="D101" s="311"/>
      <c r="E101" s="302">
        <v>2013</v>
      </c>
      <c r="F101" s="14">
        <v>0</v>
      </c>
      <c r="G101" s="15" t="s">
        <v>21</v>
      </c>
      <c r="H101" s="20"/>
      <c r="I101" s="39"/>
      <c r="J101" s="21"/>
      <c r="K101" s="21"/>
      <c r="L101" s="19"/>
    </row>
    <row r="102" spans="1:12" s="31" customFormat="1" ht="12.75" customHeight="1">
      <c r="A102" s="300"/>
      <c r="B102" s="305"/>
      <c r="C102" s="308"/>
      <c r="D102" s="311"/>
      <c r="E102" s="281"/>
      <c r="F102" s="14" t="s">
        <v>33</v>
      </c>
      <c r="G102" s="15" t="s">
        <v>23</v>
      </c>
      <c r="H102" s="20">
        <f aca="true" t="shared" si="15" ref="H102:J103">H98+H100</f>
        <v>13213</v>
      </c>
      <c r="I102" s="39">
        <f t="shared" si="15"/>
        <v>160000</v>
      </c>
      <c r="J102" s="21">
        <f t="shared" si="15"/>
        <v>88326</v>
      </c>
      <c r="K102" s="21">
        <f>K98+K100</f>
        <v>101539</v>
      </c>
      <c r="L102" s="36">
        <f>K102/F99</f>
        <v>0.24765609756097562</v>
      </c>
    </row>
    <row r="103" spans="1:12" s="31" customFormat="1" ht="12.75" customHeight="1" thickBot="1">
      <c r="A103" s="290"/>
      <c r="B103" s="306"/>
      <c r="C103" s="309"/>
      <c r="D103" s="312"/>
      <c r="E103" s="303"/>
      <c r="F103" s="22">
        <v>410000</v>
      </c>
      <c r="G103" s="27" t="s">
        <v>24</v>
      </c>
      <c r="H103" s="24">
        <f t="shared" si="15"/>
        <v>0</v>
      </c>
      <c r="I103" s="40">
        <f t="shared" si="15"/>
        <v>0</v>
      </c>
      <c r="J103" s="29">
        <f t="shared" si="15"/>
        <v>0</v>
      </c>
      <c r="K103" s="29">
        <f>K99+K101</f>
        <v>0</v>
      </c>
      <c r="L103" s="25"/>
    </row>
    <row r="104" spans="1:12" s="31" customFormat="1" ht="12.75" customHeight="1">
      <c r="A104" s="299">
        <v>17</v>
      </c>
      <c r="B104" s="304" t="s">
        <v>40</v>
      </c>
      <c r="C104" s="307">
        <v>60016</v>
      </c>
      <c r="D104" s="310" t="s">
        <v>32</v>
      </c>
      <c r="E104" s="284">
        <v>2010</v>
      </c>
      <c r="F104" s="8" t="s">
        <v>15</v>
      </c>
      <c r="G104" s="9" t="s">
        <v>16</v>
      </c>
      <c r="H104" s="37">
        <v>14408</v>
      </c>
      <c r="I104" s="38">
        <v>150000</v>
      </c>
      <c r="J104" s="41">
        <v>22257</v>
      </c>
      <c r="K104" s="12">
        <f>H104+J104</f>
        <v>36665</v>
      </c>
      <c r="L104" s="35">
        <f>K104/F105</f>
        <v>0.09909459459459459</v>
      </c>
    </row>
    <row r="105" spans="1:12" s="31" customFormat="1" ht="11.25" customHeight="1">
      <c r="A105" s="300"/>
      <c r="B105" s="305"/>
      <c r="C105" s="308"/>
      <c r="D105" s="311"/>
      <c r="E105" s="281"/>
      <c r="F105" s="14">
        <v>370000</v>
      </c>
      <c r="G105" s="15" t="s">
        <v>17</v>
      </c>
      <c r="H105" s="20"/>
      <c r="I105" s="39"/>
      <c r="J105" s="21"/>
      <c r="K105" s="21"/>
      <c r="L105" s="19"/>
    </row>
    <row r="106" spans="1:12" s="31" customFormat="1" ht="12.75" customHeight="1">
      <c r="A106" s="300"/>
      <c r="B106" s="305"/>
      <c r="C106" s="308"/>
      <c r="D106" s="311"/>
      <c r="E106" s="301"/>
      <c r="F106" s="14" t="s">
        <v>18</v>
      </c>
      <c r="G106" s="15" t="s">
        <v>19</v>
      </c>
      <c r="H106" s="20"/>
      <c r="I106" s="39"/>
      <c r="J106" s="21"/>
      <c r="K106" s="21"/>
      <c r="L106" s="19"/>
    </row>
    <row r="107" spans="1:12" s="31" customFormat="1" ht="10.5" customHeight="1">
      <c r="A107" s="300"/>
      <c r="B107" s="305"/>
      <c r="C107" s="308"/>
      <c r="D107" s="311"/>
      <c r="E107" s="302">
        <v>2013</v>
      </c>
      <c r="F107" s="14">
        <v>0</v>
      </c>
      <c r="G107" s="15" t="s">
        <v>21</v>
      </c>
      <c r="H107" s="20"/>
      <c r="I107" s="39"/>
      <c r="J107" s="21"/>
      <c r="K107" s="21"/>
      <c r="L107" s="19"/>
    </row>
    <row r="108" spans="1:12" s="31" customFormat="1" ht="12.75" customHeight="1">
      <c r="A108" s="300"/>
      <c r="B108" s="305"/>
      <c r="C108" s="308"/>
      <c r="D108" s="311"/>
      <c r="E108" s="281"/>
      <c r="F108" s="14" t="s">
        <v>33</v>
      </c>
      <c r="G108" s="15" t="s">
        <v>23</v>
      </c>
      <c r="H108" s="20">
        <f aca="true" t="shared" si="16" ref="H108:J109">H104+H106</f>
        <v>14408</v>
      </c>
      <c r="I108" s="39">
        <f t="shared" si="16"/>
        <v>150000</v>
      </c>
      <c r="J108" s="21">
        <f t="shared" si="16"/>
        <v>22257</v>
      </c>
      <c r="K108" s="21">
        <f>K104+K106</f>
        <v>36665</v>
      </c>
      <c r="L108" s="36">
        <f>K108/F105</f>
        <v>0.09909459459459459</v>
      </c>
    </row>
    <row r="109" spans="1:12" s="31" customFormat="1" ht="12.75" customHeight="1" thickBot="1">
      <c r="A109" s="300"/>
      <c r="B109" s="306"/>
      <c r="C109" s="309"/>
      <c r="D109" s="312"/>
      <c r="E109" s="303"/>
      <c r="F109" s="22">
        <v>370000</v>
      </c>
      <c r="G109" s="27" t="s">
        <v>24</v>
      </c>
      <c r="H109" s="24">
        <f t="shared" si="16"/>
        <v>0</v>
      </c>
      <c r="I109" s="40">
        <f t="shared" si="16"/>
        <v>0</v>
      </c>
      <c r="J109" s="29">
        <f t="shared" si="16"/>
        <v>0</v>
      </c>
      <c r="K109" s="29">
        <f>K105+K107</f>
        <v>0</v>
      </c>
      <c r="L109" s="25"/>
    </row>
    <row r="110" spans="1:12" s="31" customFormat="1" ht="12.75" customHeight="1">
      <c r="A110" s="299">
        <v>18</v>
      </c>
      <c r="B110" s="304" t="s">
        <v>34</v>
      </c>
      <c r="C110" s="307">
        <v>60017</v>
      </c>
      <c r="D110" s="310" t="s">
        <v>32</v>
      </c>
      <c r="E110" s="284">
        <v>2010</v>
      </c>
      <c r="F110" s="8" t="s">
        <v>15</v>
      </c>
      <c r="G110" s="9" t="s">
        <v>16</v>
      </c>
      <c r="H110" s="37">
        <v>1283</v>
      </c>
      <c r="I110" s="38">
        <v>105000</v>
      </c>
      <c r="J110" s="41">
        <v>36523</v>
      </c>
      <c r="K110" s="12">
        <f>H110+J110</f>
        <v>37806</v>
      </c>
      <c r="L110" s="35">
        <f>K110/F111</f>
        <v>0.15706754078745652</v>
      </c>
    </row>
    <row r="111" spans="1:12" s="31" customFormat="1" ht="12.75" customHeight="1">
      <c r="A111" s="300"/>
      <c r="B111" s="305"/>
      <c r="C111" s="308"/>
      <c r="D111" s="311"/>
      <c r="E111" s="281"/>
      <c r="F111" s="14">
        <v>240699</v>
      </c>
      <c r="G111" s="15" t="s">
        <v>17</v>
      </c>
      <c r="H111" s="20"/>
      <c r="I111" s="39"/>
      <c r="J111" s="21"/>
      <c r="K111" s="21"/>
      <c r="L111" s="19"/>
    </row>
    <row r="112" spans="1:12" s="31" customFormat="1" ht="11.25" customHeight="1">
      <c r="A112" s="300"/>
      <c r="B112" s="305"/>
      <c r="C112" s="308"/>
      <c r="D112" s="311"/>
      <c r="E112" s="301"/>
      <c r="F112" s="14" t="s">
        <v>18</v>
      </c>
      <c r="G112" s="15" t="s">
        <v>19</v>
      </c>
      <c r="H112" s="20"/>
      <c r="I112" s="39"/>
      <c r="J112" s="21"/>
      <c r="K112" s="21"/>
      <c r="L112" s="19"/>
    </row>
    <row r="113" spans="1:12" s="31" customFormat="1" ht="10.5" customHeight="1">
      <c r="A113" s="300"/>
      <c r="B113" s="305"/>
      <c r="C113" s="308"/>
      <c r="D113" s="311"/>
      <c r="E113" s="302">
        <v>2013</v>
      </c>
      <c r="F113" s="14">
        <v>0</v>
      </c>
      <c r="G113" s="15" t="s">
        <v>21</v>
      </c>
      <c r="H113" s="20"/>
      <c r="I113" s="39"/>
      <c r="J113" s="21"/>
      <c r="K113" s="21"/>
      <c r="L113" s="19"/>
    </row>
    <row r="114" spans="1:12" s="31" customFormat="1" ht="10.5" customHeight="1">
      <c r="A114" s="300"/>
      <c r="B114" s="305"/>
      <c r="C114" s="308"/>
      <c r="D114" s="311"/>
      <c r="E114" s="281"/>
      <c r="F114" s="14" t="s">
        <v>33</v>
      </c>
      <c r="G114" s="15" t="s">
        <v>23</v>
      </c>
      <c r="H114" s="20">
        <f aca="true" t="shared" si="17" ref="H114:J115">H110+H112</f>
        <v>1283</v>
      </c>
      <c r="I114" s="39">
        <f t="shared" si="17"/>
        <v>105000</v>
      </c>
      <c r="J114" s="21">
        <f t="shared" si="17"/>
        <v>36523</v>
      </c>
      <c r="K114" s="21">
        <f>K110+K112</f>
        <v>37806</v>
      </c>
      <c r="L114" s="36">
        <f>K114/F111</f>
        <v>0.15706754078745652</v>
      </c>
    </row>
    <row r="115" spans="1:12" s="31" customFormat="1" ht="12" customHeight="1" thickBot="1">
      <c r="A115" s="290"/>
      <c r="B115" s="306"/>
      <c r="C115" s="309"/>
      <c r="D115" s="312"/>
      <c r="E115" s="303"/>
      <c r="F115" s="22">
        <v>240699</v>
      </c>
      <c r="G115" s="27" t="s">
        <v>24</v>
      </c>
      <c r="H115" s="24">
        <f t="shared" si="17"/>
        <v>0</v>
      </c>
      <c r="I115" s="40">
        <f t="shared" si="17"/>
        <v>0</v>
      </c>
      <c r="J115" s="29">
        <f t="shared" si="17"/>
        <v>0</v>
      </c>
      <c r="K115" s="29">
        <f>K111+K113</f>
        <v>0</v>
      </c>
      <c r="L115" s="25"/>
    </row>
    <row r="116" spans="1:12" s="31" customFormat="1" ht="12.75" customHeight="1">
      <c r="A116" s="299">
        <v>19</v>
      </c>
      <c r="B116" s="304" t="s">
        <v>37</v>
      </c>
      <c r="C116" s="307">
        <v>60017</v>
      </c>
      <c r="D116" s="310" t="s">
        <v>32</v>
      </c>
      <c r="E116" s="284">
        <v>2010</v>
      </c>
      <c r="F116" s="8" t="s">
        <v>15</v>
      </c>
      <c r="G116" s="9" t="s">
        <v>16</v>
      </c>
      <c r="H116" s="37">
        <v>637583</v>
      </c>
      <c r="I116" s="38">
        <v>1918000</v>
      </c>
      <c r="J116" s="41">
        <v>1628665</v>
      </c>
      <c r="K116" s="12">
        <f>H116+J116</f>
        <v>2266248</v>
      </c>
      <c r="L116" s="35">
        <f>K116/F117</f>
        <v>0.480851127935051</v>
      </c>
    </row>
    <row r="117" spans="1:12" s="31" customFormat="1" ht="10.5" customHeight="1">
      <c r="A117" s="300"/>
      <c r="B117" s="305"/>
      <c r="C117" s="308"/>
      <c r="D117" s="311"/>
      <c r="E117" s="281"/>
      <c r="F117" s="14">
        <v>4712993</v>
      </c>
      <c r="G117" s="15" t="s">
        <v>17</v>
      </c>
      <c r="H117" s="20"/>
      <c r="I117" s="39"/>
      <c r="J117" s="21"/>
      <c r="K117" s="21"/>
      <c r="L117" s="19"/>
    </row>
    <row r="118" spans="1:12" s="31" customFormat="1" ht="11.25" customHeight="1">
      <c r="A118" s="300"/>
      <c r="B118" s="305"/>
      <c r="C118" s="308"/>
      <c r="D118" s="311"/>
      <c r="E118" s="301"/>
      <c r="F118" s="14" t="s">
        <v>18</v>
      </c>
      <c r="G118" s="15" t="s">
        <v>19</v>
      </c>
      <c r="H118" s="20"/>
      <c r="I118" s="39"/>
      <c r="J118" s="21"/>
      <c r="K118" s="21"/>
      <c r="L118" s="19"/>
    </row>
    <row r="119" spans="1:12" s="31" customFormat="1" ht="10.5" customHeight="1">
      <c r="A119" s="300"/>
      <c r="B119" s="305"/>
      <c r="C119" s="308"/>
      <c r="D119" s="311"/>
      <c r="E119" s="302">
        <v>2013</v>
      </c>
      <c r="F119" s="14">
        <v>0</v>
      </c>
      <c r="G119" s="15" t="s">
        <v>21</v>
      </c>
      <c r="H119" s="20"/>
      <c r="I119" s="39"/>
      <c r="J119" s="21"/>
      <c r="K119" s="21"/>
      <c r="L119" s="19"/>
    </row>
    <row r="120" spans="1:12" s="31" customFormat="1" ht="12.75" customHeight="1">
      <c r="A120" s="300"/>
      <c r="B120" s="305"/>
      <c r="C120" s="308"/>
      <c r="D120" s="311"/>
      <c r="E120" s="281"/>
      <c r="F120" s="14" t="s">
        <v>33</v>
      </c>
      <c r="G120" s="15" t="s">
        <v>23</v>
      </c>
      <c r="H120" s="20">
        <f aca="true" t="shared" si="18" ref="H120:J121">H116+H118</f>
        <v>637583</v>
      </c>
      <c r="I120" s="39">
        <f t="shared" si="18"/>
        <v>1918000</v>
      </c>
      <c r="J120" s="21">
        <f t="shared" si="18"/>
        <v>1628665</v>
      </c>
      <c r="K120" s="21">
        <f>K116+K118</f>
        <v>2266248</v>
      </c>
      <c r="L120" s="36">
        <f>K120/F117</f>
        <v>0.480851127935051</v>
      </c>
    </row>
    <row r="121" spans="1:12" s="31" customFormat="1" ht="12.75" customHeight="1" thickBot="1">
      <c r="A121" s="300"/>
      <c r="B121" s="306"/>
      <c r="C121" s="309"/>
      <c r="D121" s="312"/>
      <c r="E121" s="303"/>
      <c r="F121" s="22">
        <v>4712993</v>
      </c>
      <c r="G121" s="27" t="s">
        <v>24</v>
      </c>
      <c r="H121" s="24">
        <f t="shared" si="18"/>
        <v>0</v>
      </c>
      <c r="I121" s="40">
        <f t="shared" si="18"/>
        <v>0</v>
      </c>
      <c r="J121" s="29">
        <f t="shared" si="18"/>
        <v>0</v>
      </c>
      <c r="K121" s="29">
        <f>K117+K119</f>
        <v>0</v>
      </c>
      <c r="L121" s="25"/>
    </row>
    <row r="122" spans="1:12" s="31" customFormat="1" ht="12.75" customHeight="1">
      <c r="A122" s="299">
        <v>20</v>
      </c>
      <c r="B122" s="304" t="s">
        <v>38</v>
      </c>
      <c r="C122" s="307">
        <v>60017</v>
      </c>
      <c r="D122" s="310" t="s">
        <v>32</v>
      </c>
      <c r="E122" s="284">
        <v>2010</v>
      </c>
      <c r="F122" s="8" t="s">
        <v>15</v>
      </c>
      <c r="G122" s="9" t="s">
        <v>16</v>
      </c>
      <c r="H122" s="37">
        <v>5481</v>
      </c>
      <c r="I122" s="38">
        <v>80000</v>
      </c>
      <c r="J122" s="41">
        <v>1883</v>
      </c>
      <c r="K122" s="12">
        <f>H122+J122</f>
        <v>7364</v>
      </c>
      <c r="L122" s="35">
        <f>K122/F123</f>
        <v>0.023527156549520766</v>
      </c>
    </row>
    <row r="123" spans="1:12" s="31" customFormat="1" ht="12.75" customHeight="1">
      <c r="A123" s="300"/>
      <c r="B123" s="305"/>
      <c r="C123" s="308"/>
      <c r="D123" s="311"/>
      <c r="E123" s="281"/>
      <c r="F123" s="14">
        <v>313000</v>
      </c>
      <c r="G123" s="15" t="s">
        <v>17</v>
      </c>
      <c r="H123" s="20"/>
      <c r="I123" s="39"/>
      <c r="J123" s="21"/>
      <c r="K123" s="21"/>
      <c r="L123" s="19"/>
    </row>
    <row r="124" spans="1:12" s="31" customFormat="1" ht="12.75" customHeight="1">
      <c r="A124" s="300"/>
      <c r="B124" s="305"/>
      <c r="C124" s="308"/>
      <c r="D124" s="311"/>
      <c r="E124" s="301"/>
      <c r="F124" s="14" t="s">
        <v>18</v>
      </c>
      <c r="G124" s="15" t="s">
        <v>19</v>
      </c>
      <c r="H124" s="20"/>
      <c r="I124" s="39"/>
      <c r="J124" s="21"/>
      <c r="K124" s="21"/>
      <c r="L124" s="19"/>
    </row>
    <row r="125" spans="1:12" s="31" customFormat="1" ht="10.5" customHeight="1">
      <c r="A125" s="300"/>
      <c r="B125" s="305"/>
      <c r="C125" s="308"/>
      <c r="D125" s="311"/>
      <c r="E125" s="302">
        <v>2013</v>
      </c>
      <c r="F125" s="14">
        <v>0</v>
      </c>
      <c r="G125" s="15" t="s">
        <v>21</v>
      </c>
      <c r="H125" s="20"/>
      <c r="I125" s="39"/>
      <c r="J125" s="21"/>
      <c r="K125" s="21"/>
      <c r="L125" s="19"/>
    </row>
    <row r="126" spans="1:12" s="31" customFormat="1" ht="12.75" customHeight="1">
      <c r="A126" s="300"/>
      <c r="B126" s="305"/>
      <c r="C126" s="308"/>
      <c r="D126" s="311"/>
      <c r="E126" s="281"/>
      <c r="F126" s="14" t="s">
        <v>33</v>
      </c>
      <c r="G126" s="15" t="s">
        <v>23</v>
      </c>
      <c r="H126" s="20">
        <f aca="true" t="shared" si="19" ref="H126:J127">H122+H124</f>
        <v>5481</v>
      </c>
      <c r="I126" s="39">
        <f t="shared" si="19"/>
        <v>80000</v>
      </c>
      <c r="J126" s="21">
        <f t="shared" si="19"/>
        <v>1883</v>
      </c>
      <c r="K126" s="21">
        <f>K122+K124</f>
        <v>7364</v>
      </c>
      <c r="L126" s="36">
        <f>K126/F123</f>
        <v>0.023527156549520766</v>
      </c>
    </row>
    <row r="127" spans="1:12" s="31" customFormat="1" ht="12.75" customHeight="1" thickBot="1">
      <c r="A127" s="290"/>
      <c r="B127" s="306"/>
      <c r="C127" s="309"/>
      <c r="D127" s="312"/>
      <c r="E127" s="303"/>
      <c r="F127" s="22">
        <v>313000</v>
      </c>
      <c r="G127" s="27" t="s">
        <v>24</v>
      </c>
      <c r="H127" s="24">
        <f t="shared" si="19"/>
        <v>0</v>
      </c>
      <c r="I127" s="40">
        <f t="shared" si="19"/>
        <v>0</v>
      </c>
      <c r="J127" s="29">
        <f t="shared" si="19"/>
        <v>0</v>
      </c>
      <c r="K127" s="29">
        <f>K123+K125</f>
        <v>0</v>
      </c>
      <c r="L127" s="25"/>
    </row>
    <row r="128" spans="1:12" s="31" customFormat="1" ht="12.75" customHeight="1">
      <c r="A128" s="299">
        <v>21</v>
      </c>
      <c r="B128" s="304" t="s">
        <v>41</v>
      </c>
      <c r="C128" s="307">
        <v>90001</v>
      </c>
      <c r="D128" s="310" t="s">
        <v>32</v>
      </c>
      <c r="E128" s="284">
        <v>2007</v>
      </c>
      <c r="F128" s="8" t="s">
        <v>15</v>
      </c>
      <c r="G128" s="9" t="s">
        <v>16</v>
      </c>
      <c r="H128" s="37">
        <v>784429</v>
      </c>
      <c r="I128" s="38">
        <f>53230+740000</f>
        <v>793230</v>
      </c>
      <c r="J128" s="41">
        <v>691469</v>
      </c>
      <c r="K128" s="12">
        <f>H128+J128</f>
        <v>1475898</v>
      </c>
      <c r="L128" s="35">
        <f>K128/F129</f>
        <v>0.9221688210418979</v>
      </c>
    </row>
    <row r="129" spans="1:12" s="31" customFormat="1" ht="12" customHeight="1">
      <c r="A129" s="300"/>
      <c r="B129" s="305"/>
      <c r="C129" s="308"/>
      <c r="D129" s="311"/>
      <c r="E129" s="281"/>
      <c r="F129" s="14">
        <v>1600464</v>
      </c>
      <c r="G129" s="15" t="s">
        <v>17</v>
      </c>
      <c r="H129" s="20"/>
      <c r="I129" s="39"/>
      <c r="J129" s="21"/>
      <c r="K129" s="21"/>
      <c r="L129" s="19"/>
    </row>
    <row r="130" spans="1:12" s="31" customFormat="1" ht="11.25" customHeight="1">
      <c r="A130" s="300"/>
      <c r="B130" s="305"/>
      <c r="C130" s="308"/>
      <c r="D130" s="311"/>
      <c r="E130" s="301"/>
      <c r="F130" s="14" t="s">
        <v>18</v>
      </c>
      <c r="G130" s="15" t="s">
        <v>19</v>
      </c>
      <c r="H130" s="20"/>
      <c r="I130" s="39"/>
      <c r="J130" s="21"/>
      <c r="K130" s="21"/>
      <c r="L130" s="19"/>
    </row>
    <row r="131" spans="1:12" s="31" customFormat="1" ht="11.25" customHeight="1">
      <c r="A131" s="300"/>
      <c r="B131" s="305"/>
      <c r="C131" s="308"/>
      <c r="D131" s="311"/>
      <c r="E131" s="302">
        <v>2012</v>
      </c>
      <c r="F131" s="14">
        <v>0</v>
      </c>
      <c r="G131" s="15" t="s">
        <v>21</v>
      </c>
      <c r="H131" s="20"/>
      <c r="I131" s="39"/>
      <c r="J131" s="21"/>
      <c r="K131" s="21"/>
      <c r="L131" s="19"/>
    </row>
    <row r="132" spans="1:12" s="31" customFormat="1" ht="12" customHeight="1">
      <c r="A132" s="300"/>
      <c r="B132" s="305"/>
      <c r="C132" s="308"/>
      <c r="D132" s="311"/>
      <c r="E132" s="281"/>
      <c r="F132" s="14" t="s">
        <v>33</v>
      </c>
      <c r="G132" s="15" t="s">
        <v>23</v>
      </c>
      <c r="H132" s="20">
        <f aca="true" t="shared" si="20" ref="H132:J133">H128+H130</f>
        <v>784429</v>
      </c>
      <c r="I132" s="39">
        <f t="shared" si="20"/>
        <v>793230</v>
      </c>
      <c r="J132" s="21">
        <f t="shared" si="20"/>
        <v>691469</v>
      </c>
      <c r="K132" s="21">
        <f>K128+K130</f>
        <v>1475898</v>
      </c>
      <c r="L132" s="36">
        <f>K132/F129</f>
        <v>0.9221688210418979</v>
      </c>
    </row>
    <row r="133" spans="1:12" s="31" customFormat="1" ht="12.75" customHeight="1" thickBot="1">
      <c r="A133" s="300"/>
      <c r="B133" s="306"/>
      <c r="C133" s="309"/>
      <c r="D133" s="312"/>
      <c r="E133" s="303"/>
      <c r="F133" s="22">
        <v>1600464</v>
      </c>
      <c r="G133" s="27" t="s">
        <v>24</v>
      </c>
      <c r="H133" s="24">
        <f t="shared" si="20"/>
        <v>0</v>
      </c>
      <c r="I133" s="40">
        <f t="shared" si="20"/>
        <v>0</v>
      </c>
      <c r="J133" s="29">
        <f t="shared" si="20"/>
        <v>0</v>
      </c>
      <c r="K133" s="29">
        <f>K129+K131</f>
        <v>0</v>
      </c>
      <c r="L133" s="25"/>
    </row>
    <row r="134" spans="1:12" s="31" customFormat="1" ht="12.75" customHeight="1">
      <c r="A134" s="299">
        <v>22</v>
      </c>
      <c r="B134" s="304" t="s">
        <v>42</v>
      </c>
      <c r="C134" s="307">
        <v>90001</v>
      </c>
      <c r="D134" s="310" t="s">
        <v>32</v>
      </c>
      <c r="E134" s="284">
        <v>2007</v>
      </c>
      <c r="F134" s="8" t="s">
        <v>15</v>
      </c>
      <c r="G134" s="9" t="s">
        <v>16</v>
      </c>
      <c r="H134" s="37">
        <v>10391888</v>
      </c>
      <c r="I134" s="38">
        <f>4100813+4339000</f>
        <v>8439813</v>
      </c>
      <c r="J134" s="41">
        <v>5883905</v>
      </c>
      <c r="K134" s="12">
        <f>H134+J134</f>
        <v>16275793</v>
      </c>
      <c r="L134" s="35">
        <f>K134/F135</f>
        <v>0.5076619216807678</v>
      </c>
    </row>
    <row r="135" spans="1:12" s="31" customFormat="1" ht="11.25" customHeight="1">
      <c r="A135" s="300"/>
      <c r="B135" s="305"/>
      <c r="C135" s="308"/>
      <c r="D135" s="311"/>
      <c r="E135" s="281"/>
      <c r="F135" s="14">
        <v>32060299</v>
      </c>
      <c r="G135" s="15" t="s">
        <v>17</v>
      </c>
      <c r="H135" s="20"/>
      <c r="I135" s="39"/>
      <c r="J135" s="21"/>
      <c r="K135" s="21"/>
      <c r="L135" s="19"/>
    </row>
    <row r="136" spans="1:12" s="31" customFormat="1" ht="12.75" customHeight="1">
      <c r="A136" s="300"/>
      <c r="B136" s="305"/>
      <c r="C136" s="308"/>
      <c r="D136" s="311"/>
      <c r="E136" s="301"/>
      <c r="F136" s="14" t="s">
        <v>18</v>
      </c>
      <c r="G136" s="15" t="s">
        <v>19</v>
      </c>
      <c r="H136" s="20"/>
      <c r="I136" s="39"/>
      <c r="J136" s="21"/>
      <c r="K136" s="21"/>
      <c r="L136" s="19"/>
    </row>
    <row r="137" spans="1:12" s="31" customFormat="1" ht="9.75" customHeight="1">
      <c r="A137" s="300"/>
      <c r="B137" s="305"/>
      <c r="C137" s="308"/>
      <c r="D137" s="311"/>
      <c r="E137" s="302">
        <v>2014</v>
      </c>
      <c r="F137" s="14">
        <v>0</v>
      </c>
      <c r="G137" s="15" t="s">
        <v>21</v>
      </c>
      <c r="H137" s="20"/>
      <c r="I137" s="39"/>
      <c r="J137" s="21"/>
      <c r="K137" s="21"/>
      <c r="L137" s="19"/>
    </row>
    <row r="138" spans="1:12" s="31" customFormat="1" ht="12.75" customHeight="1">
      <c r="A138" s="300"/>
      <c r="B138" s="305"/>
      <c r="C138" s="308"/>
      <c r="D138" s="311"/>
      <c r="E138" s="281"/>
      <c r="F138" s="14" t="s">
        <v>33</v>
      </c>
      <c r="G138" s="15" t="s">
        <v>23</v>
      </c>
      <c r="H138" s="20">
        <f aca="true" t="shared" si="21" ref="H138:J139">H134+H136</f>
        <v>10391888</v>
      </c>
      <c r="I138" s="39">
        <f t="shared" si="21"/>
        <v>8439813</v>
      </c>
      <c r="J138" s="21">
        <f t="shared" si="21"/>
        <v>5883905</v>
      </c>
      <c r="K138" s="21">
        <f>K134+K136</f>
        <v>16275793</v>
      </c>
      <c r="L138" s="36">
        <f>K138/F135</f>
        <v>0.5076619216807678</v>
      </c>
    </row>
    <row r="139" spans="1:12" s="31" customFormat="1" ht="12.75" customHeight="1" thickBot="1">
      <c r="A139" s="290"/>
      <c r="B139" s="306"/>
      <c r="C139" s="309"/>
      <c r="D139" s="312"/>
      <c r="E139" s="303"/>
      <c r="F139" s="22">
        <v>32060299</v>
      </c>
      <c r="G139" s="27" t="s">
        <v>24</v>
      </c>
      <c r="H139" s="24">
        <f t="shared" si="21"/>
        <v>0</v>
      </c>
      <c r="I139" s="40">
        <f t="shared" si="21"/>
        <v>0</v>
      </c>
      <c r="J139" s="29">
        <f t="shared" si="21"/>
        <v>0</v>
      </c>
      <c r="K139" s="29">
        <f>K135+K137</f>
        <v>0</v>
      </c>
      <c r="L139" s="25"/>
    </row>
    <row r="140" spans="1:12" s="31" customFormat="1" ht="12.75" customHeight="1">
      <c r="A140" s="299">
        <v>23</v>
      </c>
      <c r="B140" s="304" t="s">
        <v>43</v>
      </c>
      <c r="C140" s="307">
        <v>90003</v>
      </c>
      <c r="D140" s="310" t="s">
        <v>32</v>
      </c>
      <c r="E140" s="284">
        <v>2007</v>
      </c>
      <c r="F140" s="8" t="s">
        <v>15</v>
      </c>
      <c r="G140" s="9" t="s">
        <v>16</v>
      </c>
      <c r="H140" s="37">
        <v>15119865</v>
      </c>
      <c r="I140" s="38">
        <f>3273388+359318</f>
        <v>3632706</v>
      </c>
      <c r="J140" s="41">
        <v>3622706</v>
      </c>
      <c r="K140" s="12">
        <f>H140+J140</f>
        <v>18742571</v>
      </c>
      <c r="L140" s="35">
        <f>K140/F141</f>
        <v>0.9984594722347279</v>
      </c>
    </row>
    <row r="141" spans="1:12" s="31" customFormat="1" ht="11.25" customHeight="1">
      <c r="A141" s="300"/>
      <c r="B141" s="305"/>
      <c r="C141" s="308"/>
      <c r="D141" s="311"/>
      <c r="E141" s="281"/>
      <c r="F141" s="14">
        <v>18771489</v>
      </c>
      <c r="G141" s="15" t="s">
        <v>17</v>
      </c>
      <c r="H141" s="20"/>
      <c r="I141" s="39"/>
      <c r="J141" s="21"/>
      <c r="K141" s="21"/>
      <c r="L141" s="19"/>
    </row>
    <row r="142" spans="1:12" s="31" customFormat="1" ht="11.25" customHeight="1">
      <c r="A142" s="300"/>
      <c r="B142" s="305"/>
      <c r="C142" s="308"/>
      <c r="D142" s="311"/>
      <c r="E142" s="301"/>
      <c r="F142" s="14" t="s">
        <v>18</v>
      </c>
      <c r="G142" s="15" t="s">
        <v>19</v>
      </c>
      <c r="H142" s="20"/>
      <c r="I142" s="39"/>
      <c r="J142" s="21"/>
      <c r="K142" s="21"/>
      <c r="L142" s="19"/>
    </row>
    <row r="143" spans="1:12" s="31" customFormat="1" ht="12.75" customHeight="1">
      <c r="A143" s="300"/>
      <c r="B143" s="305"/>
      <c r="C143" s="308"/>
      <c r="D143" s="311"/>
      <c r="E143" s="302">
        <v>2013</v>
      </c>
      <c r="F143" s="14">
        <v>0</v>
      </c>
      <c r="G143" s="15" t="s">
        <v>21</v>
      </c>
      <c r="H143" s="20"/>
      <c r="I143" s="39"/>
      <c r="J143" s="21"/>
      <c r="K143" s="21"/>
      <c r="L143" s="19"/>
    </row>
    <row r="144" spans="1:12" s="31" customFormat="1" ht="12.75" customHeight="1">
      <c r="A144" s="300"/>
      <c r="B144" s="305"/>
      <c r="C144" s="308"/>
      <c r="D144" s="311"/>
      <c r="E144" s="281"/>
      <c r="F144" s="14" t="s">
        <v>33</v>
      </c>
      <c r="G144" s="15" t="s">
        <v>23</v>
      </c>
      <c r="H144" s="20">
        <f aca="true" t="shared" si="22" ref="H144:J145">H140+H142</f>
        <v>15119865</v>
      </c>
      <c r="I144" s="39">
        <f t="shared" si="22"/>
        <v>3632706</v>
      </c>
      <c r="J144" s="21">
        <f t="shared" si="22"/>
        <v>3622706</v>
      </c>
      <c r="K144" s="21">
        <f>K140+K142</f>
        <v>18742571</v>
      </c>
      <c r="L144" s="36">
        <f>K144/F141</f>
        <v>0.9984594722347279</v>
      </c>
    </row>
    <row r="145" spans="1:12" s="31" customFormat="1" ht="12.75" customHeight="1" thickBot="1">
      <c r="A145" s="290"/>
      <c r="B145" s="306"/>
      <c r="C145" s="309"/>
      <c r="D145" s="312"/>
      <c r="E145" s="303"/>
      <c r="F145" s="22">
        <v>18771489</v>
      </c>
      <c r="G145" s="27" t="s">
        <v>24</v>
      </c>
      <c r="H145" s="24">
        <f t="shared" si="22"/>
        <v>0</v>
      </c>
      <c r="I145" s="40">
        <f t="shared" si="22"/>
        <v>0</v>
      </c>
      <c r="J145" s="29">
        <f t="shared" si="22"/>
        <v>0</v>
      </c>
      <c r="K145" s="29">
        <f>K141+K143</f>
        <v>0</v>
      </c>
      <c r="L145" s="48"/>
    </row>
    <row r="146" spans="1:12" s="31" customFormat="1" ht="12.75" customHeight="1">
      <c r="A146" s="299">
        <v>24</v>
      </c>
      <c r="B146" s="304" t="s">
        <v>44</v>
      </c>
      <c r="C146" s="307">
        <v>90003</v>
      </c>
      <c r="D146" s="310" t="s">
        <v>32</v>
      </c>
      <c r="E146" s="284">
        <v>2007</v>
      </c>
      <c r="F146" s="8" t="s">
        <v>15</v>
      </c>
      <c r="G146" s="9" t="s">
        <v>16</v>
      </c>
      <c r="H146" s="37">
        <v>3323527</v>
      </c>
      <c r="I146" s="38">
        <f>412822+2920000</f>
        <v>3332822</v>
      </c>
      <c r="J146" s="41">
        <v>1347092</v>
      </c>
      <c r="K146" s="12">
        <f>H146+J146</f>
        <v>4670619</v>
      </c>
      <c r="L146" s="35">
        <f>K146/F147</f>
        <v>0.4988717593120712</v>
      </c>
    </row>
    <row r="147" spans="1:12" s="31" customFormat="1" ht="12.75" customHeight="1">
      <c r="A147" s="300"/>
      <c r="B147" s="305"/>
      <c r="C147" s="308"/>
      <c r="D147" s="311"/>
      <c r="E147" s="281"/>
      <c r="F147" s="14">
        <v>9362364</v>
      </c>
      <c r="G147" s="15" t="s">
        <v>17</v>
      </c>
      <c r="H147" s="20"/>
      <c r="I147" s="39"/>
      <c r="J147" s="21"/>
      <c r="K147" s="21"/>
      <c r="L147" s="19"/>
    </row>
    <row r="148" spans="1:12" s="31" customFormat="1" ht="12.75" customHeight="1">
      <c r="A148" s="300"/>
      <c r="B148" s="305"/>
      <c r="C148" s="308"/>
      <c r="D148" s="311"/>
      <c r="E148" s="301"/>
      <c r="F148" s="14" t="s">
        <v>18</v>
      </c>
      <c r="G148" s="15" t="s">
        <v>19</v>
      </c>
      <c r="H148" s="20"/>
      <c r="I148" s="39"/>
      <c r="J148" s="21"/>
      <c r="K148" s="21"/>
      <c r="L148" s="19"/>
    </row>
    <row r="149" spans="1:12" s="31" customFormat="1" ht="12.75" customHeight="1">
      <c r="A149" s="300"/>
      <c r="B149" s="305"/>
      <c r="C149" s="308"/>
      <c r="D149" s="311"/>
      <c r="E149" s="302">
        <v>2012</v>
      </c>
      <c r="F149" s="14">
        <v>0</v>
      </c>
      <c r="G149" s="15" t="s">
        <v>21</v>
      </c>
      <c r="H149" s="20"/>
      <c r="I149" s="39"/>
      <c r="J149" s="21"/>
      <c r="K149" s="21"/>
      <c r="L149" s="19"/>
    </row>
    <row r="150" spans="1:12" s="31" customFormat="1" ht="12.75" customHeight="1">
      <c r="A150" s="300"/>
      <c r="B150" s="305"/>
      <c r="C150" s="308"/>
      <c r="D150" s="311"/>
      <c r="E150" s="281"/>
      <c r="F150" s="14" t="s">
        <v>33</v>
      </c>
      <c r="G150" s="15" t="s">
        <v>23</v>
      </c>
      <c r="H150" s="20">
        <f aca="true" t="shared" si="23" ref="H150:J151">H146+H148</f>
        <v>3323527</v>
      </c>
      <c r="I150" s="39">
        <f t="shared" si="23"/>
        <v>3332822</v>
      </c>
      <c r="J150" s="21">
        <f t="shared" si="23"/>
        <v>1347092</v>
      </c>
      <c r="K150" s="21">
        <f>K146+K148</f>
        <v>4670619</v>
      </c>
      <c r="L150" s="36">
        <f>K150/F147</f>
        <v>0.4988717593120712</v>
      </c>
    </row>
    <row r="151" spans="1:12" s="31" customFormat="1" ht="12.75" customHeight="1" thickBot="1">
      <c r="A151" s="290"/>
      <c r="B151" s="306"/>
      <c r="C151" s="309"/>
      <c r="D151" s="312"/>
      <c r="E151" s="303"/>
      <c r="F151" s="22">
        <v>9362364</v>
      </c>
      <c r="G151" s="27" t="s">
        <v>24</v>
      </c>
      <c r="H151" s="24">
        <f t="shared" si="23"/>
        <v>0</v>
      </c>
      <c r="I151" s="40">
        <f t="shared" si="23"/>
        <v>0</v>
      </c>
      <c r="J151" s="29">
        <f t="shared" si="23"/>
        <v>0</v>
      </c>
      <c r="K151" s="29">
        <f>K147+K149</f>
        <v>0</v>
      </c>
      <c r="L151" s="25"/>
    </row>
    <row r="152" spans="1:12" s="31" customFormat="1" ht="12.75" customHeight="1">
      <c r="A152" s="299">
        <v>25</v>
      </c>
      <c r="B152" s="304" t="s">
        <v>45</v>
      </c>
      <c r="C152" s="307">
        <v>90003</v>
      </c>
      <c r="D152" s="310" t="s">
        <v>32</v>
      </c>
      <c r="E152" s="284">
        <v>2007</v>
      </c>
      <c r="F152" s="8" t="s">
        <v>15</v>
      </c>
      <c r="G152" s="9" t="s">
        <v>16</v>
      </c>
      <c r="H152" s="37">
        <v>1657589</v>
      </c>
      <c r="I152" s="38">
        <f>163454+533333</f>
        <v>696787</v>
      </c>
      <c r="J152" s="41">
        <v>586114</v>
      </c>
      <c r="K152" s="12">
        <f>H152+J152</f>
        <v>2243703</v>
      </c>
      <c r="L152" s="35">
        <f>K152/F153</f>
        <v>0.764711656341352</v>
      </c>
    </row>
    <row r="153" spans="1:12" s="31" customFormat="1" ht="10.5" customHeight="1">
      <c r="A153" s="300"/>
      <c r="B153" s="305"/>
      <c r="C153" s="308"/>
      <c r="D153" s="311"/>
      <c r="E153" s="281"/>
      <c r="F153" s="14">
        <v>2934051</v>
      </c>
      <c r="G153" s="15" t="s">
        <v>17</v>
      </c>
      <c r="H153" s="20"/>
      <c r="I153" s="39"/>
      <c r="J153" s="21"/>
      <c r="K153" s="21"/>
      <c r="L153" s="19"/>
    </row>
    <row r="154" spans="1:12" s="31" customFormat="1" ht="10.5" customHeight="1">
      <c r="A154" s="300"/>
      <c r="B154" s="305"/>
      <c r="C154" s="308"/>
      <c r="D154" s="311"/>
      <c r="E154" s="301"/>
      <c r="F154" s="14" t="s">
        <v>18</v>
      </c>
      <c r="G154" s="15" t="s">
        <v>19</v>
      </c>
      <c r="H154" s="20"/>
      <c r="I154" s="39"/>
      <c r="J154" s="21"/>
      <c r="K154" s="21"/>
      <c r="L154" s="19"/>
    </row>
    <row r="155" spans="1:12" s="31" customFormat="1" ht="10.5" customHeight="1">
      <c r="A155" s="300"/>
      <c r="B155" s="305"/>
      <c r="C155" s="308"/>
      <c r="D155" s="311"/>
      <c r="E155" s="302">
        <v>2013</v>
      </c>
      <c r="F155" s="14">
        <v>0</v>
      </c>
      <c r="G155" s="15" t="s">
        <v>21</v>
      </c>
      <c r="H155" s="20"/>
      <c r="I155" s="39"/>
      <c r="J155" s="21"/>
      <c r="K155" s="21"/>
      <c r="L155" s="19"/>
    </row>
    <row r="156" spans="1:12" s="31" customFormat="1" ht="12.75" customHeight="1">
      <c r="A156" s="300"/>
      <c r="B156" s="305"/>
      <c r="C156" s="308"/>
      <c r="D156" s="311"/>
      <c r="E156" s="281"/>
      <c r="F156" s="14" t="s">
        <v>33</v>
      </c>
      <c r="G156" s="15" t="s">
        <v>23</v>
      </c>
      <c r="H156" s="20">
        <f aca="true" t="shared" si="24" ref="H156:J157">H152+H154</f>
        <v>1657589</v>
      </c>
      <c r="I156" s="39">
        <f t="shared" si="24"/>
        <v>696787</v>
      </c>
      <c r="J156" s="21">
        <f t="shared" si="24"/>
        <v>586114</v>
      </c>
      <c r="K156" s="21">
        <f>K152+K154</f>
        <v>2243703</v>
      </c>
      <c r="L156" s="36">
        <f>K156/F153</f>
        <v>0.764711656341352</v>
      </c>
    </row>
    <row r="157" spans="1:12" s="31" customFormat="1" ht="12.75" customHeight="1" thickBot="1">
      <c r="A157" s="300"/>
      <c r="B157" s="306"/>
      <c r="C157" s="309"/>
      <c r="D157" s="312"/>
      <c r="E157" s="303"/>
      <c r="F157" s="22">
        <v>2934051</v>
      </c>
      <c r="G157" s="27" t="s">
        <v>24</v>
      </c>
      <c r="H157" s="24">
        <f t="shared" si="24"/>
        <v>0</v>
      </c>
      <c r="I157" s="40">
        <f t="shared" si="24"/>
        <v>0</v>
      </c>
      <c r="J157" s="29">
        <f t="shared" si="24"/>
        <v>0</v>
      </c>
      <c r="K157" s="29">
        <f>K153+K155</f>
        <v>0</v>
      </c>
      <c r="L157" s="25"/>
    </row>
    <row r="158" spans="1:12" s="31" customFormat="1" ht="12.75" customHeight="1">
      <c r="A158" s="299">
        <v>26</v>
      </c>
      <c r="B158" s="304" t="s">
        <v>46</v>
      </c>
      <c r="C158" s="307">
        <v>90003</v>
      </c>
      <c r="D158" s="310" t="s">
        <v>32</v>
      </c>
      <c r="E158" s="284">
        <v>2007</v>
      </c>
      <c r="F158" s="8" t="s">
        <v>15</v>
      </c>
      <c r="G158" s="9" t="s">
        <v>16</v>
      </c>
      <c r="H158" s="37">
        <v>1793729</v>
      </c>
      <c r="I158" s="38">
        <f>201653+625000</f>
        <v>826653</v>
      </c>
      <c r="J158" s="41">
        <v>754256</v>
      </c>
      <c r="K158" s="12">
        <f>H158+J158</f>
        <v>2547985</v>
      </c>
      <c r="L158" s="35">
        <f>K158/F159</f>
        <v>0.7730450234630254</v>
      </c>
    </row>
    <row r="159" spans="1:12" s="31" customFormat="1" ht="12" customHeight="1">
      <c r="A159" s="300"/>
      <c r="B159" s="305"/>
      <c r="C159" s="308"/>
      <c r="D159" s="311"/>
      <c r="E159" s="281"/>
      <c r="F159" s="14">
        <v>3296037</v>
      </c>
      <c r="G159" s="15" t="s">
        <v>17</v>
      </c>
      <c r="H159" s="20"/>
      <c r="I159" s="39"/>
      <c r="J159" s="21"/>
      <c r="K159" s="21"/>
      <c r="L159" s="19"/>
    </row>
    <row r="160" spans="1:12" s="31" customFormat="1" ht="12" customHeight="1">
      <c r="A160" s="300"/>
      <c r="B160" s="305"/>
      <c r="C160" s="308"/>
      <c r="D160" s="311"/>
      <c r="E160" s="301"/>
      <c r="F160" s="14" t="s">
        <v>18</v>
      </c>
      <c r="G160" s="15" t="s">
        <v>19</v>
      </c>
      <c r="H160" s="20"/>
      <c r="I160" s="39"/>
      <c r="J160" s="21"/>
      <c r="K160" s="21"/>
      <c r="L160" s="19"/>
    </row>
    <row r="161" spans="1:12" s="31" customFormat="1" ht="9.75" customHeight="1">
      <c r="A161" s="300"/>
      <c r="B161" s="305"/>
      <c r="C161" s="308"/>
      <c r="D161" s="311"/>
      <c r="E161" s="302">
        <v>2013</v>
      </c>
      <c r="F161" s="14">
        <v>0</v>
      </c>
      <c r="G161" s="15" t="s">
        <v>21</v>
      </c>
      <c r="H161" s="20"/>
      <c r="I161" s="39"/>
      <c r="J161" s="21"/>
      <c r="K161" s="21"/>
      <c r="L161" s="19"/>
    </row>
    <row r="162" spans="1:12" s="31" customFormat="1" ht="12.75" customHeight="1">
      <c r="A162" s="300"/>
      <c r="B162" s="305"/>
      <c r="C162" s="308"/>
      <c r="D162" s="311"/>
      <c r="E162" s="281"/>
      <c r="F162" s="14" t="s">
        <v>33</v>
      </c>
      <c r="G162" s="15" t="s">
        <v>23</v>
      </c>
      <c r="H162" s="20">
        <f aca="true" t="shared" si="25" ref="H162:J163">H158+H160</f>
        <v>1793729</v>
      </c>
      <c r="I162" s="39">
        <f t="shared" si="25"/>
        <v>826653</v>
      </c>
      <c r="J162" s="21">
        <f t="shared" si="25"/>
        <v>754256</v>
      </c>
      <c r="K162" s="21">
        <f>K158+K160</f>
        <v>2547985</v>
      </c>
      <c r="L162" s="36">
        <f>K162/F159</f>
        <v>0.7730450234630254</v>
      </c>
    </row>
    <row r="163" spans="1:12" s="31" customFormat="1" ht="12.75" customHeight="1" thickBot="1">
      <c r="A163" s="290"/>
      <c r="B163" s="306"/>
      <c r="C163" s="309"/>
      <c r="D163" s="312"/>
      <c r="E163" s="303"/>
      <c r="F163" s="22">
        <v>3296037</v>
      </c>
      <c r="G163" s="27" t="s">
        <v>24</v>
      </c>
      <c r="H163" s="24">
        <f t="shared" si="25"/>
        <v>0</v>
      </c>
      <c r="I163" s="40">
        <f t="shared" si="25"/>
        <v>0</v>
      </c>
      <c r="J163" s="29">
        <f t="shared" si="25"/>
        <v>0</v>
      </c>
      <c r="K163" s="29">
        <f>K159+K161</f>
        <v>0</v>
      </c>
      <c r="L163" s="25"/>
    </row>
    <row r="164" spans="1:12" s="31" customFormat="1" ht="12.75" customHeight="1">
      <c r="A164" s="299">
        <v>27</v>
      </c>
      <c r="B164" s="304" t="s">
        <v>47</v>
      </c>
      <c r="C164" s="307">
        <v>90003</v>
      </c>
      <c r="D164" s="310" t="s">
        <v>32</v>
      </c>
      <c r="E164" s="284">
        <v>2007</v>
      </c>
      <c r="F164" s="8" t="s">
        <v>15</v>
      </c>
      <c r="G164" s="9" t="s">
        <v>16</v>
      </c>
      <c r="H164" s="37">
        <v>7159750</v>
      </c>
      <c r="I164" s="38">
        <f>852844+2653125</f>
        <v>3505969</v>
      </c>
      <c r="J164" s="41">
        <v>2472177</v>
      </c>
      <c r="K164" s="12">
        <f>H164+J164</f>
        <v>9631927</v>
      </c>
      <c r="L164" s="35">
        <f>K164/F165</f>
        <v>0.7051447625876286</v>
      </c>
    </row>
    <row r="165" spans="1:12" s="31" customFormat="1" ht="12" customHeight="1">
      <c r="A165" s="300"/>
      <c r="B165" s="305"/>
      <c r="C165" s="308"/>
      <c r="D165" s="311"/>
      <c r="E165" s="281"/>
      <c r="F165" s="14">
        <v>13659503</v>
      </c>
      <c r="G165" s="15" t="s">
        <v>17</v>
      </c>
      <c r="H165" s="20"/>
      <c r="I165" s="39"/>
      <c r="J165" s="21"/>
      <c r="K165" s="21"/>
      <c r="L165" s="19"/>
    </row>
    <row r="166" spans="1:12" s="31" customFormat="1" ht="11.25" customHeight="1">
      <c r="A166" s="300"/>
      <c r="B166" s="305"/>
      <c r="C166" s="308"/>
      <c r="D166" s="311"/>
      <c r="E166" s="301"/>
      <c r="F166" s="14" t="s">
        <v>18</v>
      </c>
      <c r="G166" s="15" t="s">
        <v>19</v>
      </c>
      <c r="H166" s="20"/>
      <c r="I166" s="39"/>
      <c r="J166" s="21"/>
      <c r="K166" s="21"/>
      <c r="L166" s="19"/>
    </row>
    <row r="167" spans="1:12" s="31" customFormat="1" ht="10.5" customHeight="1">
      <c r="A167" s="300"/>
      <c r="B167" s="305"/>
      <c r="C167" s="308"/>
      <c r="D167" s="311"/>
      <c r="E167" s="302">
        <v>2013</v>
      </c>
      <c r="F167" s="14">
        <v>0</v>
      </c>
      <c r="G167" s="15" t="s">
        <v>21</v>
      </c>
      <c r="H167" s="20"/>
      <c r="I167" s="39"/>
      <c r="J167" s="21"/>
      <c r="K167" s="21"/>
      <c r="L167" s="19"/>
    </row>
    <row r="168" spans="1:12" s="31" customFormat="1" ht="12.75" customHeight="1">
      <c r="A168" s="300"/>
      <c r="B168" s="305"/>
      <c r="C168" s="308"/>
      <c r="D168" s="311"/>
      <c r="E168" s="281"/>
      <c r="F168" s="14" t="s">
        <v>33</v>
      </c>
      <c r="G168" s="15" t="s">
        <v>23</v>
      </c>
      <c r="H168" s="20">
        <f aca="true" t="shared" si="26" ref="H168:J169">H164+H166</f>
        <v>7159750</v>
      </c>
      <c r="I168" s="39">
        <f t="shared" si="26"/>
        <v>3505969</v>
      </c>
      <c r="J168" s="21">
        <f t="shared" si="26"/>
        <v>2472177</v>
      </c>
      <c r="K168" s="21">
        <f>K164+K166</f>
        <v>9631927</v>
      </c>
      <c r="L168" s="36">
        <f>K168/F165</f>
        <v>0.7051447625876286</v>
      </c>
    </row>
    <row r="169" spans="1:12" s="31" customFormat="1" ht="12.75" customHeight="1" thickBot="1">
      <c r="A169" s="300"/>
      <c r="B169" s="306"/>
      <c r="C169" s="309"/>
      <c r="D169" s="312"/>
      <c r="E169" s="303"/>
      <c r="F169" s="22">
        <v>13659503</v>
      </c>
      <c r="G169" s="27" t="s">
        <v>24</v>
      </c>
      <c r="H169" s="24">
        <f t="shared" si="26"/>
        <v>0</v>
      </c>
      <c r="I169" s="40">
        <f t="shared" si="26"/>
        <v>0</v>
      </c>
      <c r="J169" s="29">
        <f t="shared" si="26"/>
        <v>0</v>
      </c>
      <c r="K169" s="29">
        <f>K165+K167</f>
        <v>0</v>
      </c>
      <c r="L169" s="25"/>
    </row>
    <row r="170" spans="1:12" s="31" customFormat="1" ht="12.75" customHeight="1">
      <c r="A170" s="299">
        <v>28</v>
      </c>
      <c r="B170" s="304" t="s">
        <v>48</v>
      </c>
      <c r="C170" s="307">
        <v>90004</v>
      </c>
      <c r="D170" s="310" t="s">
        <v>32</v>
      </c>
      <c r="E170" s="284">
        <v>2008</v>
      </c>
      <c r="F170" s="8" t="s">
        <v>15</v>
      </c>
      <c r="G170" s="9" t="s">
        <v>16</v>
      </c>
      <c r="H170" s="37">
        <v>677800</v>
      </c>
      <c r="I170" s="38">
        <f>93486+175000</f>
        <v>268486</v>
      </c>
      <c r="J170" s="41">
        <v>204800</v>
      </c>
      <c r="K170" s="12">
        <f>H170+J170</f>
        <v>882600</v>
      </c>
      <c r="L170" s="35">
        <f>K170/F171</f>
        <v>0.7109285325922794</v>
      </c>
    </row>
    <row r="171" spans="1:12" s="31" customFormat="1" ht="12.75" customHeight="1">
      <c r="A171" s="300"/>
      <c r="B171" s="305"/>
      <c r="C171" s="308"/>
      <c r="D171" s="311"/>
      <c r="E171" s="281"/>
      <c r="F171" s="14">
        <v>1241475</v>
      </c>
      <c r="G171" s="15" t="s">
        <v>17</v>
      </c>
      <c r="H171" s="20"/>
      <c r="I171" s="39"/>
      <c r="J171" s="21"/>
      <c r="K171" s="21"/>
      <c r="L171" s="19"/>
    </row>
    <row r="172" spans="1:12" s="31" customFormat="1" ht="11.25" customHeight="1">
      <c r="A172" s="300"/>
      <c r="B172" s="305"/>
      <c r="C172" s="308"/>
      <c r="D172" s="311"/>
      <c r="E172" s="301"/>
      <c r="F172" s="14" t="s">
        <v>18</v>
      </c>
      <c r="G172" s="15" t="s">
        <v>19</v>
      </c>
      <c r="H172" s="20"/>
      <c r="I172" s="39"/>
      <c r="J172" s="21"/>
      <c r="K172" s="21"/>
      <c r="L172" s="19"/>
    </row>
    <row r="173" spans="1:12" s="31" customFormat="1" ht="12" customHeight="1">
      <c r="A173" s="300"/>
      <c r="B173" s="305"/>
      <c r="C173" s="308"/>
      <c r="D173" s="311"/>
      <c r="E173" s="302">
        <v>2013</v>
      </c>
      <c r="F173" s="14">
        <v>0</v>
      </c>
      <c r="G173" s="15" t="s">
        <v>21</v>
      </c>
      <c r="H173" s="20"/>
      <c r="I173" s="39"/>
      <c r="J173" s="21"/>
      <c r="K173" s="21"/>
      <c r="L173" s="19"/>
    </row>
    <row r="174" spans="1:12" s="31" customFormat="1" ht="12.75" customHeight="1">
      <c r="A174" s="300"/>
      <c r="B174" s="305"/>
      <c r="C174" s="308"/>
      <c r="D174" s="311"/>
      <c r="E174" s="281"/>
      <c r="F174" s="14" t="s">
        <v>33</v>
      </c>
      <c r="G174" s="15" t="s">
        <v>23</v>
      </c>
      <c r="H174" s="20">
        <f aca="true" t="shared" si="27" ref="H174:J175">H170+H172</f>
        <v>677800</v>
      </c>
      <c r="I174" s="39">
        <f t="shared" si="27"/>
        <v>268486</v>
      </c>
      <c r="J174" s="21">
        <f t="shared" si="27"/>
        <v>204800</v>
      </c>
      <c r="K174" s="21">
        <f>K170+K172</f>
        <v>882600</v>
      </c>
      <c r="L174" s="36">
        <f>K174/F171</f>
        <v>0.7109285325922794</v>
      </c>
    </row>
    <row r="175" spans="1:12" s="31" customFormat="1" ht="12.75" customHeight="1" thickBot="1">
      <c r="A175" s="290"/>
      <c r="B175" s="306"/>
      <c r="C175" s="309"/>
      <c r="D175" s="312"/>
      <c r="E175" s="303"/>
      <c r="F175" s="22">
        <v>1241475</v>
      </c>
      <c r="G175" s="27" t="s">
        <v>24</v>
      </c>
      <c r="H175" s="24">
        <f t="shared" si="27"/>
        <v>0</v>
      </c>
      <c r="I175" s="40">
        <f t="shared" si="27"/>
        <v>0</v>
      </c>
      <c r="J175" s="29">
        <f t="shared" si="27"/>
        <v>0</v>
      </c>
      <c r="K175" s="29">
        <f>K171+K173</f>
        <v>0</v>
      </c>
      <c r="L175" s="25"/>
    </row>
    <row r="176" spans="1:12" s="31" customFormat="1" ht="12.75" customHeight="1">
      <c r="A176" s="299">
        <v>29</v>
      </c>
      <c r="B176" s="304" t="s">
        <v>49</v>
      </c>
      <c r="C176" s="307">
        <v>90004</v>
      </c>
      <c r="D176" s="310" t="s">
        <v>32</v>
      </c>
      <c r="E176" s="284">
        <v>2010</v>
      </c>
      <c r="F176" s="8" t="s">
        <v>15</v>
      </c>
      <c r="G176" s="9" t="s">
        <v>16</v>
      </c>
      <c r="H176" s="37">
        <v>56269</v>
      </c>
      <c r="I176" s="38">
        <f>18904+415000</f>
        <v>433904</v>
      </c>
      <c r="J176" s="41">
        <v>430904</v>
      </c>
      <c r="K176" s="12">
        <f>H176+J176</f>
        <v>487173</v>
      </c>
      <c r="L176" s="35">
        <f>K176/F177</f>
        <v>0.3609675533534722</v>
      </c>
    </row>
    <row r="177" spans="1:12" s="31" customFormat="1" ht="12" customHeight="1">
      <c r="A177" s="300"/>
      <c r="B177" s="305"/>
      <c r="C177" s="308"/>
      <c r="D177" s="311"/>
      <c r="E177" s="281"/>
      <c r="F177" s="14">
        <v>1349631</v>
      </c>
      <c r="G177" s="15" t="s">
        <v>17</v>
      </c>
      <c r="H177" s="20"/>
      <c r="I177" s="39"/>
      <c r="J177" s="21"/>
      <c r="K177" s="21"/>
      <c r="L177" s="19"/>
    </row>
    <row r="178" spans="1:12" s="31" customFormat="1" ht="12" customHeight="1">
      <c r="A178" s="300"/>
      <c r="B178" s="305"/>
      <c r="C178" s="308"/>
      <c r="D178" s="311"/>
      <c r="E178" s="301"/>
      <c r="F178" s="14" t="s">
        <v>18</v>
      </c>
      <c r="G178" s="15" t="s">
        <v>19</v>
      </c>
      <c r="H178" s="20"/>
      <c r="I178" s="39"/>
      <c r="J178" s="21"/>
      <c r="K178" s="21"/>
      <c r="L178" s="19"/>
    </row>
    <row r="179" spans="1:12" s="31" customFormat="1" ht="9.75" customHeight="1">
      <c r="A179" s="300"/>
      <c r="B179" s="305"/>
      <c r="C179" s="308"/>
      <c r="D179" s="311"/>
      <c r="E179" s="302">
        <v>2012</v>
      </c>
      <c r="F179" s="14">
        <v>0</v>
      </c>
      <c r="G179" s="15" t="s">
        <v>21</v>
      </c>
      <c r="H179" s="20"/>
      <c r="I179" s="39"/>
      <c r="J179" s="21"/>
      <c r="K179" s="21"/>
      <c r="L179" s="19"/>
    </row>
    <row r="180" spans="1:12" s="31" customFormat="1" ht="12.75" customHeight="1">
      <c r="A180" s="300"/>
      <c r="B180" s="305"/>
      <c r="C180" s="308"/>
      <c r="D180" s="311"/>
      <c r="E180" s="281"/>
      <c r="F180" s="14" t="s">
        <v>33</v>
      </c>
      <c r="G180" s="15" t="s">
        <v>23</v>
      </c>
      <c r="H180" s="20">
        <f aca="true" t="shared" si="28" ref="H180:J181">H176+H178</f>
        <v>56269</v>
      </c>
      <c r="I180" s="39">
        <f t="shared" si="28"/>
        <v>433904</v>
      </c>
      <c r="J180" s="21">
        <f t="shared" si="28"/>
        <v>430904</v>
      </c>
      <c r="K180" s="21">
        <f>K176+K178</f>
        <v>487173</v>
      </c>
      <c r="L180" s="36">
        <f>K180/F177</f>
        <v>0.3609675533534722</v>
      </c>
    </row>
    <row r="181" spans="1:12" s="31" customFormat="1" ht="12.75" customHeight="1" thickBot="1">
      <c r="A181" s="300"/>
      <c r="B181" s="306"/>
      <c r="C181" s="309"/>
      <c r="D181" s="312"/>
      <c r="E181" s="303"/>
      <c r="F181" s="22">
        <v>1349631</v>
      </c>
      <c r="G181" s="27" t="s">
        <v>24</v>
      </c>
      <c r="H181" s="24">
        <f t="shared" si="28"/>
        <v>0</v>
      </c>
      <c r="I181" s="40">
        <f t="shared" si="28"/>
        <v>0</v>
      </c>
      <c r="J181" s="29">
        <f t="shared" si="28"/>
        <v>0</v>
      </c>
      <c r="K181" s="29">
        <f>K177+K179</f>
        <v>0</v>
      </c>
      <c r="L181" s="25"/>
    </row>
    <row r="182" spans="1:12" s="31" customFormat="1" ht="12.75" customHeight="1">
      <c r="A182" s="299">
        <v>30</v>
      </c>
      <c r="B182" s="304" t="s">
        <v>50</v>
      </c>
      <c r="C182" s="314" t="s">
        <v>51</v>
      </c>
      <c r="D182" s="310" t="s">
        <v>32</v>
      </c>
      <c r="E182" s="284">
        <v>2007</v>
      </c>
      <c r="F182" s="8" t="s">
        <v>15</v>
      </c>
      <c r="G182" s="9" t="s">
        <v>16</v>
      </c>
      <c r="H182" s="37">
        <v>1048325</v>
      </c>
      <c r="I182" s="38">
        <v>302967</v>
      </c>
      <c r="J182" s="41">
        <v>302307</v>
      </c>
      <c r="K182" s="12">
        <f>H182+J182</f>
        <v>1350632</v>
      </c>
      <c r="L182" s="35">
        <f>K182/F183</f>
        <v>0.550935438145644</v>
      </c>
    </row>
    <row r="183" spans="1:12" s="31" customFormat="1" ht="12" customHeight="1">
      <c r="A183" s="300"/>
      <c r="B183" s="305"/>
      <c r="C183" s="315"/>
      <c r="D183" s="311"/>
      <c r="E183" s="281"/>
      <c r="F183" s="14">
        <v>2451525</v>
      </c>
      <c r="G183" s="15" t="s">
        <v>17</v>
      </c>
      <c r="H183" s="20"/>
      <c r="I183" s="39"/>
      <c r="J183" s="21"/>
      <c r="K183" s="21"/>
      <c r="L183" s="19"/>
    </row>
    <row r="184" spans="1:12" s="31" customFormat="1" ht="12" customHeight="1">
      <c r="A184" s="300"/>
      <c r="B184" s="305"/>
      <c r="C184" s="315"/>
      <c r="D184" s="311"/>
      <c r="E184" s="301"/>
      <c r="F184" s="14" t="s">
        <v>18</v>
      </c>
      <c r="G184" s="15" t="s">
        <v>19</v>
      </c>
      <c r="H184" s="20"/>
      <c r="I184" s="39"/>
      <c r="J184" s="21"/>
      <c r="K184" s="21"/>
      <c r="L184" s="19"/>
    </row>
    <row r="185" spans="1:12" s="31" customFormat="1" ht="12" customHeight="1">
      <c r="A185" s="300"/>
      <c r="B185" s="305"/>
      <c r="C185" s="315"/>
      <c r="D185" s="311"/>
      <c r="E185" s="302">
        <v>2015</v>
      </c>
      <c r="F185" s="14">
        <v>0</v>
      </c>
      <c r="G185" s="15" t="s">
        <v>21</v>
      </c>
      <c r="H185" s="20"/>
      <c r="I185" s="39"/>
      <c r="J185" s="21"/>
      <c r="K185" s="21"/>
      <c r="L185" s="19"/>
    </row>
    <row r="186" spans="1:12" s="31" customFormat="1" ht="12.75" customHeight="1">
      <c r="A186" s="300"/>
      <c r="B186" s="305"/>
      <c r="C186" s="315"/>
      <c r="D186" s="311"/>
      <c r="E186" s="281"/>
      <c r="F186" s="14" t="s">
        <v>33</v>
      </c>
      <c r="G186" s="15" t="s">
        <v>23</v>
      </c>
      <c r="H186" s="20">
        <f aca="true" t="shared" si="29" ref="H186:J187">H182+H184</f>
        <v>1048325</v>
      </c>
      <c r="I186" s="39">
        <f t="shared" si="29"/>
        <v>302967</v>
      </c>
      <c r="J186" s="21">
        <f t="shared" si="29"/>
        <v>302307</v>
      </c>
      <c r="K186" s="21">
        <f>K182+K184</f>
        <v>1350632</v>
      </c>
      <c r="L186" s="36">
        <f>K186/F183</f>
        <v>0.550935438145644</v>
      </c>
    </row>
    <row r="187" spans="1:12" s="31" customFormat="1" ht="12.75" customHeight="1" thickBot="1">
      <c r="A187" s="290"/>
      <c r="B187" s="306"/>
      <c r="C187" s="316"/>
      <c r="D187" s="312"/>
      <c r="E187" s="303"/>
      <c r="F187" s="22">
        <v>2451525</v>
      </c>
      <c r="G187" s="27" t="s">
        <v>24</v>
      </c>
      <c r="H187" s="24">
        <f t="shared" si="29"/>
        <v>0</v>
      </c>
      <c r="I187" s="40">
        <f t="shared" si="29"/>
        <v>0</v>
      </c>
      <c r="J187" s="29">
        <f t="shared" si="29"/>
        <v>0</v>
      </c>
      <c r="K187" s="29">
        <f>K183+K185</f>
        <v>0</v>
      </c>
      <c r="L187" s="25"/>
    </row>
    <row r="188" spans="1:12" s="31" customFormat="1" ht="12.75" customHeight="1">
      <c r="A188" s="299">
        <v>31</v>
      </c>
      <c r="B188" s="304" t="s">
        <v>52</v>
      </c>
      <c r="C188" s="307">
        <v>90015</v>
      </c>
      <c r="D188" s="310" t="s">
        <v>32</v>
      </c>
      <c r="E188" s="284">
        <v>2008</v>
      </c>
      <c r="F188" s="8" t="s">
        <v>15</v>
      </c>
      <c r="G188" s="9" t="s">
        <v>16</v>
      </c>
      <c r="H188" s="37">
        <v>7863675</v>
      </c>
      <c r="I188" s="38">
        <f>2147625+3525000</f>
        <v>5672625</v>
      </c>
      <c r="J188" s="41">
        <v>3511376</v>
      </c>
      <c r="K188" s="12">
        <f>H188+J188</f>
        <v>11375051</v>
      </c>
      <c r="L188" s="35">
        <f>K188/F189</f>
        <v>0.2883490033942645</v>
      </c>
    </row>
    <row r="189" spans="1:12" s="31" customFormat="1" ht="11.25" customHeight="1">
      <c r="A189" s="300"/>
      <c r="B189" s="305"/>
      <c r="C189" s="308"/>
      <c r="D189" s="311"/>
      <c r="E189" s="281"/>
      <c r="F189" s="14">
        <v>39448900</v>
      </c>
      <c r="G189" s="15" t="s">
        <v>17</v>
      </c>
      <c r="H189" s="20"/>
      <c r="I189" s="39"/>
      <c r="J189" s="21"/>
      <c r="K189" s="21"/>
      <c r="L189" s="19"/>
    </row>
    <row r="190" spans="1:12" s="31" customFormat="1" ht="12" customHeight="1">
      <c r="A190" s="300"/>
      <c r="B190" s="305"/>
      <c r="C190" s="308"/>
      <c r="D190" s="311"/>
      <c r="E190" s="301"/>
      <c r="F190" s="14" t="s">
        <v>18</v>
      </c>
      <c r="G190" s="15" t="s">
        <v>19</v>
      </c>
      <c r="H190" s="20"/>
      <c r="I190" s="39"/>
      <c r="J190" s="21"/>
      <c r="K190" s="21"/>
      <c r="L190" s="19"/>
    </row>
    <row r="191" spans="1:12" s="31" customFormat="1" ht="12" customHeight="1">
      <c r="A191" s="300"/>
      <c r="B191" s="305"/>
      <c r="C191" s="308"/>
      <c r="D191" s="311"/>
      <c r="E191" s="302">
        <v>2015</v>
      </c>
      <c r="F191" s="14">
        <v>0</v>
      </c>
      <c r="G191" s="15" t="s">
        <v>21</v>
      </c>
      <c r="H191" s="20"/>
      <c r="I191" s="39"/>
      <c r="J191" s="21"/>
      <c r="K191" s="21"/>
      <c r="L191" s="19"/>
    </row>
    <row r="192" spans="1:12" s="31" customFormat="1" ht="12.75" customHeight="1">
      <c r="A192" s="300"/>
      <c r="B192" s="305"/>
      <c r="C192" s="308"/>
      <c r="D192" s="311"/>
      <c r="E192" s="281"/>
      <c r="F192" s="14" t="s">
        <v>33</v>
      </c>
      <c r="G192" s="15" t="s">
        <v>23</v>
      </c>
      <c r="H192" s="20">
        <f aca="true" t="shared" si="30" ref="H192:J193">H188+H190</f>
        <v>7863675</v>
      </c>
      <c r="I192" s="39">
        <f t="shared" si="30"/>
        <v>5672625</v>
      </c>
      <c r="J192" s="21">
        <f t="shared" si="30"/>
        <v>3511376</v>
      </c>
      <c r="K192" s="21">
        <f>K188+K190</f>
        <v>11375051</v>
      </c>
      <c r="L192" s="36">
        <f>K192/F189</f>
        <v>0.2883490033942645</v>
      </c>
    </row>
    <row r="193" spans="1:12" s="31" customFormat="1" ht="12.75" customHeight="1" thickBot="1">
      <c r="A193" s="290"/>
      <c r="B193" s="306"/>
      <c r="C193" s="309"/>
      <c r="D193" s="312"/>
      <c r="E193" s="303"/>
      <c r="F193" s="22">
        <v>39448900</v>
      </c>
      <c r="G193" s="27" t="s">
        <v>24</v>
      </c>
      <c r="H193" s="24">
        <f t="shared" si="30"/>
        <v>0</v>
      </c>
      <c r="I193" s="40">
        <f t="shared" si="30"/>
        <v>0</v>
      </c>
      <c r="J193" s="29">
        <f t="shared" si="30"/>
        <v>0</v>
      </c>
      <c r="K193" s="29">
        <f>K189+K191</f>
        <v>0</v>
      </c>
      <c r="L193" s="48"/>
    </row>
    <row r="194" spans="1:12" s="31" customFormat="1" ht="12.75" customHeight="1">
      <c r="A194" s="299">
        <v>32</v>
      </c>
      <c r="B194" s="304" t="s">
        <v>53</v>
      </c>
      <c r="C194" s="307">
        <v>90095</v>
      </c>
      <c r="D194" s="310" t="s">
        <v>32</v>
      </c>
      <c r="E194" s="284">
        <v>2010</v>
      </c>
      <c r="F194" s="8" t="s">
        <v>15</v>
      </c>
      <c r="G194" s="9" t="s">
        <v>16</v>
      </c>
      <c r="H194" s="37">
        <v>24531</v>
      </c>
      <c r="I194" s="38">
        <v>26753</v>
      </c>
      <c r="J194" s="41">
        <v>22829</v>
      </c>
      <c r="K194" s="12">
        <f>H194+J194</f>
        <v>47360</v>
      </c>
      <c r="L194" s="35">
        <f>K194/F195</f>
        <v>0.9895528625156708</v>
      </c>
    </row>
    <row r="195" spans="1:12" s="31" customFormat="1" ht="12.75" customHeight="1">
      <c r="A195" s="300"/>
      <c r="B195" s="305"/>
      <c r="C195" s="308"/>
      <c r="D195" s="311"/>
      <c r="E195" s="281"/>
      <c r="F195" s="14">
        <v>47860</v>
      </c>
      <c r="G195" s="15" t="s">
        <v>17</v>
      </c>
      <c r="H195" s="20"/>
      <c r="I195" s="39"/>
      <c r="J195" s="21"/>
      <c r="K195" s="21"/>
      <c r="L195" s="19"/>
    </row>
    <row r="196" spans="1:12" s="31" customFormat="1" ht="12.75" customHeight="1">
      <c r="A196" s="300"/>
      <c r="B196" s="305"/>
      <c r="C196" s="308"/>
      <c r="D196" s="311"/>
      <c r="E196" s="301"/>
      <c r="F196" s="14" t="s">
        <v>18</v>
      </c>
      <c r="G196" s="15" t="s">
        <v>19</v>
      </c>
      <c r="H196" s="20"/>
      <c r="I196" s="39"/>
      <c r="J196" s="21"/>
      <c r="K196" s="21"/>
      <c r="L196" s="19"/>
    </row>
    <row r="197" spans="1:12" s="31" customFormat="1" ht="12.75" customHeight="1">
      <c r="A197" s="300"/>
      <c r="B197" s="305"/>
      <c r="C197" s="308"/>
      <c r="D197" s="311"/>
      <c r="E197" s="302">
        <v>2012</v>
      </c>
      <c r="F197" s="14">
        <v>0</v>
      </c>
      <c r="G197" s="15" t="s">
        <v>21</v>
      </c>
      <c r="H197" s="20"/>
      <c r="I197" s="39"/>
      <c r="J197" s="21"/>
      <c r="K197" s="21"/>
      <c r="L197" s="19"/>
    </row>
    <row r="198" spans="1:12" s="31" customFormat="1" ht="12.75" customHeight="1">
      <c r="A198" s="300"/>
      <c r="B198" s="305"/>
      <c r="C198" s="308"/>
      <c r="D198" s="311"/>
      <c r="E198" s="281"/>
      <c r="F198" s="14" t="s">
        <v>33</v>
      </c>
      <c r="G198" s="15" t="s">
        <v>23</v>
      </c>
      <c r="H198" s="20">
        <f aca="true" t="shared" si="31" ref="H198:J199">H194+H196</f>
        <v>24531</v>
      </c>
      <c r="I198" s="39">
        <f t="shared" si="31"/>
        <v>26753</v>
      </c>
      <c r="J198" s="21">
        <f t="shared" si="31"/>
        <v>22829</v>
      </c>
      <c r="K198" s="21">
        <f>K194+K196</f>
        <v>47360</v>
      </c>
      <c r="L198" s="36">
        <f>K198/F195</f>
        <v>0.9895528625156708</v>
      </c>
    </row>
    <row r="199" spans="1:12" s="31" customFormat="1" ht="12.75" customHeight="1" thickBot="1">
      <c r="A199" s="290"/>
      <c r="B199" s="306"/>
      <c r="C199" s="309"/>
      <c r="D199" s="312"/>
      <c r="E199" s="303"/>
      <c r="F199" s="22">
        <v>47860</v>
      </c>
      <c r="G199" s="27" t="s">
        <v>24</v>
      </c>
      <c r="H199" s="24">
        <f t="shared" si="31"/>
        <v>0</v>
      </c>
      <c r="I199" s="40">
        <f t="shared" si="31"/>
        <v>0</v>
      </c>
      <c r="J199" s="29">
        <f t="shared" si="31"/>
        <v>0</v>
      </c>
      <c r="K199" s="29">
        <f>K195+K197</f>
        <v>0</v>
      </c>
      <c r="L199" s="25"/>
    </row>
    <row r="200" spans="1:12" s="31" customFormat="1" ht="12.75" customHeight="1">
      <c r="A200" s="299">
        <v>33</v>
      </c>
      <c r="B200" s="304" t="s">
        <v>54</v>
      </c>
      <c r="C200" s="307">
        <v>90095</v>
      </c>
      <c r="D200" s="310" t="s">
        <v>32</v>
      </c>
      <c r="E200" s="284">
        <v>2008</v>
      </c>
      <c r="F200" s="8" t="s">
        <v>15</v>
      </c>
      <c r="G200" s="9" t="s">
        <v>16</v>
      </c>
      <c r="H200" s="37">
        <v>162614</v>
      </c>
      <c r="I200" s="38">
        <f>39389+36667</f>
        <v>76056</v>
      </c>
      <c r="J200" s="41">
        <v>57635</v>
      </c>
      <c r="K200" s="12">
        <f>H200+J200</f>
        <v>220249</v>
      </c>
      <c r="L200" s="35">
        <f>K200/F201</f>
        <v>0.9947024234267597</v>
      </c>
    </row>
    <row r="201" spans="1:12" s="31" customFormat="1" ht="10.5" customHeight="1">
      <c r="A201" s="300"/>
      <c r="B201" s="305"/>
      <c r="C201" s="308"/>
      <c r="D201" s="311"/>
      <c r="E201" s="281"/>
      <c r="F201" s="14">
        <v>221422</v>
      </c>
      <c r="G201" s="15" t="s">
        <v>17</v>
      </c>
      <c r="H201" s="20"/>
      <c r="I201" s="39"/>
      <c r="J201" s="21"/>
      <c r="K201" s="21"/>
      <c r="L201" s="19"/>
    </row>
    <row r="202" spans="1:12" s="31" customFormat="1" ht="10.5" customHeight="1">
      <c r="A202" s="300"/>
      <c r="B202" s="305"/>
      <c r="C202" s="308"/>
      <c r="D202" s="311"/>
      <c r="E202" s="301"/>
      <c r="F202" s="14" t="s">
        <v>18</v>
      </c>
      <c r="G202" s="15" t="s">
        <v>19</v>
      </c>
      <c r="H202" s="20"/>
      <c r="I202" s="39"/>
      <c r="J202" s="21"/>
      <c r="K202" s="21"/>
      <c r="L202" s="19"/>
    </row>
    <row r="203" spans="1:12" s="31" customFormat="1" ht="10.5" customHeight="1">
      <c r="A203" s="300"/>
      <c r="B203" s="305"/>
      <c r="C203" s="308"/>
      <c r="D203" s="311"/>
      <c r="E203" s="302">
        <v>2012</v>
      </c>
      <c r="F203" s="14">
        <v>0</v>
      </c>
      <c r="G203" s="15" t="s">
        <v>21</v>
      </c>
      <c r="H203" s="20"/>
      <c r="I203" s="39"/>
      <c r="J203" s="21"/>
      <c r="K203" s="21"/>
      <c r="L203" s="19"/>
    </row>
    <row r="204" spans="1:12" s="31" customFormat="1" ht="12.75" customHeight="1">
      <c r="A204" s="300"/>
      <c r="B204" s="305"/>
      <c r="C204" s="308"/>
      <c r="D204" s="311"/>
      <c r="E204" s="281"/>
      <c r="F204" s="14" t="s">
        <v>33</v>
      </c>
      <c r="G204" s="15" t="s">
        <v>23</v>
      </c>
      <c r="H204" s="20">
        <f aca="true" t="shared" si="32" ref="H204:J205">H200+H202</f>
        <v>162614</v>
      </c>
      <c r="I204" s="39">
        <f t="shared" si="32"/>
        <v>76056</v>
      </c>
      <c r="J204" s="21">
        <f t="shared" si="32"/>
        <v>57635</v>
      </c>
      <c r="K204" s="21">
        <f>K200+K202</f>
        <v>220249</v>
      </c>
      <c r="L204" s="36">
        <f>K204/F201</f>
        <v>0.9947024234267597</v>
      </c>
    </row>
    <row r="205" spans="1:12" s="31" customFormat="1" ht="12.75" customHeight="1" thickBot="1">
      <c r="A205" s="300"/>
      <c r="B205" s="306"/>
      <c r="C205" s="309"/>
      <c r="D205" s="312"/>
      <c r="E205" s="303"/>
      <c r="F205" s="22">
        <v>221422</v>
      </c>
      <c r="G205" s="27" t="s">
        <v>24</v>
      </c>
      <c r="H205" s="24">
        <f t="shared" si="32"/>
        <v>0</v>
      </c>
      <c r="I205" s="40">
        <f t="shared" si="32"/>
        <v>0</v>
      </c>
      <c r="J205" s="29">
        <f t="shared" si="32"/>
        <v>0</v>
      </c>
      <c r="K205" s="29">
        <f>K201+K203</f>
        <v>0</v>
      </c>
      <c r="L205" s="25"/>
    </row>
    <row r="206" spans="1:12" s="31" customFormat="1" ht="12.75" customHeight="1">
      <c r="A206" s="299">
        <v>34</v>
      </c>
      <c r="B206" s="304" t="s">
        <v>55</v>
      </c>
      <c r="C206" s="307">
        <v>90095</v>
      </c>
      <c r="D206" s="310" t="s">
        <v>32</v>
      </c>
      <c r="E206" s="284">
        <v>2010</v>
      </c>
      <c r="F206" s="8" t="s">
        <v>15</v>
      </c>
      <c r="G206" s="9" t="s">
        <v>16</v>
      </c>
      <c r="H206" s="37">
        <v>53408</v>
      </c>
      <c r="I206" s="38">
        <f>4500+100000</f>
        <v>104500</v>
      </c>
      <c r="J206" s="41">
        <v>55496</v>
      </c>
      <c r="K206" s="12">
        <f>H206+J206</f>
        <v>108904</v>
      </c>
      <c r="L206" s="35">
        <f>K206/F207</f>
        <v>0.6731777272277717</v>
      </c>
    </row>
    <row r="207" spans="1:12" s="31" customFormat="1" ht="10.5" customHeight="1">
      <c r="A207" s="300"/>
      <c r="B207" s="305"/>
      <c r="C207" s="308"/>
      <c r="D207" s="311"/>
      <c r="E207" s="281"/>
      <c r="F207" s="14">
        <v>161776</v>
      </c>
      <c r="G207" s="15" t="s">
        <v>17</v>
      </c>
      <c r="H207" s="20"/>
      <c r="I207" s="39"/>
      <c r="J207" s="21"/>
      <c r="K207" s="21"/>
      <c r="L207" s="19"/>
    </row>
    <row r="208" spans="1:12" s="31" customFormat="1" ht="10.5" customHeight="1">
      <c r="A208" s="300"/>
      <c r="B208" s="305"/>
      <c r="C208" s="308"/>
      <c r="D208" s="311"/>
      <c r="E208" s="301"/>
      <c r="F208" s="14" t="s">
        <v>18</v>
      </c>
      <c r="G208" s="15" t="s">
        <v>19</v>
      </c>
      <c r="H208" s="20"/>
      <c r="I208" s="39"/>
      <c r="J208" s="21"/>
      <c r="K208" s="21"/>
      <c r="L208" s="19"/>
    </row>
    <row r="209" spans="1:12" s="31" customFormat="1" ht="10.5" customHeight="1">
      <c r="A209" s="300"/>
      <c r="B209" s="305"/>
      <c r="C209" s="308"/>
      <c r="D209" s="311"/>
      <c r="E209" s="302">
        <v>2012</v>
      </c>
      <c r="F209" s="14">
        <v>0</v>
      </c>
      <c r="G209" s="15" t="s">
        <v>21</v>
      </c>
      <c r="H209" s="20"/>
      <c r="I209" s="39"/>
      <c r="J209" s="21"/>
      <c r="K209" s="21"/>
      <c r="L209" s="19"/>
    </row>
    <row r="210" spans="1:12" s="31" customFormat="1" ht="12.75" customHeight="1">
      <c r="A210" s="300"/>
      <c r="B210" s="305"/>
      <c r="C210" s="308"/>
      <c r="D210" s="311"/>
      <c r="E210" s="281"/>
      <c r="F210" s="14" t="s">
        <v>33</v>
      </c>
      <c r="G210" s="15" t="s">
        <v>23</v>
      </c>
      <c r="H210" s="20">
        <f aca="true" t="shared" si="33" ref="H210:J211">H206+H208</f>
        <v>53408</v>
      </c>
      <c r="I210" s="39">
        <f t="shared" si="33"/>
        <v>104500</v>
      </c>
      <c r="J210" s="21">
        <f t="shared" si="33"/>
        <v>55496</v>
      </c>
      <c r="K210" s="21">
        <f>K206+K208</f>
        <v>108904</v>
      </c>
      <c r="L210" s="36">
        <f>K210/F207</f>
        <v>0.6731777272277717</v>
      </c>
    </row>
    <row r="211" spans="1:12" s="31" customFormat="1" ht="12.75" customHeight="1" thickBot="1">
      <c r="A211" s="290"/>
      <c r="B211" s="306"/>
      <c r="C211" s="309"/>
      <c r="D211" s="312"/>
      <c r="E211" s="303"/>
      <c r="F211" s="22">
        <v>161776</v>
      </c>
      <c r="G211" s="27" t="s">
        <v>24</v>
      </c>
      <c r="H211" s="24">
        <f t="shared" si="33"/>
        <v>0</v>
      </c>
      <c r="I211" s="40">
        <f t="shared" si="33"/>
        <v>0</v>
      </c>
      <c r="J211" s="29">
        <f t="shared" si="33"/>
        <v>0</v>
      </c>
      <c r="K211" s="29">
        <f>K207+K209</f>
        <v>0</v>
      </c>
      <c r="L211" s="25"/>
    </row>
    <row r="212" spans="1:12" s="31" customFormat="1" ht="12.75" customHeight="1">
      <c r="A212" s="299">
        <v>35</v>
      </c>
      <c r="B212" s="304" t="s">
        <v>56</v>
      </c>
      <c r="C212" s="307">
        <v>90095</v>
      </c>
      <c r="D212" s="310" t="s">
        <v>32</v>
      </c>
      <c r="E212" s="284">
        <v>2011</v>
      </c>
      <c r="F212" s="8" t="s">
        <v>15</v>
      </c>
      <c r="G212" s="9" t="s">
        <v>16</v>
      </c>
      <c r="H212" s="37"/>
      <c r="I212" s="38">
        <v>11000</v>
      </c>
      <c r="J212" s="41">
        <v>9102</v>
      </c>
      <c r="K212" s="12">
        <f>H212+J212</f>
        <v>9102</v>
      </c>
      <c r="L212" s="35">
        <f>K212/F213</f>
        <v>0.189625</v>
      </c>
    </row>
    <row r="213" spans="1:12" s="31" customFormat="1" ht="10.5" customHeight="1">
      <c r="A213" s="300"/>
      <c r="B213" s="305"/>
      <c r="C213" s="308"/>
      <c r="D213" s="311"/>
      <c r="E213" s="281"/>
      <c r="F213" s="14">
        <v>48000</v>
      </c>
      <c r="G213" s="15" t="s">
        <v>17</v>
      </c>
      <c r="H213" s="20"/>
      <c r="I213" s="39"/>
      <c r="J213" s="21"/>
      <c r="K213" s="21"/>
      <c r="L213" s="19"/>
    </row>
    <row r="214" spans="1:12" s="31" customFormat="1" ht="10.5" customHeight="1">
      <c r="A214" s="300"/>
      <c r="B214" s="305"/>
      <c r="C214" s="308"/>
      <c r="D214" s="311"/>
      <c r="E214" s="301"/>
      <c r="F214" s="14" t="s">
        <v>18</v>
      </c>
      <c r="G214" s="15" t="s">
        <v>19</v>
      </c>
      <c r="H214" s="20"/>
      <c r="I214" s="39"/>
      <c r="J214" s="21"/>
      <c r="K214" s="21"/>
      <c r="L214" s="19"/>
    </row>
    <row r="215" spans="1:12" s="31" customFormat="1" ht="10.5" customHeight="1">
      <c r="A215" s="300"/>
      <c r="B215" s="305"/>
      <c r="C215" s="308"/>
      <c r="D215" s="311"/>
      <c r="E215" s="302">
        <v>2015</v>
      </c>
      <c r="F215" s="14">
        <v>0</v>
      </c>
      <c r="G215" s="15" t="s">
        <v>21</v>
      </c>
      <c r="H215" s="20"/>
      <c r="I215" s="39"/>
      <c r="J215" s="21"/>
      <c r="K215" s="21"/>
      <c r="L215" s="19"/>
    </row>
    <row r="216" spans="1:12" s="31" customFormat="1" ht="12.75" customHeight="1">
      <c r="A216" s="300"/>
      <c r="B216" s="305"/>
      <c r="C216" s="308"/>
      <c r="D216" s="311"/>
      <c r="E216" s="281"/>
      <c r="F216" s="14" t="s">
        <v>33</v>
      </c>
      <c r="G216" s="15" t="s">
        <v>23</v>
      </c>
      <c r="H216" s="20">
        <f aca="true" t="shared" si="34" ref="H216:J217">H212+H214</f>
        <v>0</v>
      </c>
      <c r="I216" s="39">
        <f t="shared" si="34"/>
        <v>11000</v>
      </c>
      <c r="J216" s="21">
        <f t="shared" si="34"/>
        <v>9102</v>
      </c>
      <c r="K216" s="21">
        <f>K212+K214</f>
        <v>9102</v>
      </c>
      <c r="L216" s="36">
        <f>K216/F213</f>
        <v>0.189625</v>
      </c>
    </row>
    <row r="217" spans="1:12" s="31" customFormat="1" ht="12.75" customHeight="1" thickBot="1">
      <c r="A217" s="300"/>
      <c r="B217" s="306"/>
      <c r="C217" s="309"/>
      <c r="D217" s="312"/>
      <c r="E217" s="303"/>
      <c r="F217" s="22">
        <v>48000</v>
      </c>
      <c r="G217" s="27" t="s">
        <v>24</v>
      </c>
      <c r="H217" s="24">
        <f t="shared" si="34"/>
        <v>0</v>
      </c>
      <c r="I217" s="40">
        <f t="shared" si="34"/>
        <v>0</v>
      </c>
      <c r="J217" s="29">
        <f t="shared" si="34"/>
        <v>0</v>
      </c>
      <c r="K217" s="29">
        <f>K213+K215</f>
        <v>0</v>
      </c>
      <c r="L217" s="25"/>
    </row>
    <row r="218" spans="1:12" s="13" customFormat="1" ht="12.75">
      <c r="A218" s="299">
        <v>36</v>
      </c>
      <c r="B218" s="291" t="s">
        <v>57</v>
      </c>
      <c r="C218" s="288">
        <v>75022</v>
      </c>
      <c r="D218" s="324" t="s">
        <v>58</v>
      </c>
      <c r="E218" s="295">
        <v>2009</v>
      </c>
      <c r="F218" s="8" t="s">
        <v>15</v>
      </c>
      <c r="G218" s="9" t="s">
        <v>16</v>
      </c>
      <c r="H218" s="10">
        <v>62535</v>
      </c>
      <c r="I218" s="11">
        <v>90253</v>
      </c>
      <c r="J218" s="12">
        <v>10717</v>
      </c>
      <c r="K218" s="12">
        <f>H218+J218</f>
        <v>73252</v>
      </c>
      <c r="L218" s="35">
        <f>K218/F219</f>
        <v>0.4108264536970567</v>
      </c>
    </row>
    <row r="219" spans="1:12" s="13" customFormat="1" ht="12.75">
      <c r="A219" s="300"/>
      <c r="B219" s="286"/>
      <c r="C219" s="289"/>
      <c r="D219" s="325"/>
      <c r="E219" s="296"/>
      <c r="F219" s="14">
        <v>178304</v>
      </c>
      <c r="G219" s="15" t="s">
        <v>17</v>
      </c>
      <c r="H219" s="16"/>
      <c r="I219" s="17"/>
      <c r="J219" s="18"/>
      <c r="K219" s="18"/>
      <c r="L219" s="19"/>
    </row>
    <row r="220" spans="1:12" s="13" customFormat="1" ht="12" customHeight="1">
      <c r="A220" s="300"/>
      <c r="B220" s="286"/>
      <c r="C220" s="289"/>
      <c r="D220" s="325"/>
      <c r="E220" s="296"/>
      <c r="F220" s="14" t="s">
        <v>18</v>
      </c>
      <c r="G220" s="15" t="s">
        <v>19</v>
      </c>
      <c r="H220" s="16"/>
      <c r="I220" s="17"/>
      <c r="J220" s="18"/>
      <c r="K220" s="18"/>
      <c r="L220" s="19"/>
    </row>
    <row r="221" spans="1:12" s="13" customFormat="1" ht="12.75" customHeight="1">
      <c r="A221" s="300"/>
      <c r="B221" s="286"/>
      <c r="C221" s="289"/>
      <c r="D221" s="325"/>
      <c r="E221" s="297">
        <v>2012</v>
      </c>
      <c r="F221" s="14">
        <v>0</v>
      </c>
      <c r="G221" s="15" t="s">
        <v>21</v>
      </c>
      <c r="H221" s="16"/>
      <c r="I221" s="17"/>
      <c r="J221" s="18"/>
      <c r="K221" s="18"/>
      <c r="L221" s="19"/>
    </row>
    <row r="222" spans="1:12" s="13" customFormat="1" ht="12.75">
      <c r="A222" s="300"/>
      <c r="B222" s="286"/>
      <c r="C222" s="289"/>
      <c r="D222" s="325"/>
      <c r="E222" s="296"/>
      <c r="F222" s="14" t="s">
        <v>22</v>
      </c>
      <c r="G222" s="15" t="s">
        <v>23</v>
      </c>
      <c r="H222" s="20">
        <f aca="true" t="shared" si="35" ref="H222:J223">H218+H220</f>
        <v>62535</v>
      </c>
      <c r="I222" s="26">
        <f t="shared" si="35"/>
        <v>90253</v>
      </c>
      <c r="J222" s="21">
        <f t="shared" si="35"/>
        <v>10717</v>
      </c>
      <c r="K222" s="21">
        <f>K218+K220</f>
        <v>73252</v>
      </c>
      <c r="L222" s="36">
        <f>K222/F219</f>
        <v>0.4108264536970567</v>
      </c>
    </row>
    <row r="223" spans="1:12" s="13" customFormat="1" ht="13.5" thickBot="1">
      <c r="A223" s="290"/>
      <c r="B223" s="287"/>
      <c r="C223" s="285"/>
      <c r="D223" s="329"/>
      <c r="E223" s="298"/>
      <c r="F223" s="22">
        <v>178304</v>
      </c>
      <c r="G223" s="27" t="s">
        <v>24</v>
      </c>
      <c r="H223" s="24">
        <f t="shared" si="35"/>
        <v>0</v>
      </c>
      <c r="I223" s="28">
        <f t="shared" si="35"/>
        <v>0</v>
      </c>
      <c r="J223" s="29">
        <f t="shared" si="35"/>
        <v>0</v>
      </c>
      <c r="K223" s="29">
        <f>K219+K221</f>
        <v>0</v>
      </c>
      <c r="L223" s="25"/>
    </row>
    <row r="224" spans="1:12" s="13" customFormat="1" ht="12.75">
      <c r="A224" s="299">
        <v>37</v>
      </c>
      <c r="B224" s="326" t="s">
        <v>59</v>
      </c>
      <c r="C224" s="327">
        <v>70005</v>
      </c>
      <c r="D224" s="324" t="s">
        <v>58</v>
      </c>
      <c r="E224" s="313">
        <v>2010</v>
      </c>
      <c r="F224" s="8" t="s">
        <v>15</v>
      </c>
      <c r="G224" s="9" t="s">
        <v>16</v>
      </c>
      <c r="H224" s="10">
        <v>87802</v>
      </c>
      <c r="I224" s="44">
        <v>1294877</v>
      </c>
      <c r="J224" s="47">
        <v>1294877</v>
      </c>
      <c r="K224" s="12">
        <f>H224+J224</f>
        <v>1382679</v>
      </c>
      <c r="L224" s="35">
        <f>K224/F225</f>
        <v>0.9885825454295862</v>
      </c>
    </row>
    <row r="225" spans="1:12" s="13" customFormat="1" ht="11.25" customHeight="1">
      <c r="A225" s="300"/>
      <c r="B225" s="286"/>
      <c r="C225" s="289"/>
      <c r="D225" s="325"/>
      <c r="E225" s="296"/>
      <c r="F225" s="14">
        <v>1398648</v>
      </c>
      <c r="G225" s="15" t="s">
        <v>17</v>
      </c>
      <c r="H225" s="16"/>
      <c r="I225" s="17"/>
      <c r="J225" s="18"/>
      <c r="K225" s="18"/>
      <c r="L225" s="19"/>
    </row>
    <row r="226" spans="1:12" s="13" customFormat="1" ht="11.25" customHeight="1">
      <c r="A226" s="300"/>
      <c r="B226" s="286"/>
      <c r="C226" s="289"/>
      <c r="D226" s="325"/>
      <c r="E226" s="296"/>
      <c r="F226" s="14" t="s">
        <v>18</v>
      </c>
      <c r="G226" s="15" t="s">
        <v>19</v>
      </c>
      <c r="H226" s="16"/>
      <c r="I226" s="17"/>
      <c r="J226" s="18"/>
      <c r="K226" s="18"/>
      <c r="L226" s="19"/>
    </row>
    <row r="227" spans="1:12" s="13" customFormat="1" ht="9.75" customHeight="1">
      <c r="A227" s="300"/>
      <c r="B227" s="286"/>
      <c r="C227" s="289"/>
      <c r="D227" s="325"/>
      <c r="E227" s="297">
        <v>2013</v>
      </c>
      <c r="F227" s="14">
        <v>0</v>
      </c>
      <c r="G227" s="15" t="s">
        <v>21</v>
      </c>
      <c r="H227" s="16"/>
      <c r="I227" s="17"/>
      <c r="J227" s="18"/>
      <c r="K227" s="18"/>
      <c r="L227" s="19"/>
    </row>
    <row r="228" spans="1:12" s="13" customFormat="1" ht="12.75">
      <c r="A228" s="300"/>
      <c r="B228" s="286"/>
      <c r="C228" s="289"/>
      <c r="D228" s="325"/>
      <c r="E228" s="296"/>
      <c r="F228" s="14" t="s">
        <v>22</v>
      </c>
      <c r="G228" s="15" t="s">
        <v>23</v>
      </c>
      <c r="H228" s="20">
        <f aca="true" t="shared" si="36" ref="H228:J229">H224+H226</f>
        <v>87802</v>
      </c>
      <c r="I228" s="26">
        <f t="shared" si="36"/>
        <v>1294877</v>
      </c>
      <c r="J228" s="21">
        <f t="shared" si="36"/>
        <v>1294877</v>
      </c>
      <c r="K228" s="21">
        <f>K224+K226</f>
        <v>1382679</v>
      </c>
      <c r="L228" s="36">
        <f>K228/F225</f>
        <v>0.9885825454295862</v>
      </c>
    </row>
    <row r="229" spans="1:12" s="13" customFormat="1" ht="13.5" thickBot="1">
      <c r="A229" s="300"/>
      <c r="B229" s="286"/>
      <c r="C229" s="289"/>
      <c r="D229" s="329"/>
      <c r="E229" s="296"/>
      <c r="F229" s="22">
        <v>1398648</v>
      </c>
      <c r="G229" s="27" t="s">
        <v>24</v>
      </c>
      <c r="H229" s="24">
        <f t="shared" si="36"/>
        <v>0</v>
      </c>
      <c r="I229" s="42">
        <f t="shared" si="36"/>
        <v>0</v>
      </c>
      <c r="J229" s="43">
        <f t="shared" si="36"/>
        <v>0</v>
      </c>
      <c r="K229" s="43">
        <f>K225+K227</f>
        <v>0</v>
      </c>
      <c r="L229" s="25"/>
    </row>
    <row r="230" spans="1:12" s="13" customFormat="1" ht="12.75">
      <c r="A230" s="299">
        <v>38</v>
      </c>
      <c r="B230" s="291" t="s">
        <v>60</v>
      </c>
      <c r="C230" s="288">
        <v>85149</v>
      </c>
      <c r="D230" s="324" t="s">
        <v>58</v>
      </c>
      <c r="E230" s="295">
        <v>2009</v>
      </c>
      <c r="F230" s="8" t="s">
        <v>15</v>
      </c>
      <c r="G230" s="9" t="s">
        <v>16</v>
      </c>
      <c r="H230" s="10">
        <v>381715</v>
      </c>
      <c r="I230" s="11">
        <v>457780</v>
      </c>
      <c r="J230" s="11">
        <v>457780</v>
      </c>
      <c r="K230" s="12">
        <f>H230+J230</f>
        <v>839495</v>
      </c>
      <c r="L230" s="35">
        <f>K230/F231</f>
        <v>0.6471218515734906</v>
      </c>
    </row>
    <row r="231" spans="1:12" s="13" customFormat="1" ht="12.75">
      <c r="A231" s="300"/>
      <c r="B231" s="286"/>
      <c r="C231" s="289"/>
      <c r="D231" s="325"/>
      <c r="E231" s="296"/>
      <c r="F231" s="14">
        <v>1297275</v>
      </c>
      <c r="G231" s="15" t="s">
        <v>17</v>
      </c>
      <c r="H231" s="16"/>
      <c r="I231" s="17"/>
      <c r="J231" s="18"/>
      <c r="K231" s="18"/>
      <c r="L231" s="19"/>
    </row>
    <row r="232" spans="1:12" s="13" customFormat="1" ht="12.75">
      <c r="A232" s="300"/>
      <c r="B232" s="286"/>
      <c r="C232" s="289"/>
      <c r="D232" s="325"/>
      <c r="E232" s="296"/>
      <c r="F232" s="14" t="s">
        <v>18</v>
      </c>
      <c r="G232" s="15" t="s">
        <v>19</v>
      </c>
      <c r="H232" s="16"/>
      <c r="I232" s="17"/>
      <c r="J232" s="18"/>
      <c r="K232" s="18"/>
      <c r="L232" s="19"/>
    </row>
    <row r="233" spans="1:12" s="13" customFormat="1" ht="9.75" customHeight="1">
      <c r="A233" s="300"/>
      <c r="B233" s="286"/>
      <c r="C233" s="289"/>
      <c r="D233" s="325"/>
      <c r="E233" s="297">
        <v>2012</v>
      </c>
      <c r="F233" s="14">
        <v>0</v>
      </c>
      <c r="G233" s="15" t="s">
        <v>21</v>
      </c>
      <c r="H233" s="16"/>
      <c r="I233" s="17"/>
      <c r="J233" s="18"/>
      <c r="K233" s="18"/>
      <c r="L233" s="19"/>
    </row>
    <row r="234" spans="1:12" s="13" customFormat="1" ht="12.75">
      <c r="A234" s="300"/>
      <c r="B234" s="286"/>
      <c r="C234" s="289"/>
      <c r="D234" s="325"/>
      <c r="E234" s="296"/>
      <c r="F234" s="14" t="s">
        <v>22</v>
      </c>
      <c r="G234" s="15" t="s">
        <v>23</v>
      </c>
      <c r="H234" s="20">
        <f aca="true" t="shared" si="37" ref="H234:J235">H230+H232</f>
        <v>381715</v>
      </c>
      <c r="I234" s="26">
        <f t="shared" si="37"/>
        <v>457780</v>
      </c>
      <c r="J234" s="21">
        <f t="shared" si="37"/>
        <v>457780</v>
      </c>
      <c r="K234" s="21">
        <f>K230+K232</f>
        <v>839495</v>
      </c>
      <c r="L234" s="36">
        <f>K234/F231</f>
        <v>0.6471218515734906</v>
      </c>
    </row>
    <row r="235" spans="1:12" s="13" customFormat="1" ht="13.5" thickBot="1">
      <c r="A235" s="290"/>
      <c r="B235" s="287"/>
      <c r="C235" s="285"/>
      <c r="D235" s="329"/>
      <c r="E235" s="298"/>
      <c r="F235" s="22">
        <v>1297275</v>
      </c>
      <c r="G235" s="27" t="s">
        <v>24</v>
      </c>
      <c r="H235" s="24">
        <f t="shared" si="37"/>
        <v>0</v>
      </c>
      <c r="I235" s="28">
        <f t="shared" si="37"/>
        <v>0</v>
      </c>
      <c r="J235" s="29">
        <f t="shared" si="37"/>
        <v>0</v>
      </c>
      <c r="K235" s="29">
        <f>K231+K233</f>
        <v>0</v>
      </c>
      <c r="L235" s="25"/>
    </row>
    <row r="236" spans="1:12" s="13" customFormat="1" ht="12.75">
      <c r="A236" s="299">
        <v>39</v>
      </c>
      <c r="B236" s="291" t="s">
        <v>61</v>
      </c>
      <c r="C236" s="288">
        <v>75495</v>
      </c>
      <c r="D236" s="324" t="s">
        <v>58</v>
      </c>
      <c r="E236" s="295">
        <v>2008</v>
      </c>
      <c r="F236" s="8" t="s">
        <v>15</v>
      </c>
      <c r="G236" s="9" t="s">
        <v>16</v>
      </c>
      <c r="H236" s="10"/>
      <c r="I236" s="11">
        <v>190402</v>
      </c>
      <c r="J236" s="11">
        <v>190402</v>
      </c>
      <c r="K236" s="12">
        <f>H236+J236</f>
        <v>190402</v>
      </c>
      <c r="L236" s="35">
        <f>K236/F237</f>
        <v>0.769484442756051</v>
      </c>
    </row>
    <row r="237" spans="1:12" s="13" customFormat="1" ht="12.75">
      <c r="A237" s="300"/>
      <c r="B237" s="286"/>
      <c r="C237" s="289"/>
      <c r="D237" s="325"/>
      <c r="E237" s="296"/>
      <c r="F237" s="14">
        <v>247441</v>
      </c>
      <c r="G237" s="15" t="s">
        <v>17</v>
      </c>
      <c r="H237" s="16"/>
      <c r="I237" s="17"/>
      <c r="J237" s="18"/>
      <c r="K237" s="18"/>
      <c r="L237" s="19"/>
    </row>
    <row r="238" spans="1:12" s="13" customFormat="1" ht="12.75">
      <c r="A238" s="300"/>
      <c r="B238" s="286"/>
      <c r="C238" s="289"/>
      <c r="D238" s="325"/>
      <c r="E238" s="296"/>
      <c r="F238" s="14" t="s">
        <v>18</v>
      </c>
      <c r="G238" s="15" t="s">
        <v>19</v>
      </c>
      <c r="H238" s="16"/>
      <c r="I238" s="17"/>
      <c r="J238" s="18"/>
      <c r="K238" s="18"/>
      <c r="L238" s="19"/>
    </row>
    <row r="239" spans="1:12" s="13" customFormat="1" ht="12.75">
      <c r="A239" s="300"/>
      <c r="B239" s="286"/>
      <c r="C239" s="289"/>
      <c r="D239" s="325"/>
      <c r="E239" s="297">
        <v>2013</v>
      </c>
      <c r="F239" s="14">
        <v>0</v>
      </c>
      <c r="G239" s="15" t="s">
        <v>21</v>
      </c>
      <c r="H239" s="16"/>
      <c r="I239" s="17"/>
      <c r="J239" s="18"/>
      <c r="K239" s="18"/>
      <c r="L239" s="19"/>
    </row>
    <row r="240" spans="1:12" s="13" customFormat="1" ht="12.75">
      <c r="A240" s="300"/>
      <c r="B240" s="286"/>
      <c r="C240" s="289"/>
      <c r="D240" s="325"/>
      <c r="E240" s="296"/>
      <c r="F240" s="14" t="s">
        <v>22</v>
      </c>
      <c r="G240" s="15" t="s">
        <v>23</v>
      </c>
      <c r="H240" s="20">
        <f aca="true" t="shared" si="38" ref="H240:J241">H236+H238</f>
        <v>0</v>
      </c>
      <c r="I240" s="21">
        <f t="shared" si="38"/>
        <v>190402</v>
      </c>
      <c r="J240" s="21">
        <f t="shared" si="38"/>
        <v>190402</v>
      </c>
      <c r="K240" s="21">
        <f>K236+K238</f>
        <v>190402</v>
      </c>
      <c r="L240" s="36">
        <f>K240/F237</f>
        <v>0.769484442756051</v>
      </c>
    </row>
    <row r="241" spans="1:12" s="13" customFormat="1" ht="13.5" thickBot="1">
      <c r="A241" s="290"/>
      <c r="B241" s="287"/>
      <c r="C241" s="285"/>
      <c r="D241" s="329"/>
      <c r="E241" s="298"/>
      <c r="F241" s="22">
        <v>247441</v>
      </c>
      <c r="G241" s="27" t="s">
        <v>24</v>
      </c>
      <c r="H241" s="24">
        <f t="shared" si="38"/>
        <v>0</v>
      </c>
      <c r="I241" s="28">
        <f t="shared" si="38"/>
        <v>0</v>
      </c>
      <c r="J241" s="29">
        <f t="shared" si="38"/>
        <v>0</v>
      </c>
      <c r="K241" s="29">
        <f>K237+K239</f>
        <v>0</v>
      </c>
      <c r="L241" s="48"/>
    </row>
    <row r="242" spans="1:12" s="13" customFormat="1" ht="12.75">
      <c r="A242" s="299">
        <v>40</v>
      </c>
      <c r="B242" s="291" t="s">
        <v>62</v>
      </c>
      <c r="C242" s="288">
        <v>75023</v>
      </c>
      <c r="D242" s="324" t="s">
        <v>58</v>
      </c>
      <c r="E242" s="295">
        <v>2009</v>
      </c>
      <c r="F242" s="8" t="s">
        <v>15</v>
      </c>
      <c r="G242" s="9" t="s">
        <v>16</v>
      </c>
      <c r="H242" s="10">
        <v>666181</v>
      </c>
      <c r="I242" s="11">
        <v>294565</v>
      </c>
      <c r="J242" s="12">
        <v>294565</v>
      </c>
      <c r="K242" s="12">
        <f>H242+J242</f>
        <v>960746</v>
      </c>
      <c r="L242" s="35">
        <f>K242/F243</f>
        <v>0.7214990721667291</v>
      </c>
    </row>
    <row r="243" spans="1:12" s="13" customFormat="1" ht="12.75">
      <c r="A243" s="300"/>
      <c r="B243" s="286"/>
      <c r="C243" s="289"/>
      <c r="D243" s="325"/>
      <c r="E243" s="296"/>
      <c r="F243" s="14">
        <v>1331597</v>
      </c>
      <c r="G243" s="15" t="s">
        <v>17</v>
      </c>
      <c r="H243" s="16"/>
      <c r="I243" s="17"/>
      <c r="J243" s="18"/>
      <c r="K243" s="18"/>
      <c r="L243" s="19"/>
    </row>
    <row r="244" spans="1:12" s="13" customFormat="1" ht="12.75">
      <c r="A244" s="300"/>
      <c r="B244" s="286"/>
      <c r="C244" s="289"/>
      <c r="D244" s="325"/>
      <c r="E244" s="296"/>
      <c r="F244" s="14" t="s">
        <v>18</v>
      </c>
      <c r="G244" s="15" t="s">
        <v>19</v>
      </c>
      <c r="H244" s="16"/>
      <c r="I244" s="17"/>
      <c r="J244" s="18"/>
      <c r="K244" s="18"/>
      <c r="L244" s="19"/>
    </row>
    <row r="245" spans="1:12" s="13" customFormat="1" ht="12.75">
      <c r="A245" s="300"/>
      <c r="B245" s="286"/>
      <c r="C245" s="289"/>
      <c r="D245" s="325"/>
      <c r="E245" s="297">
        <v>2013</v>
      </c>
      <c r="F245" s="14">
        <v>0</v>
      </c>
      <c r="G245" s="15" t="s">
        <v>21</v>
      </c>
      <c r="H245" s="16"/>
      <c r="I245" s="17"/>
      <c r="J245" s="18"/>
      <c r="K245" s="18"/>
      <c r="L245" s="19"/>
    </row>
    <row r="246" spans="1:12" s="13" customFormat="1" ht="12.75">
      <c r="A246" s="300"/>
      <c r="B246" s="286"/>
      <c r="C246" s="289"/>
      <c r="D246" s="325"/>
      <c r="E246" s="296"/>
      <c r="F246" s="14" t="s">
        <v>22</v>
      </c>
      <c r="G246" s="15" t="s">
        <v>23</v>
      </c>
      <c r="H246" s="20">
        <f aca="true" t="shared" si="39" ref="H246:J247">H242+H244</f>
        <v>666181</v>
      </c>
      <c r="I246" s="26">
        <f t="shared" si="39"/>
        <v>294565</v>
      </c>
      <c r="J246" s="21">
        <f t="shared" si="39"/>
        <v>294565</v>
      </c>
      <c r="K246" s="21">
        <f>K242+K244</f>
        <v>960746</v>
      </c>
      <c r="L246" s="36">
        <f>K246/F243</f>
        <v>0.7214990721667291</v>
      </c>
    </row>
    <row r="247" spans="1:12" s="13" customFormat="1" ht="13.5" thickBot="1">
      <c r="A247" s="290"/>
      <c r="B247" s="287"/>
      <c r="C247" s="285"/>
      <c r="D247" s="329"/>
      <c r="E247" s="298"/>
      <c r="F247" s="22">
        <v>1331597</v>
      </c>
      <c r="G247" s="27" t="s">
        <v>24</v>
      </c>
      <c r="H247" s="24">
        <f t="shared" si="39"/>
        <v>0</v>
      </c>
      <c r="I247" s="28">
        <f t="shared" si="39"/>
        <v>0</v>
      </c>
      <c r="J247" s="29">
        <f t="shared" si="39"/>
        <v>0</v>
      </c>
      <c r="K247" s="29">
        <f>K243+K245</f>
        <v>0</v>
      </c>
      <c r="L247" s="25"/>
    </row>
    <row r="248" spans="1:12" s="13" customFormat="1" ht="12.75">
      <c r="A248" s="299">
        <v>41</v>
      </c>
      <c r="B248" s="291" t="s">
        <v>63</v>
      </c>
      <c r="C248" s="288">
        <v>71095</v>
      </c>
      <c r="D248" s="291" t="s">
        <v>64</v>
      </c>
      <c r="E248" s="295">
        <v>2002</v>
      </c>
      <c r="F248" s="8" t="s">
        <v>15</v>
      </c>
      <c r="G248" s="9" t="s">
        <v>16</v>
      </c>
      <c r="H248" s="10">
        <v>99697.4</v>
      </c>
      <c r="I248" s="11">
        <v>98220</v>
      </c>
      <c r="J248" s="12">
        <v>98220</v>
      </c>
      <c r="K248" s="12">
        <f>H248+J248</f>
        <v>197917.4</v>
      </c>
      <c r="L248" s="35">
        <f>K248/F249</f>
        <v>0.47842899182407966</v>
      </c>
    </row>
    <row r="249" spans="1:12" s="13" customFormat="1" ht="12.75">
      <c r="A249" s="300"/>
      <c r="B249" s="286"/>
      <c r="C249" s="289"/>
      <c r="D249" s="286"/>
      <c r="E249" s="296"/>
      <c r="F249" s="14">
        <v>413681.87</v>
      </c>
      <c r="G249" s="15" t="s">
        <v>17</v>
      </c>
      <c r="H249" s="16"/>
      <c r="I249" s="17"/>
      <c r="J249" s="18"/>
      <c r="K249" s="18"/>
      <c r="L249" s="19"/>
    </row>
    <row r="250" spans="1:12" s="13" customFormat="1" ht="12.75">
      <c r="A250" s="300"/>
      <c r="B250" s="286"/>
      <c r="C250" s="289"/>
      <c r="D250" s="286"/>
      <c r="E250" s="296"/>
      <c r="F250" s="14" t="s">
        <v>18</v>
      </c>
      <c r="G250" s="15" t="s">
        <v>19</v>
      </c>
      <c r="H250" s="16"/>
      <c r="I250" s="17"/>
      <c r="J250" s="18"/>
      <c r="K250" s="18"/>
      <c r="L250" s="19"/>
    </row>
    <row r="251" spans="1:12" s="13" customFormat="1" ht="12.75">
      <c r="A251" s="300"/>
      <c r="B251" s="286"/>
      <c r="C251" s="289"/>
      <c r="D251" s="286"/>
      <c r="E251" s="297">
        <v>2015</v>
      </c>
      <c r="F251" s="14">
        <v>0</v>
      </c>
      <c r="G251" s="15" t="s">
        <v>21</v>
      </c>
      <c r="H251" s="16"/>
      <c r="I251" s="17"/>
      <c r="J251" s="18"/>
      <c r="K251" s="18"/>
      <c r="L251" s="19"/>
    </row>
    <row r="252" spans="1:12" s="13" customFormat="1" ht="12.75">
      <c r="A252" s="300"/>
      <c r="B252" s="286"/>
      <c r="C252" s="289"/>
      <c r="D252" s="286"/>
      <c r="E252" s="296"/>
      <c r="F252" s="14" t="s">
        <v>22</v>
      </c>
      <c r="G252" s="15" t="s">
        <v>23</v>
      </c>
      <c r="H252" s="20">
        <f aca="true" t="shared" si="40" ref="H252:J253">H248+H250</f>
        <v>99697.4</v>
      </c>
      <c r="I252" s="26">
        <f t="shared" si="40"/>
        <v>98220</v>
      </c>
      <c r="J252" s="21">
        <f t="shared" si="40"/>
        <v>98220</v>
      </c>
      <c r="K252" s="21">
        <f>K248+K250</f>
        <v>197917.4</v>
      </c>
      <c r="L252" s="36">
        <f>K252/F249</f>
        <v>0.47842899182407966</v>
      </c>
    </row>
    <row r="253" spans="1:12" s="13" customFormat="1" ht="13.5" thickBot="1">
      <c r="A253" s="300"/>
      <c r="B253" s="287"/>
      <c r="C253" s="285"/>
      <c r="D253" s="287"/>
      <c r="E253" s="298"/>
      <c r="F253" s="22">
        <v>413681.87</v>
      </c>
      <c r="G253" s="27" t="s">
        <v>24</v>
      </c>
      <c r="H253" s="24">
        <f t="shared" si="40"/>
        <v>0</v>
      </c>
      <c r="I253" s="28">
        <f t="shared" si="40"/>
        <v>0</v>
      </c>
      <c r="J253" s="29">
        <f t="shared" si="40"/>
        <v>0</v>
      </c>
      <c r="K253" s="29">
        <f>K249+K251</f>
        <v>0</v>
      </c>
      <c r="L253" s="25"/>
    </row>
    <row r="254" spans="1:12" s="13" customFormat="1" ht="12.75">
      <c r="A254" s="299">
        <v>42</v>
      </c>
      <c r="B254" s="291" t="s">
        <v>71</v>
      </c>
      <c r="C254" s="288">
        <v>90004</v>
      </c>
      <c r="D254" s="291" t="s">
        <v>65</v>
      </c>
      <c r="E254" s="295">
        <v>2009</v>
      </c>
      <c r="F254" s="8" t="s">
        <v>15</v>
      </c>
      <c r="G254" s="9" t="s">
        <v>16</v>
      </c>
      <c r="H254" s="10">
        <v>479795.15</v>
      </c>
      <c r="I254" s="11">
        <v>107245.11</v>
      </c>
      <c r="J254" s="12">
        <v>107245</v>
      </c>
      <c r="K254" s="12">
        <f>H254+J254</f>
        <v>587040.15</v>
      </c>
      <c r="L254" s="35">
        <f>K254/F255</f>
        <v>0.668303937276167</v>
      </c>
    </row>
    <row r="255" spans="1:12" s="13" customFormat="1" ht="12.75">
      <c r="A255" s="300"/>
      <c r="B255" s="286"/>
      <c r="C255" s="289"/>
      <c r="D255" s="286"/>
      <c r="E255" s="296"/>
      <c r="F255" s="14">
        <v>878402.95</v>
      </c>
      <c r="G255" s="15" t="s">
        <v>17</v>
      </c>
      <c r="H255" s="16"/>
      <c r="I255" s="17"/>
      <c r="J255" s="18"/>
      <c r="K255" s="18"/>
      <c r="L255" s="19"/>
    </row>
    <row r="256" spans="1:12" s="13" customFormat="1" ht="12.75">
      <c r="A256" s="300"/>
      <c r="B256" s="286"/>
      <c r="C256" s="289"/>
      <c r="D256" s="286"/>
      <c r="E256" s="296"/>
      <c r="F256" s="14" t="s">
        <v>18</v>
      </c>
      <c r="G256" s="15" t="s">
        <v>19</v>
      </c>
      <c r="H256" s="16"/>
      <c r="I256" s="17"/>
      <c r="J256" s="18"/>
      <c r="K256" s="18"/>
      <c r="L256" s="19"/>
    </row>
    <row r="257" spans="1:12" s="13" customFormat="1" ht="12.75">
      <c r="A257" s="300"/>
      <c r="B257" s="286"/>
      <c r="C257" s="289"/>
      <c r="D257" s="286"/>
      <c r="E257" s="297">
        <v>2013</v>
      </c>
      <c r="F257" s="14">
        <v>0</v>
      </c>
      <c r="G257" s="15" t="s">
        <v>21</v>
      </c>
      <c r="H257" s="16"/>
      <c r="I257" s="17"/>
      <c r="J257" s="18"/>
      <c r="K257" s="18"/>
      <c r="L257" s="19"/>
    </row>
    <row r="258" spans="1:12" s="13" customFormat="1" ht="12.75">
      <c r="A258" s="300"/>
      <c r="B258" s="286"/>
      <c r="C258" s="289"/>
      <c r="D258" s="286"/>
      <c r="E258" s="296"/>
      <c r="F258" s="14" t="s">
        <v>22</v>
      </c>
      <c r="G258" s="15" t="s">
        <v>23</v>
      </c>
      <c r="H258" s="20">
        <f aca="true" t="shared" si="41" ref="H258:J259">H254+H256</f>
        <v>479795.15</v>
      </c>
      <c r="I258" s="26">
        <f t="shared" si="41"/>
        <v>107245.11</v>
      </c>
      <c r="J258" s="21">
        <f t="shared" si="41"/>
        <v>107245</v>
      </c>
      <c r="K258" s="21">
        <f>K254+K256</f>
        <v>587040.15</v>
      </c>
      <c r="L258" s="36">
        <f>K258/F255</f>
        <v>0.668303937276167</v>
      </c>
    </row>
    <row r="259" spans="1:12" s="13" customFormat="1" ht="13.5" thickBot="1">
      <c r="A259" s="290"/>
      <c r="B259" s="287"/>
      <c r="C259" s="285"/>
      <c r="D259" s="287"/>
      <c r="E259" s="298"/>
      <c r="F259" s="22">
        <v>878402.95</v>
      </c>
      <c r="G259" s="27" t="s">
        <v>24</v>
      </c>
      <c r="H259" s="24">
        <f t="shared" si="41"/>
        <v>0</v>
      </c>
      <c r="I259" s="28">
        <f t="shared" si="41"/>
        <v>0</v>
      </c>
      <c r="J259" s="29">
        <f t="shared" si="41"/>
        <v>0</v>
      </c>
      <c r="K259" s="29">
        <f>K255+K257</f>
        <v>0</v>
      </c>
      <c r="L259" s="25"/>
    </row>
    <row r="260" spans="1:12" s="13" customFormat="1" ht="12.75">
      <c r="A260" s="299">
        <v>43</v>
      </c>
      <c r="B260" s="291" t="s">
        <v>66</v>
      </c>
      <c r="C260" s="288">
        <v>85154</v>
      </c>
      <c r="D260" s="291" t="s">
        <v>67</v>
      </c>
      <c r="E260" s="295">
        <v>2009</v>
      </c>
      <c r="F260" s="8" t="s">
        <v>15</v>
      </c>
      <c r="G260" s="9" t="s">
        <v>16</v>
      </c>
      <c r="H260" s="10">
        <v>1380350</v>
      </c>
      <c r="I260" s="11">
        <v>1781817</v>
      </c>
      <c r="J260" s="11">
        <v>1781817</v>
      </c>
      <c r="K260" s="12">
        <f>H260+J260</f>
        <v>3162167</v>
      </c>
      <c r="L260" s="35">
        <f>K260/F261</f>
        <v>0.779291316092403</v>
      </c>
    </row>
    <row r="261" spans="1:12" s="13" customFormat="1" ht="12.75">
      <c r="A261" s="300"/>
      <c r="B261" s="286"/>
      <c r="C261" s="289"/>
      <c r="D261" s="286"/>
      <c r="E261" s="296"/>
      <c r="F261" s="14">
        <v>4057747</v>
      </c>
      <c r="G261" s="15" t="s">
        <v>17</v>
      </c>
      <c r="H261" s="16"/>
      <c r="I261" s="17"/>
      <c r="J261" s="18"/>
      <c r="K261" s="18"/>
      <c r="L261" s="19"/>
    </row>
    <row r="262" spans="1:12" s="13" customFormat="1" ht="12.75">
      <c r="A262" s="300"/>
      <c r="B262" s="286"/>
      <c r="C262" s="289"/>
      <c r="D262" s="286"/>
      <c r="E262" s="296"/>
      <c r="F262" s="14" t="s">
        <v>18</v>
      </c>
      <c r="G262" s="15" t="s">
        <v>19</v>
      </c>
      <c r="H262" s="16"/>
      <c r="I262" s="17"/>
      <c r="J262" s="18"/>
      <c r="K262" s="18"/>
      <c r="L262" s="19"/>
    </row>
    <row r="263" spans="1:12" s="13" customFormat="1" ht="12.75">
      <c r="A263" s="300"/>
      <c r="B263" s="286"/>
      <c r="C263" s="289"/>
      <c r="D263" s="286"/>
      <c r="E263" s="297">
        <v>2012</v>
      </c>
      <c r="F263" s="14">
        <v>0</v>
      </c>
      <c r="G263" s="15" t="s">
        <v>21</v>
      </c>
      <c r="H263" s="16"/>
      <c r="I263" s="17"/>
      <c r="J263" s="18"/>
      <c r="K263" s="18"/>
      <c r="L263" s="19"/>
    </row>
    <row r="264" spans="1:12" s="13" customFormat="1" ht="12.75">
      <c r="A264" s="300"/>
      <c r="B264" s="286"/>
      <c r="C264" s="289"/>
      <c r="D264" s="286"/>
      <c r="E264" s="296"/>
      <c r="F264" s="14" t="s">
        <v>22</v>
      </c>
      <c r="G264" s="15" t="s">
        <v>23</v>
      </c>
      <c r="H264" s="20">
        <f aca="true" t="shared" si="42" ref="H264:J265">H260+H262</f>
        <v>1380350</v>
      </c>
      <c r="I264" s="26">
        <f t="shared" si="42"/>
        <v>1781817</v>
      </c>
      <c r="J264" s="21">
        <f t="shared" si="42"/>
        <v>1781817</v>
      </c>
      <c r="K264" s="21">
        <f>K260+K262</f>
        <v>3162167</v>
      </c>
      <c r="L264" s="36">
        <f>K264/F261</f>
        <v>0.779291316092403</v>
      </c>
    </row>
    <row r="265" spans="1:12" s="13" customFormat="1" ht="13.5" thickBot="1">
      <c r="A265" s="300"/>
      <c r="B265" s="287"/>
      <c r="C265" s="285"/>
      <c r="D265" s="287"/>
      <c r="E265" s="298"/>
      <c r="F265" s="22">
        <v>4057747</v>
      </c>
      <c r="G265" s="27" t="s">
        <v>24</v>
      </c>
      <c r="H265" s="24">
        <f t="shared" si="42"/>
        <v>0</v>
      </c>
      <c r="I265" s="28">
        <f t="shared" si="42"/>
        <v>0</v>
      </c>
      <c r="J265" s="29">
        <f t="shared" si="42"/>
        <v>0</v>
      </c>
      <c r="K265" s="29">
        <f>K261+K263</f>
        <v>0</v>
      </c>
      <c r="L265" s="25"/>
    </row>
    <row r="266" spans="1:12" s="13" customFormat="1" ht="12.75">
      <c r="A266" s="299">
        <v>44</v>
      </c>
      <c r="B266" s="291" t="s">
        <v>68</v>
      </c>
      <c r="C266" s="288">
        <v>71095</v>
      </c>
      <c r="D266" s="291" t="s">
        <v>69</v>
      </c>
      <c r="E266" s="295">
        <v>2010</v>
      </c>
      <c r="F266" s="8" t="s">
        <v>15</v>
      </c>
      <c r="G266" s="9" t="s">
        <v>16</v>
      </c>
      <c r="H266" s="10">
        <v>50000</v>
      </c>
      <c r="I266" s="11">
        <v>100000</v>
      </c>
      <c r="J266" s="12">
        <v>100000</v>
      </c>
      <c r="K266" s="12">
        <f>H266+J266</f>
        <v>150000</v>
      </c>
      <c r="L266" s="35">
        <f>K266/F267</f>
        <v>0.42857142857142855</v>
      </c>
    </row>
    <row r="267" spans="1:12" s="13" customFormat="1" ht="12.75">
      <c r="A267" s="300"/>
      <c r="B267" s="286"/>
      <c r="C267" s="289"/>
      <c r="D267" s="286"/>
      <c r="E267" s="296"/>
      <c r="F267" s="14">
        <v>350000</v>
      </c>
      <c r="G267" s="15" t="s">
        <v>17</v>
      </c>
      <c r="H267" s="16"/>
      <c r="I267" s="17"/>
      <c r="J267" s="18"/>
      <c r="K267" s="18"/>
      <c r="L267" s="19"/>
    </row>
    <row r="268" spans="1:12" s="13" customFormat="1" ht="12.75">
      <c r="A268" s="300"/>
      <c r="B268" s="286"/>
      <c r="C268" s="289"/>
      <c r="D268" s="286"/>
      <c r="E268" s="296"/>
      <c r="F268" s="14" t="s">
        <v>18</v>
      </c>
      <c r="G268" s="15" t="s">
        <v>19</v>
      </c>
      <c r="H268" s="16"/>
      <c r="I268" s="17"/>
      <c r="J268" s="18"/>
      <c r="K268" s="18"/>
      <c r="L268" s="19"/>
    </row>
    <row r="269" spans="1:12" s="13" customFormat="1" ht="12.75">
      <c r="A269" s="300"/>
      <c r="B269" s="286"/>
      <c r="C269" s="289"/>
      <c r="D269" s="286"/>
      <c r="E269" s="297">
        <v>2013</v>
      </c>
      <c r="F269" s="14">
        <v>0</v>
      </c>
      <c r="G269" s="15" t="s">
        <v>21</v>
      </c>
      <c r="H269" s="16"/>
      <c r="I269" s="17"/>
      <c r="J269" s="18"/>
      <c r="K269" s="18"/>
      <c r="L269" s="19"/>
    </row>
    <row r="270" spans="1:12" s="13" customFormat="1" ht="12.75">
      <c r="A270" s="300"/>
      <c r="B270" s="286"/>
      <c r="C270" s="289"/>
      <c r="D270" s="286"/>
      <c r="E270" s="296"/>
      <c r="F270" s="14" t="s">
        <v>22</v>
      </c>
      <c r="G270" s="15" t="s">
        <v>23</v>
      </c>
      <c r="H270" s="20">
        <f aca="true" t="shared" si="43" ref="H270:J271">H266+H268</f>
        <v>50000</v>
      </c>
      <c r="I270" s="26">
        <f t="shared" si="43"/>
        <v>100000</v>
      </c>
      <c r="J270" s="21">
        <f t="shared" si="43"/>
        <v>100000</v>
      </c>
      <c r="K270" s="21">
        <f>K266+K268</f>
        <v>150000</v>
      </c>
      <c r="L270" s="36">
        <f>K270/F267</f>
        <v>0.42857142857142855</v>
      </c>
    </row>
    <row r="271" spans="1:12" s="13" customFormat="1" ht="13.5" thickBot="1">
      <c r="A271" s="290"/>
      <c r="B271" s="287"/>
      <c r="C271" s="285"/>
      <c r="D271" s="287"/>
      <c r="E271" s="298"/>
      <c r="F271" s="49">
        <v>350000</v>
      </c>
      <c r="G271" s="27" t="s">
        <v>24</v>
      </c>
      <c r="H271" s="24">
        <f t="shared" si="43"/>
        <v>0</v>
      </c>
      <c r="I271" s="28">
        <f t="shared" si="43"/>
        <v>0</v>
      </c>
      <c r="J271" s="29">
        <f t="shared" si="43"/>
        <v>0</v>
      </c>
      <c r="K271" s="29">
        <f>K267+K269</f>
        <v>0</v>
      </c>
      <c r="L271" s="25"/>
    </row>
    <row r="272" spans="1:12" s="13" customFormat="1" ht="13.5" thickBot="1">
      <c r="A272" s="293" t="s">
        <v>70</v>
      </c>
      <c r="B272" s="294"/>
      <c r="C272" s="294"/>
      <c r="D272" s="294"/>
      <c r="E272" s="45"/>
      <c r="F272" s="50">
        <f>SUM(F13,F19,F25,F31,F37,F43,F49,F55,F61,F67,F73,F79,F85,F91,F97,F103,F109,F115,F121,F127,F133,F139,F145,F151,F157,F163,F169,F175,F181,F187)+SUM(F193,F199,F205,F211,F217,F223,F229,F235,F241,F247,F253,F259,F265,F271)</f>
        <v>1510023141.05</v>
      </c>
      <c r="G272" s="46"/>
      <c r="H272" s="51">
        <f>SUM(H266,H260,H254,H248,H242,H236,H230,H224,H218,H212,H206,H200,H194,H188,H182,H176,H170,H164,H158,H152,H146,H140,H134,H128)+SUM(H122,H116,H110,H104,H98,H92,H86,H80,H74,H68,H62,H56,H50,H44,H38,H32,H26,H20,H14,H8)</f>
        <v>62997511.55</v>
      </c>
      <c r="I272" s="51">
        <f>SUM(I266,I260,I254,I248,I242,I236,I230,I224,I218,I212,I206,I200,I194,I188,I182,I176,I170,I164,I158,I152,I146,I140,I134,I128)+SUM(I122,I116,I110,I104,I98,I92,I86,I80,I74,I68,I62,I56,I50,I44,I38,I32,I26,I20,I14,I8)</f>
        <v>198170452.73000002</v>
      </c>
      <c r="J272" s="51">
        <f>SUM(J266,J260,J254,J248,J242,J236,J230,J224,J218,J212,J206,J200,J194,J188,J182,J176,J170,J164,J158,J152,J146,J140,J134,J128)+SUM(J122,J116,J110,J104,J98,J92,J86,J80,J74,J68,J62,J56,J50,J44,J38,J32,J26,J20,J14,J8)</f>
        <v>187548798.62</v>
      </c>
      <c r="K272" s="51">
        <f>SUM(K266,K260,K254,K248,K242,K236,K230,K224,K218,K212,K206,K200,K194,K188,K182,K176,K170,K164,K158,K152,K146,K140,K134,K128)+SUM(K122,K116,K110,K104,K98,K92,K86,K80,K74,K68,K62,K56,K50,K44,K38,K32,K26,K20,K14,K8)</f>
        <v>250546310.17000002</v>
      </c>
      <c r="L272" s="52">
        <f>K272/F272</f>
        <v>0.16592216593169676</v>
      </c>
    </row>
    <row r="273" spans="4:5" s="13" customFormat="1" ht="12.75">
      <c r="D273" s="32"/>
      <c r="E273" s="33"/>
    </row>
    <row r="274" spans="4:5" s="13" customFormat="1" ht="12.75">
      <c r="D274" s="32"/>
      <c r="E274" s="33"/>
    </row>
    <row r="275" spans="4:11" s="13" customFormat="1" ht="12.75">
      <c r="D275" s="32"/>
      <c r="E275" s="33"/>
      <c r="H275" s="34"/>
      <c r="I275" s="34"/>
      <c r="J275" s="34"/>
      <c r="K275" s="34"/>
    </row>
    <row r="276" spans="4:11" s="13" customFormat="1" ht="12.75">
      <c r="D276" s="32"/>
      <c r="E276" s="33"/>
      <c r="F276" s="34"/>
      <c r="H276" s="34"/>
      <c r="I276" s="34"/>
      <c r="J276" s="34"/>
      <c r="K276" s="34"/>
    </row>
    <row r="277" spans="4:5" s="13" customFormat="1" ht="12.75">
      <c r="D277" s="32"/>
      <c r="E277" s="33"/>
    </row>
    <row r="278" spans="4:5" s="13" customFormat="1" ht="12.75">
      <c r="D278" s="32"/>
      <c r="E278" s="33"/>
    </row>
    <row r="279" spans="4:5" s="13" customFormat="1" ht="12.75">
      <c r="D279" s="32"/>
      <c r="E279" s="33"/>
    </row>
    <row r="280" spans="4:5" s="13" customFormat="1" ht="12.75">
      <c r="D280" s="32"/>
      <c r="E280" s="33"/>
    </row>
    <row r="281" spans="4:5" s="13" customFormat="1" ht="12.75">
      <c r="D281" s="32"/>
      <c r="E281" s="33"/>
    </row>
    <row r="282" spans="4:5" s="13" customFormat="1" ht="12.75">
      <c r="D282" s="32"/>
      <c r="E282" s="33"/>
    </row>
    <row r="283" spans="4:5" s="13" customFormat="1" ht="12.75">
      <c r="D283" s="32"/>
      <c r="E283" s="33"/>
    </row>
    <row r="284" spans="4:5" s="13" customFormat="1" ht="12.75">
      <c r="D284" s="32"/>
      <c r="E284" s="33"/>
    </row>
    <row r="285" spans="4:5" s="13" customFormat="1" ht="12.75">
      <c r="D285" s="32"/>
      <c r="E285" s="33"/>
    </row>
    <row r="286" spans="4:5" s="13" customFormat="1" ht="12.75">
      <c r="D286" s="32"/>
      <c r="E286" s="33"/>
    </row>
    <row r="287" spans="4:5" s="13" customFormat="1" ht="12.75">
      <c r="D287" s="32"/>
      <c r="E287" s="33"/>
    </row>
    <row r="288" spans="4:5" s="13" customFormat="1" ht="12.75">
      <c r="D288" s="32"/>
      <c r="E288" s="33"/>
    </row>
    <row r="289" spans="4:5" s="13" customFormat="1" ht="12.75">
      <c r="D289" s="32"/>
      <c r="E289" s="33"/>
    </row>
    <row r="290" spans="4:5" s="13" customFormat="1" ht="12.75">
      <c r="D290" s="32"/>
      <c r="E290" s="33"/>
    </row>
    <row r="291" spans="4:5" s="13" customFormat="1" ht="12.75">
      <c r="D291" s="32"/>
      <c r="E291" s="33"/>
    </row>
    <row r="292" spans="4:5" s="13" customFormat="1" ht="12.75">
      <c r="D292" s="32"/>
      <c r="E292" s="33"/>
    </row>
    <row r="293" spans="4:5" s="13" customFormat="1" ht="12.75">
      <c r="D293" s="32"/>
      <c r="E293" s="33"/>
    </row>
    <row r="294" spans="4:5" s="13" customFormat="1" ht="12.75">
      <c r="D294" s="32"/>
      <c r="E294" s="33"/>
    </row>
    <row r="295" spans="4:5" s="13" customFormat="1" ht="12.75">
      <c r="D295" s="32"/>
      <c r="E295" s="33"/>
    </row>
    <row r="296" spans="4:5" s="13" customFormat="1" ht="12.75">
      <c r="D296" s="32"/>
      <c r="E296" s="33"/>
    </row>
    <row r="297" spans="4:5" s="13" customFormat="1" ht="12.75">
      <c r="D297" s="32"/>
      <c r="E297" s="33"/>
    </row>
    <row r="298" spans="4:5" s="13" customFormat="1" ht="12.75">
      <c r="D298" s="32"/>
      <c r="E298" s="33"/>
    </row>
    <row r="299" spans="4:5" s="13" customFormat="1" ht="12.75">
      <c r="D299" s="32"/>
      <c r="E299" s="33"/>
    </row>
    <row r="300" spans="4:5" s="13" customFormat="1" ht="12.75">
      <c r="D300" s="32"/>
      <c r="E300" s="33"/>
    </row>
    <row r="301" spans="4:5" s="13" customFormat="1" ht="12.75">
      <c r="D301" s="32"/>
      <c r="E301" s="33"/>
    </row>
    <row r="302" spans="4:5" s="13" customFormat="1" ht="12.75">
      <c r="D302" s="32"/>
      <c r="E302" s="33"/>
    </row>
    <row r="303" spans="4:5" s="13" customFormat="1" ht="12.75">
      <c r="D303" s="32"/>
      <c r="E303" s="33"/>
    </row>
    <row r="304" spans="4:5" s="13" customFormat="1" ht="12.75">
      <c r="D304" s="32"/>
      <c r="E304" s="33"/>
    </row>
    <row r="305" spans="4:5" s="13" customFormat="1" ht="12.75">
      <c r="D305" s="32"/>
      <c r="E305" s="33"/>
    </row>
    <row r="306" spans="4:5" s="13" customFormat="1" ht="12.75">
      <c r="D306" s="32"/>
      <c r="E306" s="33"/>
    </row>
    <row r="307" spans="4:5" s="13" customFormat="1" ht="12.75">
      <c r="D307" s="32"/>
      <c r="E307" s="33"/>
    </row>
    <row r="308" spans="4:5" s="13" customFormat="1" ht="12.75">
      <c r="D308" s="32"/>
      <c r="E308" s="33"/>
    </row>
    <row r="309" spans="4:5" s="13" customFormat="1" ht="12.75">
      <c r="D309" s="32"/>
      <c r="E309" s="33"/>
    </row>
    <row r="310" spans="4:5" s="13" customFormat="1" ht="12.75">
      <c r="D310" s="32"/>
      <c r="E310" s="33"/>
    </row>
    <row r="311" spans="4:5" s="13" customFormat="1" ht="12.75">
      <c r="D311" s="32"/>
      <c r="E311" s="33"/>
    </row>
    <row r="312" spans="4:5" s="13" customFormat="1" ht="12.75">
      <c r="D312" s="32"/>
      <c r="E312" s="33"/>
    </row>
    <row r="313" spans="4:5" s="13" customFormat="1" ht="12.75">
      <c r="D313" s="32"/>
      <c r="E313" s="33"/>
    </row>
    <row r="314" spans="4:5" s="13" customFormat="1" ht="12.75">
      <c r="D314" s="32"/>
      <c r="E314" s="33"/>
    </row>
    <row r="315" spans="4:5" s="13" customFormat="1" ht="12.75">
      <c r="D315" s="32"/>
      <c r="E315" s="33"/>
    </row>
    <row r="316" spans="4:5" s="13" customFormat="1" ht="12.75">
      <c r="D316" s="32"/>
      <c r="E316" s="33"/>
    </row>
    <row r="317" spans="4:5" s="13" customFormat="1" ht="12.75">
      <c r="D317" s="32"/>
      <c r="E317" s="33"/>
    </row>
    <row r="318" spans="4:5" s="13" customFormat="1" ht="12.75">
      <c r="D318" s="32"/>
      <c r="E318" s="33"/>
    </row>
    <row r="319" spans="4:5" s="13" customFormat="1" ht="12.75">
      <c r="D319" s="32"/>
      <c r="E319" s="33"/>
    </row>
    <row r="320" spans="4:5" s="13" customFormat="1" ht="12.75">
      <c r="D320" s="32"/>
      <c r="E320" s="33"/>
    </row>
    <row r="321" spans="4:5" s="13" customFormat="1" ht="12.75">
      <c r="D321" s="32"/>
      <c r="E321" s="33"/>
    </row>
    <row r="322" spans="4:5" s="13" customFormat="1" ht="12.75">
      <c r="D322" s="32"/>
      <c r="E322" s="33"/>
    </row>
    <row r="323" spans="4:5" s="13" customFormat="1" ht="12.75">
      <c r="D323" s="32"/>
      <c r="E323" s="33"/>
    </row>
    <row r="324" spans="4:5" s="13" customFormat="1" ht="12.75">
      <c r="D324" s="32"/>
      <c r="E324" s="33"/>
    </row>
    <row r="325" spans="4:5" s="13" customFormat="1" ht="12.75">
      <c r="D325" s="32"/>
      <c r="E325" s="33"/>
    </row>
    <row r="326" spans="4:5" s="13" customFormat="1" ht="12.75">
      <c r="D326" s="32"/>
      <c r="E326" s="33"/>
    </row>
    <row r="327" spans="4:5" s="13" customFormat="1" ht="12.75">
      <c r="D327" s="32"/>
      <c r="E327" s="33"/>
    </row>
    <row r="328" spans="4:5" s="13" customFormat="1" ht="12.75">
      <c r="D328" s="32"/>
      <c r="E328" s="33"/>
    </row>
    <row r="329" spans="4:5" s="13" customFormat="1" ht="12.75">
      <c r="D329" s="32"/>
      <c r="E329" s="33"/>
    </row>
    <row r="330" spans="4:5" s="13" customFormat="1" ht="12.75">
      <c r="D330" s="32"/>
      <c r="E330" s="33"/>
    </row>
  </sheetData>
  <mergeCells count="279">
    <mergeCell ref="C26:C31"/>
    <mergeCell ref="C20:C25"/>
    <mergeCell ref="C14:C19"/>
    <mergeCell ref="C8:C13"/>
    <mergeCell ref="I5:I6"/>
    <mergeCell ref="J5:J6"/>
    <mergeCell ref="K5:K6"/>
    <mergeCell ref="L5:L6"/>
    <mergeCell ref="E236:E238"/>
    <mergeCell ref="E239:E241"/>
    <mergeCell ref="A242:A247"/>
    <mergeCell ref="B242:B247"/>
    <mergeCell ref="C242:C247"/>
    <mergeCell ref="D242:D247"/>
    <mergeCell ref="E242:E244"/>
    <mergeCell ref="E245:E247"/>
    <mergeCell ref="A236:A241"/>
    <mergeCell ref="B236:B241"/>
    <mergeCell ref="C236:C241"/>
    <mergeCell ref="D236:D241"/>
    <mergeCell ref="E227:E229"/>
    <mergeCell ref="A230:A235"/>
    <mergeCell ref="B230:B235"/>
    <mergeCell ref="C230:C235"/>
    <mergeCell ref="D230:D235"/>
    <mergeCell ref="E230:E232"/>
    <mergeCell ref="E233:E235"/>
    <mergeCell ref="A224:A229"/>
    <mergeCell ref="B224:B229"/>
    <mergeCell ref="C224:C229"/>
    <mergeCell ref="D224:D229"/>
    <mergeCell ref="E38:E40"/>
    <mergeCell ref="B38:B43"/>
    <mergeCell ref="C38:C43"/>
    <mergeCell ref="D38:D43"/>
    <mergeCell ref="E44:E46"/>
    <mergeCell ref="E56:E58"/>
    <mergeCell ref="E68:E70"/>
    <mergeCell ref="E41:E43"/>
    <mergeCell ref="A218:A223"/>
    <mergeCell ref="B218:B223"/>
    <mergeCell ref="C218:C223"/>
    <mergeCell ref="D218:D223"/>
    <mergeCell ref="E218:E220"/>
    <mergeCell ref="E221:E223"/>
    <mergeCell ref="A38:A43"/>
    <mergeCell ref="B44:B49"/>
    <mergeCell ref="C44:C49"/>
    <mergeCell ref="E35:E37"/>
    <mergeCell ref="A26:A31"/>
    <mergeCell ref="B26:B31"/>
    <mergeCell ref="A32:A37"/>
    <mergeCell ref="B32:B37"/>
    <mergeCell ref="D32:D37"/>
    <mergeCell ref="E32:E34"/>
    <mergeCell ref="D26:D31"/>
    <mergeCell ref="E26:E28"/>
    <mergeCell ref="C32:C37"/>
    <mergeCell ref="E17:E19"/>
    <mergeCell ref="E29:E31"/>
    <mergeCell ref="A20:A25"/>
    <mergeCell ref="B20:B25"/>
    <mergeCell ref="D20:D25"/>
    <mergeCell ref="E20:E22"/>
    <mergeCell ref="E23:E25"/>
    <mergeCell ref="A14:A19"/>
    <mergeCell ref="B14:B19"/>
    <mergeCell ref="D14:D19"/>
    <mergeCell ref="E14:E16"/>
    <mergeCell ref="A8:A13"/>
    <mergeCell ref="B8:B13"/>
    <mergeCell ref="D8:D13"/>
    <mergeCell ref="E8:E10"/>
    <mergeCell ref="E11:E13"/>
    <mergeCell ref="E5:E6"/>
    <mergeCell ref="F5:F6"/>
    <mergeCell ref="G5:G6"/>
    <mergeCell ref="A5:A6"/>
    <mergeCell ref="B5:B6"/>
    <mergeCell ref="C5:C6"/>
    <mergeCell ref="D5:D6"/>
    <mergeCell ref="D44:D49"/>
    <mergeCell ref="H5:H6"/>
    <mergeCell ref="E47:E49"/>
    <mergeCell ref="A50:A55"/>
    <mergeCell ref="B50:B55"/>
    <mergeCell ref="C50:C55"/>
    <mergeCell ref="D50:D55"/>
    <mergeCell ref="E50:E52"/>
    <mergeCell ref="E53:E55"/>
    <mergeCell ref="A44:A49"/>
    <mergeCell ref="A56:A61"/>
    <mergeCell ref="B56:B61"/>
    <mergeCell ref="C56:C61"/>
    <mergeCell ref="D56:D61"/>
    <mergeCell ref="A62:A67"/>
    <mergeCell ref="B62:B67"/>
    <mergeCell ref="C62:C67"/>
    <mergeCell ref="D62:D67"/>
    <mergeCell ref="E59:E61"/>
    <mergeCell ref="E62:E64"/>
    <mergeCell ref="E65:E67"/>
    <mergeCell ref="E71:E73"/>
    <mergeCell ref="E74:E76"/>
    <mergeCell ref="E77:E79"/>
    <mergeCell ref="A68:A73"/>
    <mergeCell ref="A74:A79"/>
    <mergeCell ref="B74:B79"/>
    <mergeCell ref="C74:C79"/>
    <mergeCell ref="D74:D79"/>
    <mergeCell ref="B68:B73"/>
    <mergeCell ref="C68:C73"/>
    <mergeCell ref="D68:D73"/>
    <mergeCell ref="A80:A85"/>
    <mergeCell ref="B80:B85"/>
    <mergeCell ref="C80:C85"/>
    <mergeCell ref="D80:D85"/>
    <mergeCell ref="A86:A91"/>
    <mergeCell ref="B86:B91"/>
    <mergeCell ref="C86:C91"/>
    <mergeCell ref="D86:D91"/>
    <mergeCell ref="E92:E94"/>
    <mergeCell ref="E95:E97"/>
    <mergeCell ref="E80:E82"/>
    <mergeCell ref="E83:E85"/>
    <mergeCell ref="E86:E88"/>
    <mergeCell ref="E89:E91"/>
    <mergeCell ref="C98:C103"/>
    <mergeCell ref="D98:D103"/>
    <mergeCell ref="A92:A97"/>
    <mergeCell ref="B92:B97"/>
    <mergeCell ref="C92:C97"/>
    <mergeCell ref="D92:D97"/>
    <mergeCell ref="E98:E100"/>
    <mergeCell ref="E101:E103"/>
    <mergeCell ref="A104:A109"/>
    <mergeCell ref="B104:B109"/>
    <mergeCell ref="C104:C109"/>
    <mergeCell ref="D104:D109"/>
    <mergeCell ref="E104:E106"/>
    <mergeCell ref="E107:E109"/>
    <mergeCell ref="A98:A103"/>
    <mergeCell ref="B98:B103"/>
    <mergeCell ref="A110:A115"/>
    <mergeCell ref="B110:B115"/>
    <mergeCell ref="C110:C115"/>
    <mergeCell ref="D110:D115"/>
    <mergeCell ref="E122:E124"/>
    <mergeCell ref="E125:E127"/>
    <mergeCell ref="A116:A121"/>
    <mergeCell ref="B116:B121"/>
    <mergeCell ref="C116:C121"/>
    <mergeCell ref="D116:D121"/>
    <mergeCell ref="E110:E112"/>
    <mergeCell ref="E113:E115"/>
    <mergeCell ref="E116:E118"/>
    <mergeCell ref="E119:E121"/>
    <mergeCell ref="E128:E130"/>
    <mergeCell ref="E131:E133"/>
    <mergeCell ref="A122:A127"/>
    <mergeCell ref="B122:B127"/>
    <mergeCell ref="A128:A133"/>
    <mergeCell ref="B128:B133"/>
    <mergeCell ref="C128:C133"/>
    <mergeCell ref="D128:D133"/>
    <mergeCell ref="C122:C127"/>
    <mergeCell ref="D122:D127"/>
    <mergeCell ref="A134:A139"/>
    <mergeCell ref="B134:B139"/>
    <mergeCell ref="C134:C139"/>
    <mergeCell ref="D134:D139"/>
    <mergeCell ref="E146:E148"/>
    <mergeCell ref="E149:E151"/>
    <mergeCell ref="A140:A145"/>
    <mergeCell ref="B140:B145"/>
    <mergeCell ref="C140:C145"/>
    <mergeCell ref="D140:D145"/>
    <mergeCell ref="E134:E136"/>
    <mergeCell ref="E137:E139"/>
    <mergeCell ref="E140:E142"/>
    <mergeCell ref="E143:E145"/>
    <mergeCell ref="E152:E154"/>
    <mergeCell ref="E155:E157"/>
    <mergeCell ref="A146:A151"/>
    <mergeCell ref="B146:B151"/>
    <mergeCell ref="A152:A157"/>
    <mergeCell ref="B152:B157"/>
    <mergeCell ref="C152:C157"/>
    <mergeCell ref="D152:D157"/>
    <mergeCell ref="C146:C151"/>
    <mergeCell ref="D146:D151"/>
    <mergeCell ref="A158:A163"/>
    <mergeCell ref="B158:B163"/>
    <mergeCell ref="C158:C163"/>
    <mergeCell ref="D158:D163"/>
    <mergeCell ref="E158:E160"/>
    <mergeCell ref="E161:E163"/>
    <mergeCell ref="A254:A259"/>
    <mergeCell ref="B254:B259"/>
    <mergeCell ref="C254:C259"/>
    <mergeCell ref="D254:D259"/>
    <mergeCell ref="E254:E256"/>
    <mergeCell ref="E257:E259"/>
    <mergeCell ref="A164:A169"/>
    <mergeCell ref="B164:B169"/>
    <mergeCell ref="C164:C169"/>
    <mergeCell ref="D164:D169"/>
    <mergeCell ref="E164:E166"/>
    <mergeCell ref="E167:E169"/>
    <mergeCell ref="A170:A175"/>
    <mergeCell ref="B170:B175"/>
    <mergeCell ref="C170:C175"/>
    <mergeCell ref="D170:D175"/>
    <mergeCell ref="A176:A181"/>
    <mergeCell ref="B176:B181"/>
    <mergeCell ref="C176:C181"/>
    <mergeCell ref="D176:D181"/>
    <mergeCell ref="A182:A187"/>
    <mergeCell ref="B182:B187"/>
    <mergeCell ref="C182:C187"/>
    <mergeCell ref="D182:D187"/>
    <mergeCell ref="A188:A193"/>
    <mergeCell ref="B188:B193"/>
    <mergeCell ref="C188:C193"/>
    <mergeCell ref="D188:D193"/>
    <mergeCell ref="A194:A199"/>
    <mergeCell ref="B194:B199"/>
    <mergeCell ref="C194:C199"/>
    <mergeCell ref="D194:D199"/>
    <mergeCell ref="E248:E250"/>
    <mergeCell ref="E251:E253"/>
    <mergeCell ref="E188:E190"/>
    <mergeCell ref="E191:E193"/>
    <mergeCell ref="E194:E196"/>
    <mergeCell ref="E197:E199"/>
    <mergeCell ref="E224:E226"/>
    <mergeCell ref="E212:E214"/>
    <mergeCell ref="E215:E217"/>
    <mergeCell ref="E209:E211"/>
    <mergeCell ref="A248:A253"/>
    <mergeCell ref="B248:B253"/>
    <mergeCell ref="C248:C253"/>
    <mergeCell ref="D248:D253"/>
    <mergeCell ref="A200:A205"/>
    <mergeCell ref="B200:B205"/>
    <mergeCell ref="C200:C205"/>
    <mergeCell ref="D200:D205"/>
    <mergeCell ref="A206:A211"/>
    <mergeCell ref="B206:B211"/>
    <mergeCell ref="C206:C211"/>
    <mergeCell ref="D206:D211"/>
    <mergeCell ref="A212:A217"/>
    <mergeCell ref="B212:B217"/>
    <mergeCell ref="C212:C217"/>
    <mergeCell ref="D212:D217"/>
    <mergeCell ref="B4:L4"/>
    <mergeCell ref="E200:E202"/>
    <mergeCell ref="E203:E205"/>
    <mergeCell ref="E206:E208"/>
    <mergeCell ref="E182:E184"/>
    <mergeCell ref="E185:E187"/>
    <mergeCell ref="E170:E172"/>
    <mergeCell ref="E173:E175"/>
    <mergeCell ref="E176:E178"/>
    <mergeCell ref="E179:E181"/>
    <mergeCell ref="B260:B265"/>
    <mergeCell ref="C260:C265"/>
    <mergeCell ref="D260:D265"/>
    <mergeCell ref="E260:E262"/>
    <mergeCell ref="A1:L1"/>
    <mergeCell ref="A272:D272"/>
    <mergeCell ref="E266:E268"/>
    <mergeCell ref="E269:E271"/>
    <mergeCell ref="A266:A271"/>
    <mergeCell ref="B266:B271"/>
    <mergeCell ref="C266:C271"/>
    <mergeCell ref="D266:D271"/>
    <mergeCell ref="E263:E265"/>
    <mergeCell ref="A260:A265"/>
  </mergeCells>
  <printOptions/>
  <pageMargins left="0.47" right="0.43" top="0.6" bottom="0.43" header="0.2362204724409449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7"/>
  <sheetViews>
    <sheetView showZeros="0" view="pageBreakPreview" zoomScaleSheetLayoutView="10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2" sqref="A2:M2"/>
    </sheetView>
  </sheetViews>
  <sheetFormatPr defaultColWidth="9.00390625" defaultRowHeight="12.75"/>
  <cols>
    <col min="1" max="1" width="4.75390625" style="55" customWidth="1"/>
    <col min="2" max="3" width="6.75390625" style="55" customWidth="1"/>
    <col min="4" max="4" width="26.125" style="55" customWidth="1"/>
    <col min="5" max="5" width="21.25390625" style="56" customWidth="1"/>
    <col min="6" max="6" width="8.375" style="56" customWidth="1"/>
    <col min="7" max="7" width="13.375" style="55" customWidth="1"/>
    <col min="8" max="8" width="16.00390625" style="55" customWidth="1"/>
    <col min="9" max="9" width="11.25390625" style="55" customWidth="1"/>
    <col min="10" max="10" width="11.125" style="55" bestFit="1" customWidth="1"/>
    <col min="11" max="11" width="11.75390625" style="55" customWidth="1"/>
    <col min="12" max="12" width="11.625" style="55" customWidth="1"/>
    <col min="13" max="13" width="13.375" style="55" customWidth="1"/>
    <col min="14" max="14" width="12.125" style="55" customWidth="1"/>
    <col min="15" max="15" width="11.125" style="55" bestFit="1" customWidth="1"/>
    <col min="16" max="16384" width="9.125" style="55" customWidth="1"/>
  </cols>
  <sheetData>
    <row r="1" spans="1:13" ht="12.75">
      <c r="A1" s="54"/>
      <c r="B1" s="54"/>
      <c r="C1" s="54"/>
      <c r="M1" s="57" t="s">
        <v>74</v>
      </c>
    </row>
    <row r="2" spans="1:13" ht="33.75" customHeight="1" thickBot="1">
      <c r="A2" s="371" t="s">
        <v>75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</row>
    <row r="3" spans="1:13" s="56" customFormat="1" ht="27.75" customHeight="1" thickBot="1">
      <c r="A3" s="372" t="s">
        <v>76</v>
      </c>
      <c r="B3" s="344" t="s">
        <v>77</v>
      </c>
      <c r="C3" s="344" t="s">
        <v>78</v>
      </c>
      <c r="D3" s="374" t="s">
        <v>2</v>
      </c>
      <c r="E3" s="374" t="s">
        <v>4</v>
      </c>
      <c r="F3" s="374" t="s">
        <v>5</v>
      </c>
      <c r="G3" s="374" t="s">
        <v>6</v>
      </c>
      <c r="H3" s="374" t="s">
        <v>7</v>
      </c>
      <c r="I3" s="376" t="s">
        <v>79</v>
      </c>
      <c r="J3" s="344" t="s">
        <v>9</v>
      </c>
      <c r="K3" s="376" t="s">
        <v>80</v>
      </c>
      <c r="L3" s="376" t="s">
        <v>81</v>
      </c>
      <c r="M3" s="376" t="s">
        <v>82</v>
      </c>
    </row>
    <row r="4" spans="1:13" s="56" customFormat="1" ht="19.5" customHeight="1" thickBot="1">
      <c r="A4" s="373"/>
      <c r="B4" s="346"/>
      <c r="C4" s="346"/>
      <c r="D4" s="375"/>
      <c r="E4" s="373"/>
      <c r="F4" s="373"/>
      <c r="G4" s="373"/>
      <c r="H4" s="375"/>
      <c r="I4" s="377"/>
      <c r="J4" s="346"/>
      <c r="K4" s="378"/>
      <c r="L4" s="378"/>
      <c r="M4" s="378"/>
    </row>
    <row r="5" spans="1:13" s="56" customFormat="1" ht="12" customHeight="1" thickBot="1">
      <c r="A5" s="58">
        <v>1</v>
      </c>
      <c r="B5" s="59">
        <v>2</v>
      </c>
      <c r="C5" s="58">
        <v>3</v>
      </c>
      <c r="D5" s="58">
        <v>4</v>
      </c>
      <c r="E5" s="58">
        <v>5</v>
      </c>
      <c r="F5" s="58">
        <v>6</v>
      </c>
      <c r="G5" s="59">
        <v>7</v>
      </c>
      <c r="H5" s="59">
        <v>8</v>
      </c>
      <c r="I5" s="60">
        <v>9</v>
      </c>
      <c r="J5" s="61">
        <v>10</v>
      </c>
      <c r="K5" s="61">
        <v>11</v>
      </c>
      <c r="L5" s="61">
        <v>12</v>
      </c>
      <c r="M5" s="59">
        <v>13</v>
      </c>
    </row>
    <row r="6" spans="1:14" ht="12.75" customHeight="1">
      <c r="A6" s="341">
        <v>1</v>
      </c>
      <c r="B6" s="344">
        <v>150</v>
      </c>
      <c r="C6" s="344">
        <v>15013</v>
      </c>
      <c r="D6" s="347" t="s">
        <v>83</v>
      </c>
      <c r="E6" s="331" t="s">
        <v>84</v>
      </c>
      <c r="F6" s="334">
        <v>2010</v>
      </c>
      <c r="G6" s="62" t="s">
        <v>15</v>
      </c>
      <c r="H6" s="63" t="s">
        <v>16</v>
      </c>
      <c r="I6" s="64"/>
      <c r="J6" s="64"/>
      <c r="K6" s="64"/>
      <c r="L6" s="64"/>
      <c r="M6" s="65"/>
      <c r="N6" s="66"/>
    </row>
    <row r="7" spans="1:14" ht="12.75">
      <c r="A7" s="342"/>
      <c r="B7" s="345"/>
      <c r="C7" s="345"/>
      <c r="D7" s="348"/>
      <c r="E7" s="332"/>
      <c r="F7" s="335"/>
      <c r="G7" s="336"/>
      <c r="H7" s="67" t="s">
        <v>17</v>
      </c>
      <c r="I7" s="68"/>
      <c r="J7" s="68"/>
      <c r="K7" s="68"/>
      <c r="L7" s="68"/>
      <c r="M7" s="69"/>
      <c r="N7" s="66"/>
    </row>
    <row r="8" spans="1:14" ht="12.75">
      <c r="A8" s="342"/>
      <c r="B8" s="345"/>
      <c r="C8" s="345"/>
      <c r="D8" s="348"/>
      <c r="E8" s="332"/>
      <c r="F8" s="335"/>
      <c r="G8" s="337"/>
      <c r="H8" s="67" t="s">
        <v>85</v>
      </c>
      <c r="I8" s="68">
        <v>298601</v>
      </c>
      <c r="J8" s="68">
        <v>56597</v>
      </c>
      <c r="K8" s="68">
        <v>54227</v>
      </c>
      <c r="L8" s="68">
        <f>I8+K8</f>
        <v>352828</v>
      </c>
      <c r="M8" s="69">
        <f>K8/J8</f>
        <v>0.9581249889570118</v>
      </c>
      <c r="N8" s="66"/>
    </row>
    <row r="9" spans="1:14" ht="12.75">
      <c r="A9" s="342"/>
      <c r="B9" s="345"/>
      <c r="C9" s="345"/>
      <c r="D9" s="348"/>
      <c r="E9" s="332"/>
      <c r="F9" s="335"/>
      <c r="G9" s="71" t="s">
        <v>18</v>
      </c>
      <c r="H9" s="67" t="s">
        <v>86</v>
      </c>
      <c r="I9" s="68"/>
      <c r="J9" s="68"/>
      <c r="K9" s="68"/>
      <c r="L9" s="68"/>
      <c r="M9" s="69"/>
      <c r="N9" s="66"/>
    </row>
    <row r="10" spans="1:14" ht="12.75">
      <c r="A10" s="342"/>
      <c r="B10" s="345"/>
      <c r="C10" s="345"/>
      <c r="D10" s="348"/>
      <c r="E10" s="332"/>
      <c r="F10" s="335"/>
      <c r="G10" s="336">
        <f>SUM(I15:M15)</f>
        <v>0</v>
      </c>
      <c r="H10" s="67" t="s">
        <v>87</v>
      </c>
      <c r="I10" s="68">
        <v>1692072</v>
      </c>
      <c r="J10" s="68">
        <v>320716</v>
      </c>
      <c r="K10" s="68">
        <v>307286</v>
      </c>
      <c r="L10" s="68">
        <f>I10+K10</f>
        <v>1999358</v>
      </c>
      <c r="M10" s="69">
        <f>K10/J10</f>
        <v>0.9581249454345901</v>
      </c>
      <c r="N10" s="66"/>
    </row>
    <row r="11" spans="1:14" ht="12.75">
      <c r="A11" s="342"/>
      <c r="B11" s="345"/>
      <c r="C11" s="345"/>
      <c r="D11" s="348"/>
      <c r="E11" s="332"/>
      <c r="F11" s="335">
        <v>2011</v>
      </c>
      <c r="G11" s="337"/>
      <c r="H11" s="67" t="s">
        <v>88</v>
      </c>
      <c r="I11" s="68"/>
      <c r="J11" s="68"/>
      <c r="K11" s="68"/>
      <c r="L11" s="68"/>
      <c r="M11" s="69"/>
      <c r="N11" s="66"/>
    </row>
    <row r="12" spans="1:14" ht="12.75">
      <c r="A12" s="342"/>
      <c r="B12" s="345"/>
      <c r="C12" s="345"/>
      <c r="D12" s="348"/>
      <c r="E12" s="332"/>
      <c r="F12" s="335"/>
      <c r="G12" s="71" t="s">
        <v>22</v>
      </c>
      <c r="H12" s="67" t="s">
        <v>19</v>
      </c>
      <c r="I12" s="68"/>
      <c r="J12" s="68"/>
      <c r="K12" s="68"/>
      <c r="L12" s="68"/>
      <c r="M12" s="69"/>
      <c r="N12" s="66"/>
    </row>
    <row r="13" spans="1:14" ht="12.75">
      <c r="A13" s="342"/>
      <c r="B13" s="345"/>
      <c r="C13" s="345"/>
      <c r="D13" s="348"/>
      <c r="E13" s="332"/>
      <c r="F13" s="335"/>
      <c r="G13" s="336">
        <f>G7+G10</f>
        <v>0</v>
      </c>
      <c r="H13" s="67" t="s">
        <v>21</v>
      </c>
      <c r="I13" s="68"/>
      <c r="J13" s="68"/>
      <c r="K13" s="68"/>
      <c r="L13" s="68"/>
      <c r="M13" s="69"/>
      <c r="N13" s="66"/>
    </row>
    <row r="14" spans="1:14" ht="12.75">
      <c r="A14" s="342"/>
      <c r="B14" s="345"/>
      <c r="C14" s="345"/>
      <c r="D14" s="348"/>
      <c r="E14" s="332"/>
      <c r="F14" s="335"/>
      <c r="G14" s="339"/>
      <c r="H14" s="67" t="s">
        <v>23</v>
      </c>
      <c r="I14" s="72">
        <f aca="true" t="shared" si="0" ref="I14:M15">I6+I8+I10+I12</f>
        <v>1990673</v>
      </c>
      <c r="J14" s="72">
        <f t="shared" si="0"/>
        <v>377313</v>
      </c>
      <c r="K14" s="72">
        <f t="shared" si="0"/>
        <v>361513</v>
      </c>
      <c r="L14" s="72">
        <f t="shared" si="0"/>
        <v>2352186</v>
      </c>
      <c r="M14" s="73">
        <f>K14/J14</f>
        <v>0.9581249519629591</v>
      </c>
      <c r="N14" s="66"/>
    </row>
    <row r="15" spans="1:14" ht="13.5" customHeight="1" thickBot="1">
      <c r="A15" s="343"/>
      <c r="B15" s="346"/>
      <c r="C15" s="346"/>
      <c r="D15" s="349"/>
      <c r="E15" s="333"/>
      <c r="F15" s="338"/>
      <c r="G15" s="340"/>
      <c r="H15" s="74" t="s">
        <v>24</v>
      </c>
      <c r="I15" s="75"/>
      <c r="J15" s="75">
        <f t="shared" si="0"/>
        <v>0</v>
      </c>
      <c r="K15" s="75">
        <f t="shared" si="0"/>
        <v>0</v>
      </c>
      <c r="L15" s="75">
        <f t="shared" si="0"/>
        <v>0</v>
      </c>
      <c r="M15" s="76">
        <f t="shared" si="0"/>
        <v>0</v>
      </c>
      <c r="N15" s="66"/>
    </row>
    <row r="16" spans="1:14" ht="12.75" customHeight="1">
      <c r="A16" s="341">
        <f>A6+1</f>
        <v>2</v>
      </c>
      <c r="B16" s="345">
        <v>150</v>
      </c>
      <c r="C16" s="345">
        <v>15013</v>
      </c>
      <c r="D16" s="348" t="s">
        <v>89</v>
      </c>
      <c r="E16" s="382" t="s">
        <v>84</v>
      </c>
      <c r="F16" s="359">
        <v>2011</v>
      </c>
      <c r="G16" s="70" t="s">
        <v>15</v>
      </c>
      <c r="H16" s="77" t="s">
        <v>16</v>
      </c>
      <c r="I16" s="78"/>
      <c r="J16" s="78"/>
      <c r="K16" s="78"/>
      <c r="L16" s="78"/>
      <c r="M16" s="79"/>
      <c r="N16" s="66"/>
    </row>
    <row r="17" spans="1:14" ht="12.75" customHeight="1">
      <c r="A17" s="342"/>
      <c r="B17" s="345"/>
      <c r="C17" s="345"/>
      <c r="D17" s="348"/>
      <c r="E17" s="332"/>
      <c r="F17" s="335"/>
      <c r="G17" s="336"/>
      <c r="H17" s="67" t="s">
        <v>17</v>
      </c>
      <c r="I17" s="68"/>
      <c r="J17" s="68"/>
      <c r="K17" s="68"/>
      <c r="L17" s="68"/>
      <c r="M17" s="69"/>
      <c r="N17" s="66"/>
    </row>
    <row r="18" spans="1:14" ht="12.75" customHeight="1">
      <c r="A18" s="342"/>
      <c r="B18" s="345"/>
      <c r="C18" s="345"/>
      <c r="D18" s="348"/>
      <c r="E18" s="332"/>
      <c r="F18" s="335"/>
      <c r="G18" s="337"/>
      <c r="H18" s="67" t="s">
        <v>85</v>
      </c>
      <c r="I18" s="68"/>
      <c r="J18" s="68">
        <v>4853</v>
      </c>
      <c r="K18" s="68">
        <v>3844</v>
      </c>
      <c r="L18" s="68">
        <f>K18</f>
        <v>3844</v>
      </c>
      <c r="M18" s="69">
        <f>K18/J18</f>
        <v>0.7920873686379559</v>
      </c>
      <c r="N18" s="66"/>
    </row>
    <row r="19" spans="1:14" ht="12.75" customHeight="1">
      <c r="A19" s="342"/>
      <c r="B19" s="345"/>
      <c r="C19" s="345"/>
      <c r="D19" s="348"/>
      <c r="E19" s="332"/>
      <c r="F19" s="335"/>
      <c r="G19" s="71" t="s">
        <v>18</v>
      </c>
      <c r="H19" s="67" t="s">
        <v>86</v>
      </c>
      <c r="I19" s="68"/>
      <c r="J19" s="68"/>
      <c r="K19" s="68"/>
      <c r="L19" s="68"/>
      <c r="M19" s="69"/>
      <c r="N19" s="66"/>
    </row>
    <row r="20" spans="1:14" ht="12.75" customHeight="1">
      <c r="A20" s="342"/>
      <c r="B20" s="345"/>
      <c r="C20" s="345"/>
      <c r="D20" s="348"/>
      <c r="E20" s="332"/>
      <c r="F20" s="335"/>
      <c r="G20" s="336">
        <f>SUM(I25:M25)</f>
        <v>0</v>
      </c>
      <c r="H20" s="67" t="s">
        <v>87</v>
      </c>
      <c r="I20" s="68"/>
      <c r="J20" s="68">
        <v>27503</v>
      </c>
      <c r="K20" s="68">
        <v>21779</v>
      </c>
      <c r="L20" s="68">
        <f>K20</f>
        <v>21779</v>
      </c>
      <c r="M20" s="69">
        <f>K20/J20</f>
        <v>0.7918772497545722</v>
      </c>
      <c r="N20" s="66"/>
    </row>
    <row r="21" spans="1:14" ht="12.75" customHeight="1">
      <c r="A21" s="342"/>
      <c r="B21" s="345"/>
      <c r="C21" s="345"/>
      <c r="D21" s="348"/>
      <c r="E21" s="332"/>
      <c r="F21" s="335">
        <v>2013</v>
      </c>
      <c r="G21" s="337"/>
      <c r="H21" s="67" t="s">
        <v>88</v>
      </c>
      <c r="I21" s="68"/>
      <c r="J21" s="68"/>
      <c r="K21" s="68"/>
      <c r="L21" s="68"/>
      <c r="M21" s="69"/>
      <c r="N21" s="66"/>
    </row>
    <row r="22" spans="1:14" ht="12.75" customHeight="1">
      <c r="A22" s="342"/>
      <c r="B22" s="345"/>
      <c r="C22" s="345"/>
      <c r="D22" s="348"/>
      <c r="E22" s="332"/>
      <c r="F22" s="335"/>
      <c r="G22" s="71" t="s">
        <v>22</v>
      </c>
      <c r="H22" s="67" t="s">
        <v>19</v>
      </c>
      <c r="I22" s="68"/>
      <c r="J22" s="68"/>
      <c r="K22" s="68"/>
      <c r="L22" s="68"/>
      <c r="M22" s="69"/>
      <c r="N22" s="66"/>
    </row>
    <row r="23" spans="1:14" ht="12.75" customHeight="1">
      <c r="A23" s="342"/>
      <c r="B23" s="345"/>
      <c r="C23" s="345"/>
      <c r="D23" s="348"/>
      <c r="E23" s="332"/>
      <c r="F23" s="335"/>
      <c r="G23" s="336">
        <f>G17+G20</f>
        <v>0</v>
      </c>
      <c r="H23" s="67" t="s">
        <v>21</v>
      </c>
      <c r="I23" s="68"/>
      <c r="J23" s="68"/>
      <c r="K23" s="68"/>
      <c r="L23" s="68"/>
      <c r="M23" s="69"/>
      <c r="N23" s="66"/>
    </row>
    <row r="24" spans="1:14" ht="12.75" customHeight="1">
      <c r="A24" s="342"/>
      <c r="B24" s="345"/>
      <c r="C24" s="345"/>
      <c r="D24" s="348"/>
      <c r="E24" s="332"/>
      <c r="F24" s="335"/>
      <c r="G24" s="339"/>
      <c r="H24" s="67" t="s">
        <v>23</v>
      </c>
      <c r="I24" s="72"/>
      <c r="J24" s="72">
        <f>J16+J18+J20+J22</f>
        <v>32356</v>
      </c>
      <c r="K24" s="72">
        <f>K16+K18+K20+K22</f>
        <v>25623</v>
      </c>
      <c r="L24" s="72">
        <f>L16+L18+L20+L22</f>
        <v>25623</v>
      </c>
      <c r="M24" s="73">
        <f>K24/J24</f>
        <v>0.7919087649894919</v>
      </c>
      <c r="N24" s="66"/>
    </row>
    <row r="25" spans="1:14" ht="12.75" customHeight="1" thickBot="1">
      <c r="A25" s="343"/>
      <c r="B25" s="346"/>
      <c r="C25" s="346"/>
      <c r="D25" s="349"/>
      <c r="E25" s="333"/>
      <c r="F25" s="338"/>
      <c r="G25" s="340"/>
      <c r="H25" s="74" t="s">
        <v>24</v>
      </c>
      <c r="I25" s="75"/>
      <c r="J25" s="75">
        <f>J17+J19+J21+J23</f>
        <v>0</v>
      </c>
      <c r="K25" s="75"/>
      <c r="L25" s="75"/>
      <c r="M25" s="76"/>
      <c r="N25" s="66"/>
    </row>
    <row r="26" spans="1:14" ht="12.75" customHeight="1">
      <c r="A26" s="341">
        <f>A16+1</f>
        <v>3</v>
      </c>
      <c r="B26" s="344">
        <v>600</v>
      </c>
      <c r="C26" s="344">
        <v>60004</v>
      </c>
      <c r="D26" s="347" t="s">
        <v>90</v>
      </c>
      <c r="E26" s="331" t="s">
        <v>91</v>
      </c>
      <c r="F26" s="334">
        <v>2010</v>
      </c>
      <c r="G26" s="62" t="s">
        <v>15</v>
      </c>
      <c r="H26" s="63" t="s">
        <v>16</v>
      </c>
      <c r="I26" s="64">
        <v>150484</v>
      </c>
      <c r="J26" s="64">
        <f>42693+14300+33383</f>
        <v>90376</v>
      </c>
      <c r="K26" s="64">
        <v>36277</v>
      </c>
      <c r="L26" s="64">
        <f>I26+K26</f>
        <v>186761</v>
      </c>
      <c r="M26" s="65">
        <f>K26/J26</f>
        <v>0.4014008143754979</v>
      </c>
      <c r="N26" s="66"/>
    </row>
    <row r="27" spans="1:14" ht="12.75">
      <c r="A27" s="342"/>
      <c r="B27" s="345"/>
      <c r="C27" s="345"/>
      <c r="D27" s="348"/>
      <c r="E27" s="332"/>
      <c r="F27" s="335"/>
      <c r="G27" s="336"/>
      <c r="H27" s="67" t="s">
        <v>17</v>
      </c>
      <c r="I27" s="68"/>
      <c r="J27" s="68"/>
      <c r="K27" s="68"/>
      <c r="L27" s="68"/>
      <c r="M27" s="69"/>
      <c r="N27" s="66"/>
    </row>
    <row r="28" spans="1:14" ht="12.75">
      <c r="A28" s="342"/>
      <c r="B28" s="345"/>
      <c r="C28" s="345"/>
      <c r="D28" s="348"/>
      <c r="E28" s="332"/>
      <c r="F28" s="335"/>
      <c r="G28" s="337"/>
      <c r="H28" s="67" t="s">
        <v>85</v>
      </c>
      <c r="I28" s="68"/>
      <c r="J28" s="68"/>
      <c r="K28" s="68"/>
      <c r="L28" s="68"/>
      <c r="M28" s="69"/>
      <c r="N28" s="66"/>
    </row>
    <row r="29" spans="1:14" ht="12.75">
      <c r="A29" s="342"/>
      <c r="B29" s="345"/>
      <c r="C29" s="345"/>
      <c r="D29" s="348"/>
      <c r="E29" s="332"/>
      <c r="F29" s="335"/>
      <c r="G29" s="71" t="s">
        <v>18</v>
      </c>
      <c r="H29" s="67" t="s">
        <v>86</v>
      </c>
      <c r="I29" s="68"/>
      <c r="J29" s="68"/>
      <c r="K29" s="68"/>
      <c r="L29" s="68"/>
      <c r="M29" s="69"/>
      <c r="N29" s="66"/>
    </row>
    <row r="30" spans="1:14" ht="12.75">
      <c r="A30" s="342"/>
      <c r="B30" s="345"/>
      <c r="C30" s="345"/>
      <c r="D30" s="348"/>
      <c r="E30" s="332"/>
      <c r="F30" s="335"/>
      <c r="G30" s="336">
        <f>SUM(I35:M35)</f>
        <v>0</v>
      </c>
      <c r="H30" s="67" t="s">
        <v>87</v>
      </c>
      <c r="I30" s="68">
        <v>304768</v>
      </c>
      <c r="J30" s="68">
        <f>99617+47414</f>
        <v>147031</v>
      </c>
      <c r="K30" s="68">
        <v>84645</v>
      </c>
      <c r="L30" s="68">
        <f>I30+K30</f>
        <v>389413</v>
      </c>
      <c r="M30" s="69">
        <f>K30/J30</f>
        <v>0.5756949214791438</v>
      </c>
      <c r="N30" s="66"/>
    </row>
    <row r="31" spans="1:14" ht="12.75">
      <c r="A31" s="342"/>
      <c r="B31" s="345"/>
      <c r="C31" s="345"/>
      <c r="D31" s="348"/>
      <c r="E31" s="332"/>
      <c r="F31" s="335">
        <v>2011</v>
      </c>
      <c r="G31" s="337"/>
      <c r="H31" s="67" t="s">
        <v>88</v>
      </c>
      <c r="I31" s="68"/>
      <c r="J31" s="68"/>
      <c r="K31" s="68"/>
      <c r="L31" s="68"/>
      <c r="M31" s="69"/>
      <c r="N31" s="66"/>
    </row>
    <row r="32" spans="1:14" ht="12.75">
      <c r="A32" s="342"/>
      <c r="B32" s="345"/>
      <c r="C32" s="345"/>
      <c r="D32" s="348"/>
      <c r="E32" s="332"/>
      <c r="F32" s="335"/>
      <c r="G32" s="71" t="s">
        <v>22</v>
      </c>
      <c r="H32" s="67" t="s">
        <v>19</v>
      </c>
      <c r="I32" s="68"/>
      <c r="J32" s="68"/>
      <c r="K32" s="68"/>
      <c r="L32" s="68"/>
      <c r="M32" s="69"/>
      <c r="N32" s="66"/>
    </row>
    <row r="33" spans="1:14" ht="12.75">
      <c r="A33" s="342"/>
      <c r="B33" s="345"/>
      <c r="C33" s="345"/>
      <c r="D33" s="348"/>
      <c r="E33" s="332"/>
      <c r="F33" s="335"/>
      <c r="G33" s="336">
        <f>G27+G30</f>
        <v>0</v>
      </c>
      <c r="H33" s="67" t="s">
        <v>21</v>
      </c>
      <c r="I33" s="68"/>
      <c r="J33" s="68"/>
      <c r="K33" s="68"/>
      <c r="L33" s="68"/>
      <c r="M33" s="69"/>
      <c r="N33" s="66"/>
    </row>
    <row r="34" spans="1:14" ht="12.75">
      <c r="A34" s="342"/>
      <c r="B34" s="345"/>
      <c r="C34" s="345"/>
      <c r="D34" s="348"/>
      <c r="E34" s="332"/>
      <c r="F34" s="335"/>
      <c r="G34" s="339"/>
      <c r="H34" s="67" t="s">
        <v>23</v>
      </c>
      <c r="I34" s="72">
        <f aca="true" t="shared" si="1" ref="I34:L35">I26+I28+I30+I32</f>
        <v>455252</v>
      </c>
      <c r="J34" s="72">
        <f t="shared" si="1"/>
        <v>237407</v>
      </c>
      <c r="K34" s="72">
        <f t="shared" si="1"/>
        <v>120922</v>
      </c>
      <c r="L34" s="72">
        <f t="shared" si="1"/>
        <v>576174</v>
      </c>
      <c r="M34" s="73">
        <f>K34/J34</f>
        <v>0.5093447118239984</v>
      </c>
      <c r="N34" s="66"/>
    </row>
    <row r="35" spans="1:14" ht="18.75" customHeight="1" thickBot="1">
      <c r="A35" s="343"/>
      <c r="B35" s="345"/>
      <c r="C35" s="345"/>
      <c r="D35" s="349"/>
      <c r="E35" s="333"/>
      <c r="F35" s="338"/>
      <c r="G35" s="340"/>
      <c r="H35" s="74" t="s">
        <v>24</v>
      </c>
      <c r="I35" s="75">
        <f t="shared" si="1"/>
        <v>0</v>
      </c>
      <c r="J35" s="75">
        <f t="shared" si="1"/>
        <v>0</v>
      </c>
      <c r="K35" s="75">
        <f t="shared" si="1"/>
        <v>0</v>
      </c>
      <c r="L35" s="75">
        <f t="shared" si="1"/>
        <v>0</v>
      </c>
      <c r="M35" s="76"/>
      <c r="N35" s="66"/>
    </row>
    <row r="36" spans="1:14" ht="12.75" customHeight="1" thickBot="1">
      <c r="A36" s="341">
        <f>A26+1</f>
        <v>4</v>
      </c>
      <c r="B36" s="344">
        <v>600</v>
      </c>
      <c r="C36" s="344">
        <v>60004</v>
      </c>
      <c r="D36" s="347" t="s">
        <v>92</v>
      </c>
      <c r="E36" s="363" t="s">
        <v>93</v>
      </c>
      <c r="F36" s="334">
        <v>2010</v>
      </c>
      <c r="G36" s="62" t="s">
        <v>15</v>
      </c>
      <c r="H36" s="63" t="s">
        <v>16</v>
      </c>
      <c r="I36" s="64">
        <v>11679</v>
      </c>
      <c r="J36" s="64">
        <v>34476</v>
      </c>
      <c r="K36" s="64">
        <v>18473</v>
      </c>
      <c r="L36" s="64">
        <f>I36+K36</f>
        <v>30152</v>
      </c>
      <c r="M36" s="65">
        <f>K36/J36</f>
        <v>0.5358220211161387</v>
      </c>
      <c r="N36" s="66"/>
    </row>
    <row r="37" spans="1:14" ht="13.5" thickBot="1">
      <c r="A37" s="342"/>
      <c r="B37" s="345"/>
      <c r="C37" s="345"/>
      <c r="D37" s="348"/>
      <c r="E37" s="363"/>
      <c r="F37" s="335"/>
      <c r="G37" s="336"/>
      <c r="H37" s="67" t="s">
        <v>17</v>
      </c>
      <c r="I37" s="68"/>
      <c r="J37" s="68"/>
      <c r="K37" s="68"/>
      <c r="L37" s="68"/>
      <c r="M37" s="69"/>
      <c r="N37" s="66"/>
    </row>
    <row r="38" spans="1:14" ht="13.5" thickBot="1">
      <c r="A38" s="342"/>
      <c r="B38" s="345"/>
      <c r="C38" s="345"/>
      <c r="D38" s="348"/>
      <c r="E38" s="363"/>
      <c r="F38" s="335"/>
      <c r="G38" s="337"/>
      <c r="H38" s="67" t="s">
        <v>85</v>
      </c>
      <c r="I38" s="68"/>
      <c r="J38" s="68"/>
      <c r="K38" s="68"/>
      <c r="L38" s="68"/>
      <c r="M38" s="69"/>
      <c r="N38" s="66"/>
    </row>
    <row r="39" spans="1:14" ht="13.5" thickBot="1">
      <c r="A39" s="342"/>
      <c r="B39" s="345"/>
      <c r="C39" s="345"/>
      <c r="D39" s="348"/>
      <c r="E39" s="363"/>
      <c r="F39" s="335"/>
      <c r="G39" s="71" t="s">
        <v>18</v>
      </c>
      <c r="H39" s="67" t="s">
        <v>86</v>
      </c>
      <c r="I39" s="68"/>
      <c r="J39" s="68"/>
      <c r="K39" s="68"/>
      <c r="L39" s="68"/>
      <c r="M39" s="69"/>
      <c r="N39" s="66"/>
    </row>
    <row r="40" spans="1:14" ht="13.5" thickBot="1">
      <c r="A40" s="342"/>
      <c r="B40" s="345"/>
      <c r="C40" s="345"/>
      <c r="D40" s="348"/>
      <c r="E40" s="363"/>
      <c r="F40" s="335"/>
      <c r="G40" s="336">
        <f>SUM(I45:M45)</f>
        <v>0</v>
      </c>
      <c r="H40" s="67" t="s">
        <v>87</v>
      </c>
      <c r="I40" s="68">
        <v>66180</v>
      </c>
      <c r="J40" s="68">
        <v>195376</v>
      </c>
      <c r="K40" s="68">
        <v>104680</v>
      </c>
      <c r="L40" s="68">
        <f>I40+K40</f>
        <v>170860</v>
      </c>
      <c r="M40" s="69">
        <f>K40/J40</f>
        <v>0.5357874047989518</v>
      </c>
      <c r="N40" s="66"/>
    </row>
    <row r="41" spans="1:14" ht="13.5" thickBot="1">
      <c r="A41" s="342"/>
      <c r="B41" s="345"/>
      <c r="C41" s="345"/>
      <c r="D41" s="348"/>
      <c r="E41" s="363"/>
      <c r="F41" s="335">
        <v>2013</v>
      </c>
      <c r="G41" s="337"/>
      <c r="H41" s="67" t="s">
        <v>88</v>
      </c>
      <c r="I41" s="68"/>
      <c r="J41" s="68"/>
      <c r="K41" s="68"/>
      <c r="L41" s="68"/>
      <c r="M41" s="69"/>
      <c r="N41" s="66"/>
    </row>
    <row r="42" spans="1:14" ht="13.5" thickBot="1">
      <c r="A42" s="342"/>
      <c r="B42" s="345"/>
      <c r="C42" s="345"/>
      <c r="D42" s="348"/>
      <c r="E42" s="363"/>
      <c r="F42" s="335"/>
      <c r="G42" s="71" t="s">
        <v>22</v>
      </c>
      <c r="H42" s="67" t="s">
        <v>19</v>
      </c>
      <c r="I42" s="68"/>
      <c r="J42" s="68"/>
      <c r="K42" s="68"/>
      <c r="L42" s="68"/>
      <c r="M42" s="69"/>
      <c r="N42" s="66"/>
    </row>
    <row r="43" spans="1:14" ht="13.5" thickBot="1">
      <c r="A43" s="342"/>
      <c r="B43" s="345"/>
      <c r="C43" s="345"/>
      <c r="D43" s="348"/>
      <c r="E43" s="363"/>
      <c r="F43" s="335"/>
      <c r="G43" s="336">
        <f>G37+G40</f>
        <v>0</v>
      </c>
      <c r="H43" s="67" t="s">
        <v>21</v>
      </c>
      <c r="I43" s="68"/>
      <c r="J43" s="68"/>
      <c r="K43" s="68"/>
      <c r="L43" s="68"/>
      <c r="M43" s="69"/>
      <c r="N43" s="66"/>
    </row>
    <row r="44" spans="1:14" ht="13.5" thickBot="1">
      <c r="A44" s="342"/>
      <c r="B44" s="345"/>
      <c r="C44" s="345"/>
      <c r="D44" s="348"/>
      <c r="E44" s="363"/>
      <c r="F44" s="335"/>
      <c r="G44" s="339"/>
      <c r="H44" s="67" t="s">
        <v>23</v>
      </c>
      <c r="I44" s="72">
        <f>I36+I40</f>
        <v>77859</v>
      </c>
      <c r="J44" s="72">
        <f>J36+J38+J40+J42</f>
        <v>229852</v>
      </c>
      <c r="K44" s="72">
        <f>K36+K38+K40+K42</f>
        <v>123153</v>
      </c>
      <c r="L44" s="72">
        <f>L36+L38+L40+L42</f>
        <v>201012</v>
      </c>
      <c r="M44" s="73">
        <f>K44/J44</f>
        <v>0.5357925969754451</v>
      </c>
      <c r="N44" s="66"/>
    </row>
    <row r="45" spans="1:14" ht="14.25" customHeight="1" thickBot="1">
      <c r="A45" s="343"/>
      <c r="B45" s="346"/>
      <c r="C45" s="346"/>
      <c r="D45" s="349"/>
      <c r="E45" s="363"/>
      <c r="F45" s="338"/>
      <c r="G45" s="340"/>
      <c r="H45" s="74" t="s">
        <v>24</v>
      </c>
      <c r="I45" s="75"/>
      <c r="J45" s="75">
        <f>J37+J39+J41+J43</f>
        <v>0</v>
      </c>
      <c r="K45" s="75"/>
      <c r="L45" s="75"/>
      <c r="M45" s="76"/>
      <c r="N45" s="66"/>
    </row>
    <row r="46" spans="1:14" ht="12.75" customHeight="1" thickBot="1">
      <c r="A46" s="400">
        <f>A36+1</f>
        <v>5</v>
      </c>
      <c r="B46" s="345">
        <v>600</v>
      </c>
      <c r="C46" s="345">
        <v>60015</v>
      </c>
      <c r="D46" s="348" t="s">
        <v>94</v>
      </c>
      <c r="E46" s="403" t="s">
        <v>93</v>
      </c>
      <c r="F46" s="359">
        <v>2009</v>
      </c>
      <c r="G46" s="70" t="s">
        <v>15</v>
      </c>
      <c r="H46" s="77" t="s">
        <v>16</v>
      </c>
      <c r="I46" s="78"/>
      <c r="J46" s="78"/>
      <c r="K46" s="78"/>
      <c r="L46" s="78"/>
      <c r="M46" s="79"/>
      <c r="N46" s="66"/>
    </row>
    <row r="47" spans="1:14" ht="13.5" thickBot="1">
      <c r="A47" s="342"/>
      <c r="B47" s="345"/>
      <c r="C47" s="345"/>
      <c r="D47" s="348"/>
      <c r="E47" s="363"/>
      <c r="F47" s="335"/>
      <c r="G47" s="336">
        <f>SUM(I54:M54)</f>
        <v>0</v>
      </c>
      <c r="H47" s="67" t="s">
        <v>17</v>
      </c>
      <c r="I47" s="68">
        <v>19879797</v>
      </c>
      <c r="J47" s="68">
        <f>1805436+689493</f>
        <v>2494929</v>
      </c>
      <c r="K47" s="68">
        <v>2448956</v>
      </c>
      <c r="L47" s="68">
        <f>I47+K47</f>
        <v>22328753</v>
      </c>
      <c r="M47" s="69">
        <f>K47/J47</f>
        <v>0.9815734235322929</v>
      </c>
      <c r="N47" s="66"/>
    </row>
    <row r="48" spans="1:14" ht="13.5" thickBot="1">
      <c r="A48" s="342"/>
      <c r="B48" s="345"/>
      <c r="C48" s="345"/>
      <c r="D48" s="348"/>
      <c r="E48" s="363"/>
      <c r="F48" s="335"/>
      <c r="G48" s="337"/>
      <c r="H48" s="67" t="s">
        <v>85</v>
      </c>
      <c r="I48" s="68"/>
      <c r="J48" s="68"/>
      <c r="K48" s="68"/>
      <c r="L48" s="68"/>
      <c r="M48" s="69"/>
      <c r="N48" s="66"/>
    </row>
    <row r="49" spans="1:14" ht="13.5" thickBot="1">
      <c r="A49" s="342"/>
      <c r="B49" s="345"/>
      <c r="C49" s="345"/>
      <c r="D49" s="348"/>
      <c r="E49" s="363"/>
      <c r="F49" s="335"/>
      <c r="G49" s="71" t="s">
        <v>18</v>
      </c>
      <c r="H49" s="67" t="s">
        <v>86</v>
      </c>
      <c r="I49" s="68"/>
      <c r="J49" s="68"/>
      <c r="K49" s="68"/>
      <c r="L49" s="68"/>
      <c r="M49" s="69"/>
      <c r="N49" s="66"/>
    </row>
    <row r="50" spans="1:14" ht="13.5" thickBot="1">
      <c r="A50" s="342"/>
      <c r="B50" s="345"/>
      <c r="C50" s="345"/>
      <c r="D50" s="348"/>
      <c r="E50" s="363"/>
      <c r="F50" s="335"/>
      <c r="G50" s="336"/>
      <c r="H50" s="67" t="s">
        <v>87</v>
      </c>
      <c r="I50" s="68"/>
      <c r="J50" s="68"/>
      <c r="K50" s="68"/>
      <c r="L50" s="68"/>
      <c r="M50" s="69"/>
      <c r="N50" s="66"/>
    </row>
    <row r="51" spans="1:14" ht="13.5" thickBot="1">
      <c r="A51" s="342"/>
      <c r="B51" s="345"/>
      <c r="C51" s="345"/>
      <c r="D51" s="348"/>
      <c r="E51" s="363"/>
      <c r="F51" s="335">
        <v>2011</v>
      </c>
      <c r="G51" s="337"/>
      <c r="H51" s="67" t="s">
        <v>88</v>
      </c>
      <c r="I51" s="68">
        <v>36699723</v>
      </c>
      <c r="J51" s="68">
        <v>4212682</v>
      </c>
      <c r="K51" s="68">
        <v>4212682</v>
      </c>
      <c r="L51" s="68">
        <f>I51+K51</f>
        <v>40912405</v>
      </c>
      <c r="M51" s="69">
        <f>K51/J51</f>
        <v>1</v>
      </c>
      <c r="N51" s="66"/>
    </row>
    <row r="52" spans="1:14" ht="13.5" thickBot="1">
      <c r="A52" s="342"/>
      <c r="B52" s="345"/>
      <c r="C52" s="345"/>
      <c r="D52" s="348"/>
      <c r="E52" s="363"/>
      <c r="F52" s="335"/>
      <c r="G52" s="71" t="s">
        <v>22</v>
      </c>
      <c r="H52" s="67" t="s">
        <v>19</v>
      </c>
      <c r="I52" s="68"/>
      <c r="J52" s="68"/>
      <c r="K52" s="68"/>
      <c r="L52" s="68"/>
      <c r="M52" s="69"/>
      <c r="N52" s="66"/>
    </row>
    <row r="53" spans="1:14" ht="13.5" thickBot="1">
      <c r="A53" s="342"/>
      <c r="B53" s="345"/>
      <c r="C53" s="345"/>
      <c r="D53" s="348"/>
      <c r="E53" s="363"/>
      <c r="F53" s="335"/>
      <c r="G53" s="336">
        <f>G47+G50</f>
        <v>0</v>
      </c>
      <c r="H53" s="67" t="s">
        <v>21</v>
      </c>
      <c r="I53" s="68"/>
      <c r="J53" s="68"/>
      <c r="K53" s="68"/>
      <c r="L53" s="68"/>
      <c r="M53" s="69"/>
      <c r="N53" s="66"/>
    </row>
    <row r="54" spans="1:14" ht="13.5" thickBot="1">
      <c r="A54" s="342"/>
      <c r="B54" s="345"/>
      <c r="C54" s="345"/>
      <c r="D54" s="348"/>
      <c r="E54" s="363"/>
      <c r="F54" s="335"/>
      <c r="G54" s="339"/>
      <c r="H54" s="67" t="s">
        <v>23</v>
      </c>
      <c r="I54" s="72"/>
      <c r="J54" s="72">
        <f>J46+J48+J50+J52</f>
        <v>0</v>
      </c>
      <c r="K54" s="72"/>
      <c r="L54" s="72"/>
      <c r="M54" s="73"/>
      <c r="N54" s="66"/>
    </row>
    <row r="55" spans="1:14" ht="13.5" thickBot="1">
      <c r="A55" s="343"/>
      <c r="B55" s="345"/>
      <c r="C55" s="345"/>
      <c r="D55" s="349"/>
      <c r="E55" s="363"/>
      <c r="F55" s="366"/>
      <c r="G55" s="340"/>
      <c r="H55" s="80" t="s">
        <v>24</v>
      </c>
      <c r="I55" s="75">
        <f>I47+I49+I51+I53</f>
        <v>56579520</v>
      </c>
      <c r="J55" s="75">
        <f>J47+J49+J51+J53</f>
        <v>6707611</v>
      </c>
      <c r="K55" s="75">
        <f>K47+K49+K51+K53</f>
        <v>6661638</v>
      </c>
      <c r="L55" s="75">
        <f>L47+L49+L51+L53</f>
        <v>63241158</v>
      </c>
      <c r="M55" s="81">
        <f>K55/J55</f>
        <v>0.9931461439847957</v>
      </c>
      <c r="N55" s="66"/>
    </row>
    <row r="56" spans="1:14" ht="12.75" customHeight="1" thickBot="1">
      <c r="A56" s="341">
        <f>A46+1</f>
        <v>6</v>
      </c>
      <c r="B56" s="344">
        <v>600</v>
      </c>
      <c r="C56" s="344">
        <v>60015</v>
      </c>
      <c r="D56" s="360" t="s">
        <v>95</v>
      </c>
      <c r="E56" s="363" t="s">
        <v>93</v>
      </c>
      <c r="F56" s="334">
        <v>2008</v>
      </c>
      <c r="G56" s="62" t="s">
        <v>15</v>
      </c>
      <c r="H56" s="63" t="s">
        <v>16</v>
      </c>
      <c r="I56" s="78"/>
      <c r="J56" s="78"/>
      <c r="K56" s="64"/>
      <c r="L56" s="64"/>
      <c r="M56" s="65"/>
      <c r="N56" s="66"/>
    </row>
    <row r="57" spans="1:14" ht="13.5" thickBot="1">
      <c r="A57" s="342"/>
      <c r="B57" s="345"/>
      <c r="C57" s="345"/>
      <c r="D57" s="361"/>
      <c r="E57" s="363"/>
      <c r="F57" s="335"/>
      <c r="G57" s="336">
        <f>SUM(I64:M64)</f>
        <v>0</v>
      </c>
      <c r="H57" s="67" t="s">
        <v>17</v>
      </c>
      <c r="I57" s="68">
        <f>446506+59292</f>
        <v>505798</v>
      </c>
      <c r="J57" s="68">
        <f>3501338+203110-3171338</f>
        <v>533110</v>
      </c>
      <c r="K57" s="68">
        <v>305530</v>
      </c>
      <c r="L57" s="68">
        <f>I57+K57</f>
        <v>811328</v>
      </c>
      <c r="M57" s="69">
        <f>K57/J57</f>
        <v>0.5731087392845754</v>
      </c>
      <c r="N57" s="66"/>
    </row>
    <row r="58" spans="1:14" ht="13.5" thickBot="1">
      <c r="A58" s="342"/>
      <c r="B58" s="345"/>
      <c r="C58" s="345"/>
      <c r="D58" s="361"/>
      <c r="E58" s="363"/>
      <c r="F58" s="335"/>
      <c r="G58" s="337"/>
      <c r="H58" s="67" t="s">
        <v>85</v>
      </c>
      <c r="I58" s="68"/>
      <c r="J58" s="68"/>
      <c r="K58" s="68"/>
      <c r="L58" s="68"/>
      <c r="M58" s="69"/>
      <c r="N58" s="66"/>
    </row>
    <row r="59" spans="1:14" ht="13.5" thickBot="1">
      <c r="A59" s="342"/>
      <c r="B59" s="345"/>
      <c r="C59" s="345"/>
      <c r="D59" s="361"/>
      <c r="E59" s="363"/>
      <c r="F59" s="335"/>
      <c r="G59" s="71" t="s">
        <v>18</v>
      </c>
      <c r="H59" s="67" t="s">
        <v>86</v>
      </c>
      <c r="I59" s="68"/>
      <c r="J59" s="68"/>
      <c r="K59" s="68"/>
      <c r="L59" s="68"/>
      <c r="M59" s="69"/>
      <c r="N59" s="66"/>
    </row>
    <row r="60" spans="1:14" ht="13.5" thickBot="1">
      <c r="A60" s="342"/>
      <c r="B60" s="345"/>
      <c r="C60" s="345"/>
      <c r="D60" s="361"/>
      <c r="E60" s="363"/>
      <c r="F60" s="335"/>
      <c r="G60" s="336"/>
      <c r="H60" s="67" t="s">
        <v>87</v>
      </c>
      <c r="I60" s="68"/>
      <c r="J60" s="68"/>
      <c r="K60" s="68"/>
      <c r="L60" s="68"/>
      <c r="M60" s="69"/>
      <c r="N60" s="66"/>
    </row>
    <row r="61" spans="1:14" ht="13.5" thickBot="1">
      <c r="A61" s="342"/>
      <c r="B61" s="345"/>
      <c r="C61" s="345"/>
      <c r="D61" s="361"/>
      <c r="E61" s="363"/>
      <c r="F61" s="335">
        <v>2013</v>
      </c>
      <c r="G61" s="337"/>
      <c r="H61" s="67" t="s">
        <v>88</v>
      </c>
      <c r="I61" s="68"/>
      <c r="J61" s="68">
        <f>8169789-7399789</f>
        <v>770000</v>
      </c>
      <c r="K61" s="68">
        <v>712902</v>
      </c>
      <c r="L61" s="68">
        <f>K61</f>
        <v>712902</v>
      </c>
      <c r="M61" s="69">
        <f>K61/J61</f>
        <v>0.9258467532467533</v>
      </c>
      <c r="N61" s="66"/>
    </row>
    <row r="62" spans="1:14" ht="13.5" thickBot="1">
      <c r="A62" s="342"/>
      <c r="B62" s="345"/>
      <c r="C62" s="345"/>
      <c r="D62" s="361"/>
      <c r="E62" s="363"/>
      <c r="F62" s="335"/>
      <c r="G62" s="71" t="s">
        <v>22</v>
      </c>
      <c r="H62" s="67" t="s">
        <v>19</v>
      </c>
      <c r="I62" s="68"/>
      <c r="J62" s="68"/>
      <c r="K62" s="68"/>
      <c r="L62" s="68"/>
      <c r="M62" s="69"/>
      <c r="N62" s="66"/>
    </row>
    <row r="63" spans="1:14" ht="13.5" thickBot="1">
      <c r="A63" s="342"/>
      <c r="B63" s="345"/>
      <c r="C63" s="345"/>
      <c r="D63" s="361"/>
      <c r="E63" s="363"/>
      <c r="F63" s="335"/>
      <c r="G63" s="336">
        <f>G57+G60</f>
        <v>0</v>
      </c>
      <c r="H63" s="67" t="s">
        <v>21</v>
      </c>
      <c r="I63" s="68"/>
      <c r="J63" s="68"/>
      <c r="K63" s="68"/>
      <c r="L63" s="68"/>
      <c r="M63" s="69"/>
      <c r="N63" s="66"/>
    </row>
    <row r="64" spans="1:14" ht="13.5" thickBot="1">
      <c r="A64" s="342"/>
      <c r="B64" s="345"/>
      <c r="C64" s="345"/>
      <c r="D64" s="361"/>
      <c r="E64" s="363"/>
      <c r="F64" s="335"/>
      <c r="G64" s="339"/>
      <c r="H64" s="67" t="s">
        <v>23</v>
      </c>
      <c r="I64" s="72"/>
      <c r="J64" s="72">
        <f>J56+J58+J60+J62</f>
        <v>0</v>
      </c>
      <c r="K64" s="72"/>
      <c r="L64" s="72"/>
      <c r="M64" s="73"/>
      <c r="N64" s="66"/>
    </row>
    <row r="65" spans="1:14" ht="13.5" thickBot="1">
      <c r="A65" s="343"/>
      <c r="B65" s="346"/>
      <c r="C65" s="345"/>
      <c r="D65" s="362"/>
      <c r="E65" s="363"/>
      <c r="F65" s="338"/>
      <c r="G65" s="340"/>
      <c r="H65" s="74" t="s">
        <v>24</v>
      </c>
      <c r="I65" s="75">
        <f>I57+I59+I61+I63</f>
        <v>505798</v>
      </c>
      <c r="J65" s="75">
        <f>J57+J59+J61+J63</f>
        <v>1303110</v>
      </c>
      <c r="K65" s="75">
        <f>K57+K59+K61+K63</f>
        <v>1018432</v>
      </c>
      <c r="L65" s="75">
        <f>L57+L59+L61+L63</f>
        <v>1524230</v>
      </c>
      <c r="M65" s="76">
        <f>K65/J65</f>
        <v>0.7815395476974315</v>
      </c>
      <c r="N65" s="66"/>
    </row>
    <row r="66" spans="1:14" ht="12.75" customHeight="1" thickBot="1">
      <c r="A66" s="341">
        <f>A56+1</f>
        <v>7</v>
      </c>
      <c r="B66" s="344">
        <v>600</v>
      </c>
      <c r="C66" s="344">
        <v>60015</v>
      </c>
      <c r="D66" s="360" t="s">
        <v>96</v>
      </c>
      <c r="E66" s="363" t="s">
        <v>93</v>
      </c>
      <c r="F66" s="334">
        <v>2009</v>
      </c>
      <c r="G66" s="62" t="s">
        <v>15</v>
      </c>
      <c r="H66" s="63" t="s">
        <v>16</v>
      </c>
      <c r="I66" s="64"/>
      <c r="J66" s="64"/>
      <c r="K66" s="64"/>
      <c r="L66" s="64"/>
      <c r="M66" s="65"/>
      <c r="N66" s="66"/>
    </row>
    <row r="67" spans="1:14" ht="13.5" thickBot="1">
      <c r="A67" s="342"/>
      <c r="B67" s="345"/>
      <c r="C67" s="345"/>
      <c r="D67" s="361"/>
      <c r="E67" s="363"/>
      <c r="F67" s="335"/>
      <c r="G67" s="336">
        <f>SUM(I74:M74)</f>
        <v>0</v>
      </c>
      <c r="H67" s="67" t="s">
        <v>17</v>
      </c>
      <c r="I67" s="68">
        <v>337321</v>
      </c>
      <c r="J67" s="68">
        <f>3975120+800000-4017720-637400</f>
        <v>120000</v>
      </c>
      <c r="K67" s="68">
        <v>119698</v>
      </c>
      <c r="L67" s="68">
        <f>I67+K67</f>
        <v>457019</v>
      </c>
      <c r="M67" s="69">
        <f>K67/J67</f>
        <v>0.9974833333333334</v>
      </c>
      <c r="N67" s="66"/>
    </row>
    <row r="68" spans="1:14" ht="13.5" thickBot="1">
      <c r="A68" s="342"/>
      <c r="B68" s="345"/>
      <c r="C68" s="345"/>
      <c r="D68" s="361"/>
      <c r="E68" s="363"/>
      <c r="F68" s="335"/>
      <c r="G68" s="337"/>
      <c r="H68" s="67" t="s">
        <v>85</v>
      </c>
      <c r="I68" s="68"/>
      <c r="J68" s="68"/>
      <c r="K68" s="68"/>
      <c r="L68" s="68"/>
      <c r="M68" s="69"/>
      <c r="N68" s="66"/>
    </row>
    <row r="69" spans="1:14" ht="13.5" thickBot="1">
      <c r="A69" s="342"/>
      <c r="B69" s="345"/>
      <c r="C69" s="345"/>
      <c r="D69" s="361"/>
      <c r="E69" s="363"/>
      <c r="F69" s="335"/>
      <c r="G69" s="71" t="s">
        <v>18</v>
      </c>
      <c r="H69" s="67" t="s">
        <v>86</v>
      </c>
      <c r="I69" s="68"/>
      <c r="J69" s="68"/>
      <c r="K69" s="68"/>
      <c r="L69" s="68"/>
      <c r="M69" s="69"/>
      <c r="N69" s="66"/>
    </row>
    <row r="70" spans="1:14" ht="13.5" thickBot="1">
      <c r="A70" s="342"/>
      <c r="B70" s="345"/>
      <c r="C70" s="345"/>
      <c r="D70" s="361"/>
      <c r="E70" s="363"/>
      <c r="F70" s="335"/>
      <c r="G70" s="336"/>
      <c r="H70" s="67" t="s">
        <v>87</v>
      </c>
      <c r="I70" s="68"/>
      <c r="J70" s="68"/>
      <c r="K70" s="68"/>
      <c r="L70" s="68"/>
      <c r="M70" s="69"/>
      <c r="N70" s="66"/>
    </row>
    <row r="71" spans="1:14" ht="13.5" thickBot="1">
      <c r="A71" s="342"/>
      <c r="B71" s="345"/>
      <c r="C71" s="345"/>
      <c r="D71" s="361"/>
      <c r="E71" s="363"/>
      <c r="F71" s="335">
        <v>2014</v>
      </c>
      <c r="G71" s="337"/>
      <c r="H71" s="67" t="s">
        <v>88</v>
      </c>
      <c r="I71" s="68">
        <v>1055248</v>
      </c>
      <c r="J71" s="68">
        <f>4291932-3611932</f>
        <v>680000</v>
      </c>
      <c r="K71" s="68">
        <v>678289</v>
      </c>
      <c r="L71" s="68">
        <f>I71+K71</f>
        <v>1733537</v>
      </c>
      <c r="M71" s="69">
        <f>K71/J71</f>
        <v>0.9974838235294118</v>
      </c>
      <c r="N71" s="66"/>
    </row>
    <row r="72" spans="1:14" ht="13.5" thickBot="1">
      <c r="A72" s="342"/>
      <c r="B72" s="345"/>
      <c r="C72" s="345"/>
      <c r="D72" s="361"/>
      <c r="E72" s="363"/>
      <c r="F72" s="335"/>
      <c r="G72" s="71" t="s">
        <v>22</v>
      </c>
      <c r="H72" s="67" t="s">
        <v>19</v>
      </c>
      <c r="I72" s="68"/>
      <c r="J72" s="68"/>
      <c r="K72" s="68"/>
      <c r="L72" s="68"/>
      <c r="M72" s="69"/>
      <c r="N72" s="66"/>
    </row>
    <row r="73" spans="1:14" ht="13.5" thickBot="1">
      <c r="A73" s="342"/>
      <c r="B73" s="345"/>
      <c r="C73" s="345"/>
      <c r="D73" s="361"/>
      <c r="E73" s="363"/>
      <c r="F73" s="335"/>
      <c r="G73" s="336">
        <f>G67+G70</f>
        <v>0</v>
      </c>
      <c r="H73" s="67" t="s">
        <v>21</v>
      </c>
      <c r="I73" s="68"/>
      <c r="J73" s="68"/>
      <c r="K73" s="68"/>
      <c r="L73" s="68"/>
      <c r="M73" s="69"/>
      <c r="N73" s="66"/>
    </row>
    <row r="74" spans="1:14" ht="13.5" thickBot="1">
      <c r="A74" s="342"/>
      <c r="B74" s="345"/>
      <c r="C74" s="345"/>
      <c r="D74" s="361"/>
      <c r="E74" s="363"/>
      <c r="F74" s="335"/>
      <c r="G74" s="339"/>
      <c r="H74" s="67" t="s">
        <v>23</v>
      </c>
      <c r="I74" s="72"/>
      <c r="J74" s="72">
        <f>J66+J68+J70+J72</f>
        <v>0</v>
      </c>
      <c r="K74" s="72"/>
      <c r="L74" s="72"/>
      <c r="M74" s="73"/>
      <c r="N74" s="66"/>
    </row>
    <row r="75" spans="1:14" ht="13.5" thickBot="1">
      <c r="A75" s="343"/>
      <c r="B75" s="346"/>
      <c r="C75" s="345"/>
      <c r="D75" s="362"/>
      <c r="E75" s="363"/>
      <c r="F75" s="338"/>
      <c r="G75" s="340"/>
      <c r="H75" s="74" t="s">
        <v>24</v>
      </c>
      <c r="I75" s="75">
        <f>I67+I69+I71+I73</f>
        <v>1392569</v>
      </c>
      <c r="J75" s="75">
        <f>J67+J69+J71+J73</f>
        <v>800000</v>
      </c>
      <c r="K75" s="75">
        <f>K67+K69+K71+K73</f>
        <v>797987</v>
      </c>
      <c r="L75" s="75">
        <f>L67+L69+L71+L73</f>
        <v>2190556</v>
      </c>
      <c r="M75" s="76">
        <f>K75/J75</f>
        <v>0.99748375</v>
      </c>
      <c r="N75" s="66"/>
    </row>
    <row r="76" spans="1:14" ht="12.75" customHeight="1">
      <c r="A76" s="341">
        <f>A66+1</f>
        <v>8</v>
      </c>
      <c r="B76" s="345">
        <v>600</v>
      </c>
      <c r="C76" s="344">
        <v>60095</v>
      </c>
      <c r="D76" s="389" t="s">
        <v>97</v>
      </c>
      <c r="E76" s="331" t="s">
        <v>98</v>
      </c>
      <c r="F76" s="334">
        <v>2009</v>
      </c>
      <c r="G76" s="62" t="s">
        <v>15</v>
      </c>
      <c r="H76" s="63" t="s">
        <v>16</v>
      </c>
      <c r="I76" s="82">
        <v>4315</v>
      </c>
      <c r="J76" s="83">
        <v>54630</v>
      </c>
      <c r="K76" s="84">
        <v>13839</v>
      </c>
      <c r="L76" s="84">
        <f>I76+K76</f>
        <v>18154</v>
      </c>
      <c r="M76" s="85">
        <f>K76/J76</f>
        <v>0.2533223503569467</v>
      </c>
      <c r="N76" s="66"/>
    </row>
    <row r="77" spans="1:14" ht="12.75">
      <c r="A77" s="342"/>
      <c r="B77" s="345"/>
      <c r="C77" s="345"/>
      <c r="D77" s="390"/>
      <c r="E77" s="332"/>
      <c r="F77" s="335"/>
      <c r="G77" s="336"/>
      <c r="H77" s="67" t="s">
        <v>17</v>
      </c>
      <c r="I77" s="86"/>
      <c r="J77" s="87">
        <v>11250</v>
      </c>
      <c r="K77" s="87"/>
      <c r="L77" s="87"/>
      <c r="M77" s="88"/>
      <c r="N77" s="66"/>
    </row>
    <row r="78" spans="1:14" ht="12.75">
      <c r="A78" s="342"/>
      <c r="B78" s="345"/>
      <c r="C78" s="345"/>
      <c r="D78" s="390"/>
      <c r="E78" s="332"/>
      <c r="F78" s="335"/>
      <c r="G78" s="337"/>
      <c r="H78" s="67" t="s">
        <v>85</v>
      </c>
      <c r="I78" s="86"/>
      <c r="J78" s="87"/>
      <c r="K78" s="87"/>
      <c r="L78" s="87"/>
      <c r="M78" s="88"/>
      <c r="N78" s="66"/>
    </row>
    <row r="79" spans="1:14" ht="12.75">
      <c r="A79" s="342"/>
      <c r="B79" s="345"/>
      <c r="C79" s="345"/>
      <c r="D79" s="390"/>
      <c r="E79" s="332"/>
      <c r="F79" s="335"/>
      <c r="G79" s="71" t="s">
        <v>18</v>
      </c>
      <c r="H79" s="67" t="s">
        <v>86</v>
      </c>
      <c r="I79" s="86"/>
      <c r="J79" s="87"/>
      <c r="K79" s="87"/>
      <c r="L79" s="87"/>
      <c r="M79" s="88"/>
      <c r="N79" s="66"/>
    </row>
    <row r="80" spans="1:14" ht="12.75">
      <c r="A80" s="342"/>
      <c r="B80" s="345"/>
      <c r="C80" s="345"/>
      <c r="D80" s="390"/>
      <c r="E80" s="332"/>
      <c r="F80" s="335"/>
      <c r="G80" s="336"/>
      <c r="H80" s="67" t="s">
        <v>87</v>
      </c>
      <c r="I80" s="86">
        <v>24432</v>
      </c>
      <c r="J80" s="87">
        <v>309570</v>
      </c>
      <c r="K80" s="87">
        <v>78417</v>
      </c>
      <c r="L80" s="87">
        <f>I80+K80</f>
        <v>102849</v>
      </c>
      <c r="M80" s="88">
        <f>K80/J80</f>
        <v>0.2533094292082566</v>
      </c>
      <c r="N80" s="66"/>
    </row>
    <row r="81" spans="1:15" ht="12.75">
      <c r="A81" s="342"/>
      <c r="B81" s="345"/>
      <c r="C81" s="345"/>
      <c r="D81" s="390"/>
      <c r="E81" s="332"/>
      <c r="F81" s="335">
        <v>2012</v>
      </c>
      <c r="G81" s="337"/>
      <c r="H81" s="67" t="s">
        <v>88</v>
      </c>
      <c r="I81" s="86"/>
      <c r="J81" s="87">
        <v>63750</v>
      </c>
      <c r="K81" s="87"/>
      <c r="L81" s="87"/>
      <c r="M81" s="88"/>
      <c r="N81" s="66"/>
      <c r="O81" s="66"/>
    </row>
    <row r="82" spans="1:14" ht="12.75">
      <c r="A82" s="342"/>
      <c r="B82" s="345"/>
      <c r="C82" s="345"/>
      <c r="D82" s="390"/>
      <c r="E82" s="332"/>
      <c r="F82" s="335"/>
      <c r="G82" s="71" t="s">
        <v>22</v>
      </c>
      <c r="H82" s="67" t="s">
        <v>19</v>
      </c>
      <c r="I82" s="87"/>
      <c r="J82" s="87"/>
      <c r="K82" s="87"/>
      <c r="L82" s="87"/>
      <c r="M82" s="88"/>
      <c r="N82" s="66"/>
    </row>
    <row r="83" spans="1:14" ht="12.75">
      <c r="A83" s="342"/>
      <c r="B83" s="345"/>
      <c r="C83" s="345"/>
      <c r="D83" s="390"/>
      <c r="E83" s="332"/>
      <c r="F83" s="335"/>
      <c r="G83" s="336">
        <f>G77+G80</f>
        <v>0</v>
      </c>
      <c r="H83" s="67" t="s">
        <v>21</v>
      </c>
      <c r="I83" s="87"/>
      <c r="J83" s="87"/>
      <c r="K83" s="87"/>
      <c r="L83" s="87"/>
      <c r="M83" s="88"/>
      <c r="N83" s="66"/>
    </row>
    <row r="84" spans="1:14" ht="12.75">
      <c r="A84" s="342"/>
      <c r="B84" s="345"/>
      <c r="C84" s="345"/>
      <c r="D84" s="390"/>
      <c r="E84" s="332"/>
      <c r="F84" s="335"/>
      <c r="G84" s="339"/>
      <c r="H84" s="67" t="s">
        <v>23</v>
      </c>
      <c r="I84" s="89">
        <f>I76+I78+I80+I82</f>
        <v>28747</v>
      </c>
      <c r="J84" s="89">
        <f>J76+J78+J80+J82</f>
        <v>364200</v>
      </c>
      <c r="K84" s="89">
        <f>K76+K78+K80+K82</f>
        <v>92256</v>
      </c>
      <c r="L84" s="89">
        <f>L76+L78+L80+L82</f>
        <v>121003</v>
      </c>
      <c r="M84" s="90">
        <f>K84/J84</f>
        <v>0.25331136738056015</v>
      </c>
      <c r="N84" s="66"/>
    </row>
    <row r="85" spans="1:14" ht="13.5" thickBot="1">
      <c r="A85" s="343"/>
      <c r="B85" s="345"/>
      <c r="C85" s="345"/>
      <c r="D85" s="391"/>
      <c r="E85" s="333"/>
      <c r="F85" s="338"/>
      <c r="G85" s="340"/>
      <c r="H85" s="74" t="s">
        <v>24</v>
      </c>
      <c r="I85" s="91"/>
      <c r="J85" s="91">
        <f>J77+J79+J81+J83</f>
        <v>75000</v>
      </c>
      <c r="K85" s="91">
        <f>K77+K79+K81+K83</f>
        <v>0</v>
      </c>
      <c r="L85" s="91">
        <f>L77+L79+L81+L83</f>
        <v>0</v>
      </c>
      <c r="M85" s="92"/>
      <c r="N85" s="66"/>
    </row>
    <row r="86" spans="1:14" ht="12.75">
      <c r="A86" s="341">
        <f>A76+1</f>
        <v>9</v>
      </c>
      <c r="B86" s="344">
        <v>600</v>
      </c>
      <c r="C86" s="344">
        <v>60095</v>
      </c>
      <c r="D86" s="379" t="s">
        <v>99</v>
      </c>
      <c r="E86" s="331" t="s">
        <v>98</v>
      </c>
      <c r="F86" s="334">
        <v>2008</v>
      </c>
      <c r="G86" s="62" t="s">
        <v>15</v>
      </c>
      <c r="H86" s="63" t="s">
        <v>16</v>
      </c>
      <c r="I86" s="78">
        <v>30000</v>
      </c>
      <c r="J86" s="78">
        <v>30000</v>
      </c>
      <c r="K86" s="78">
        <v>3000</v>
      </c>
      <c r="L86" s="64">
        <f>I86+K86</f>
        <v>33000</v>
      </c>
      <c r="M86" s="65">
        <f>K86/J86</f>
        <v>0.1</v>
      </c>
      <c r="N86" s="66"/>
    </row>
    <row r="87" spans="1:14" ht="12.75">
      <c r="A87" s="342"/>
      <c r="B87" s="345"/>
      <c r="C87" s="345"/>
      <c r="D87" s="380"/>
      <c r="E87" s="332"/>
      <c r="F87" s="335"/>
      <c r="G87" s="336"/>
      <c r="H87" s="67" t="s">
        <v>17</v>
      </c>
      <c r="I87" s="68"/>
      <c r="J87" s="68"/>
      <c r="K87" s="68"/>
      <c r="L87" s="68"/>
      <c r="M87" s="69"/>
      <c r="N87" s="66"/>
    </row>
    <row r="88" spans="1:14" ht="12.75">
      <c r="A88" s="342"/>
      <c r="B88" s="345"/>
      <c r="C88" s="345"/>
      <c r="D88" s="380"/>
      <c r="E88" s="332"/>
      <c r="F88" s="335"/>
      <c r="G88" s="337"/>
      <c r="H88" s="67" t="s">
        <v>85</v>
      </c>
      <c r="I88" s="68"/>
      <c r="J88" s="68"/>
      <c r="K88" s="68"/>
      <c r="L88" s="68"/>
      <c r="M88" s="69"/>
      <c r="N88" s="66"/>
    </row>
    <row r="89" spans="1:14" ht="12.75">
      <c r="A89" s="342"/>
      <c r="B89" s="345"/>
      <c r="C89" s="345"/>
      <c r="D89" s="380"/>
      <c r="E89" s="332"/>
      <c r="F89" s="335"/>
      <c r="G89" s="71" t="s">
        <v>18</v>
      </c>
      <c r="H89" s="67" t="s">
        <v>86</v>
      </c>
      <c r="I89" s="68"/>
      <c r="J89" s="68"/>
      <c r="K89" s="68"/>
      <c r="L89" s="68"/>
      <c r="M89" s="69"/>
      <c r="N89" s="66"/>
    </row>
    <row r="90" spans="1:14" ht="12.75">
      <c r="A90" s="342"/>
      <c r="B90" s="345"/>
      <c r="C90" s="345"/>
      <c r="D90" s="380"/>
      <c r="E90" s="332"/>
      <c r="F90" s="335"/>
      <c r="G90" s="336">
        <f>SUM(I95:M95)</f>
        <v>0</v>
      </c>
      <c r="H90" s="67" t="s">
        <v>87</v>
      </c>
      <c r="I90" s="68">
        <v>170000</v>
      </c>
      <c r="J90" s="68">
        <v>170000</v>
      </c>
      <c r="K90" s="68">
        <v>17000</v>
      </c>
      <c r="L90" s="68">
        <f>I90+K90</f>
        <v>187000</v>
      </c>
      <c r="M90" s="69">
        <f>K90/J90</f>
        <v>0.1</v>
      </c>
      <c r="N90" s="66"/>
    </row>
    <row r="91" spans="1:14" ht="12.75">
      <c r="A91" s="342"/>
      <c r="B91" s="345"/>
      <c r="C91" s="345"/>
      <c r="D91" s="380"/>
      <c r="E91" s="332"/>
      <c r="F91" s="335">
        <v>2012</v>
      </c>
      <c r="G91" s="337"/>
      <c r="H91" s="67" t="s">
        <v>88</v>
      </c>
      <c r="I91" s="68"/>
      <c r="J91" s="68"/>
      <c r="K91" s="68"/>
      <c r="L91" s="68"/>
      <c r="M91" s="69"/>
      <c r="N91" s="66"/>
    </row>
    <row r="92" spans="1:14" ht="12.75">
      <c r="A92" s="342"/>
      <c r="B92" s="345"/>
      <c r="C92" s="345"/>
      <c r="D92" s="380"/>
      <c r="E92" s="332"/>
      <c r="F92" s="335"/>
      <c r="G92" s="71" t="s">
        <v>22</v>
      </c>
      <c r="H92" s="67" t="s">
        <v>19</v>
      </c>
      <c r="I92" s="68"/>
      <c r="J92" s="68"/>
      <c r="K92" s="68"/>
      <c r="L92" s="68"/>
      <c r="M92" s="69"/>
      <c r="N92" s="66"/>
    </row>
    <row r="93" spans="1:14" ht="12.75">
      <c r="A93" s="342"/>
      <c r="B93" s="345"/>
      <c r="C93" s="345"/>
      <c r="D93" s="380"/>
      <c r="E93" s="332"/>
      <c r="F93" s="335"/>
      <c r="G93" s="336">
        <f>G87+G90</f>
        <v>0</v>
      </c>
      <c r="H93" s="67" t="s">
        <v>21</v>
      </c>
      <c r="I93" s="68"/>
      <c r="J93" s="68"/>
      <c r="K93" s="68"/>
      <c r="L93" s="68"/>
      <c r="M93" s="69"/>
      <c r="N93" s="66"/>
    </row>
    <row r="94" spans="1:14" ht="12.75">
      <c r="A94" s="342"/>
      <c r="B94" s="345"/>
      <c r="C94" s="345"/>
      <c r="D94" s="380"/>
      <c r="E94" s="332"/>
      <c r="F94" s="335"/>
      <c r="G94" s="339"/>
      <c r="H94" s="67" t="s">
        <v>23</v>
      </c>
      <c r="I94" s="72">
        <f>I86+I88+I90+I92</f>
        <v>200000</v>
      </c>
      <c r="J94" s="72">
        <f>J86+J88+J90+J92</f>
        <v>200000</v>
      </c>
      <c r="K94" s="72">
        <f>K86+K88+K90+K92</f>
        <v>20000</v>
      </c>
      <c r="L94" s="72">
        <f>L86+L88+L90+L92</f>
        <v>220000</v>
      </c>
      <c r="M94" s="73">
        <f>K94/J94</f>
        <v>0.1</v>
      </c>
      <c r="N94" s="66"/>
    </row>
    <row r="95" spans="1:14" ht="13.5" thickBot="1">
      <c r="A95" s="343"/>
      <c r="B95" s="346"/>
      <c r="C95" s="346"/>
      <c r="D95" s="381"/>
      <c r="E95" s="333"/>
      <c r="F95" s="338"/>
      <c r="G95" s="340"/>
      <c r="H95" s="74" t="s">
        <v>24</v>
      </c>
      <c r="I95" s="75"/>
      <c r="J95" s="75">
        <f>J87+J89+J91+J93</f>
        <v>0</v>
      </c>
      <c r="K95" s="75"/>
      <c r="L95" s="75"/>
      <c r="M95" s="76"/>
      <c r="N95" s="66"/>
    </row>
    <row r="96" spans="1:14" ht="12.75">
      <c r="A96" s="341">
        <f>A86+1</f>
        <v>10</v>
      </c>
      <c r="B96" s="345">
        <v>600</v>
      </c>
      <c r="C96" s="345">
        <v>60095</v>
      </c>
      <c r="D96" s="379" t="s">
        <v>100</v>
      </c>
      <c r="E96" s="382" t="s">
        <v>101</v>
      </c>
      <c r="F96" s="359">
        <v>2010</v>
      </c>
      <c r="G96" s="70" t="s">
        <v>15</v>
      </c>
      <c r="H96" s="77" t="s">
        <v>16</v>
      </c>
      <c r="I96" s="78">
        <v>6838</v>
      </c>
      <c r="J96" s="78">
        <f>41686+25474</f>
        <v>67160</v>
      </c>
      <c r="K96" s="78">
        <v>37372</v>
      </c>
      <c r="L96" s="78">
        <f>I96+K96</f>
        <v>44210</v>
      </c>
      <c r="M96" s="79">
        <f>K96/J96</f>
        <v>0.5564621798689696</v>
      </c>
      <c r="N96" s="66"/>
    </row>
    <row r="97" spans="1:14" ht="12.75">
      <c r="A97" s="342"/>
      <c r="B97" s="345"/>
      <c r="C97" s="345"/>
      <c r="D97" s="380"/>
      <c r="E97" s="332"/>
      <c r="F97" s="335"/>
      <c r="G97" s="336"/>
      <c r="H97" s="67" t="s">
        <v>17</v>
      </c>
      <c r="I97" s="68"/>
      <c r="J97" s="68"/>
      <c r="K97" s="68"/>
      <c r="L97" s="68"/>
      <c r="M97" s="69"/>
      <c r="N97" s="66"/>
    </row>
    <row r="98" spans="1:14" ht="12.75">
      <c r="A98" s="342"/>
      <c r="B98" s="345"/>
      <c r="C98" s="345"/>
      <c r="D98" s="380"/>
      <c r="E98" s="332"/>
      <c r="F98" s="335"/>
      <c r="G98" s="337"/>
      <c r="H98" s="67" t="s">
        <v>85</v>
      </c>
      <c r="I98" s="68"/>
      <c r="J98" s="68"/>
      <c r="K98" s="68"/>
      <c r="L98" s="68"/>
      <c r="M98" s="69"/>
      <c r="N98" s="66"/>
    </row>
    <row r="99" spans="1:14" ht="12.75">
      <c r="A99" s="342"/>
      <c r="B99" s="345"/>
      <c r="C99" s="345"/>
      <c r="D99" s="380"/>
      <c r="E99" s="332"/>
      <c r="F99" s="335"/>
      <c r="G99" s="71" t="s">
        <v>18</v>
      </c>
      <c r="H99" s="67" t="s">
        <v>86</v>
      </c>
      <c r="I99" s="68"/>
      <c r="J99" s="68"/>
      <c r="K99" s="68"/>
      <c r="L99" s="68"/>
      <c r="M99" s="69"/>
      <c r="N99" s="66"/>
    </row>
    <row r="100" spans="1:14" ht="12.75">
      <c r="A100" s="342"/>
      <c r="B100" s="345"/>
      <c r="C100" s="345"/>
      <c r="D100" s="380"/>
      <c r="E100" s="332"/>
      <c r="F100" s="335"/>
      <c r="G100" s="336">
        <f>SUM(I105:M105)</f>
        <v>0</v>
      </c>
      <c r="H100" s="67" t="s">
        <v>87</v>
      </c>
      <c r="I100" s="68">
        <v>17296</v>
      </c>
      <c r="J100" s="68">
        <f>105459+64448</f>
        <v>169907</v>
      </c>
      <c r="K100" s="68">
        <v>94545</v>
      </c>
      <c r="L100" s="68">
        <f>I100+K100</f>
        <v>111841</v>
      </c>
      <c r="M100" s="69">
        <f>K100/J100</f>
        <v>0.556451470510338</v>
      </c>
      <c r="N100" s="66"/>
    </row>
    <row r="101" spans="1:14" ht="12.75">
      <c r="A101" s="342"/>
      <c r="B101" s="345"/>
      <c r="C101" s="345"/>
      <c r="D101" s="380"/>
      <c r="E101" s="332"/>
      <c r="F101" s="335">
        <v>2013</v>
      </c>
      <c r="G101" s="337"/>
      <c r="H101" s="67" t="s">
        <v>88</v>
      </c>
      <c r="I101" s="68"/>
      <c r="J101" s="68"/>
      <c r="K101" s="68"/>
      <c r="L101" s="68"/>
      <c r="M101" s="69"/>
      <c r="N101" s="66"/>
    </row>
    <row r="102" spans="1:14" ht="12.75">
      <c r="A102" s="342"/>
      <c r="B102" s="345"/>
      <c r="C102" s="345"/>
      <c r="D102" s="380"/>
      <c r="E102" s="332"/>
      <c r="F102" s="335"/>
      <c r="G102" s="71" t="s">
        <v>22</v>
      </c>
      <c r="H102" s="67" t="s">
        <v>19</v>
      </c>
      <c r="I102" s="68"/>
      <c r="J102" s="68"/>
      <c r="K102" s="68"/>
      <c r="L102" s="68"/>
      <c r="M102" s="69"/>
      <c r="N102" s="66"/>
    </row>
    <row r="103" spans="1:14" ht="12.75">
      <c r="A103" s="342"/>
      <c r="B103" s="345"/>
      <c r="C103" s="345"/>
      <c r="D103" s="380"/>
      <c r="E103" s="332"/>
      <c r="F103" s="335"/>
      <c r="G103" s="336">
        <f>G97+G100</f>
        <v>0</v>
      </c>
      <c r="H103" s="67" t="s">
        <v>21</v>
      </c>
      <c r="I103" s="68"/>
      <c r="J103" s="68"/>
      <c r="K103" s="68"/>
      <c r="L103" s="68"/>
      <c r="M103" s="69"/>
      <c r="N103" s="66"/>
    </row>
    <row r="104" spans="1:14" ht="12.75">
      <c r="A104" s="342"/>
      <c r="B104" s="345"/>
      <c r="C104" s="345"/>
      <c r="D104" s="380"/>
      <c r="E104" s="332"/>
      <c r="F104" s="335"/>
      <c r="G104" s="339"/>
      <c r="H104" s="67" t="s">
        <v>23</v>
      </c>
      <c r="I104" s="72">
        <f aca="true" t="shared" si="2" ref="I104:L105">I96+I98+I100+I102</f>
        <v>24134</v>
      </c>
      <c r="J104" s="72">
        <f t="shared" si="2"/>
        <v>237067</v>
      </c>
      <c r="K104" s="72">
        <f t="shared" si="2"/>
        <v>131917</v>
      </c>
      <c r="L104" s="72">
        <f t="shared" si="2"/>
        <v>156051</v>
      </c>
      <c r="M104" s="73">
        <f>K104/J104</f>
        <v>0.5564545044228003</v>
      </c>
      <c r="N104" s="66"/>
    </row>
    <row r="105" spans="1:14" ht="13.5" thickBot="1">
      <c r="A105" s="343"/>
      <c r="B105" s="345"/>
      <c r="C105" s="345"/>
      <c r="D105" s="381"/>
      <c r="E105" s="383"/>
      <c r="F105" s="366"/>
      <c r="G105" s="340"/>
      <c r="H105" s="80" t="s">
        <v>24</v>
      </c>
      <c r="I105" s="75">
        <f t="shared" si="2"/>
        <v>0</v>
      </c>
      <c r="J105" s="75">
        <f t="shared" si="2"/>
        <v>0</v>
      </c>
      <c r="K105" s="75">
        <f t="shared" si="2"/>
        <v>0</v>
      </c>
      <c r="L105" s="75">
        <f t="shared" si="2"/>
        <v>0</v>
      </c>
      <c r="M105" s="81"/>
      <c r="N105" s="66"/>
    </row>
    <row r="106" spans="1:14" ht="12.75" customHeight="1" thickBot="1">
      <c r="A106" s="341">
        <f>A96+1</f>
        <v>11</v>
      </c>
      <c r="B106" s="344">
        <v>710</v>
      </c>
      <c r="C106" s="344">
        <v>71095</v>
      </c>
      <c r="D106" s="347" t="s">
        <v>102</v>
      </c>
      <c r="E106" s="363" t="s">
        <v>103</v>
      </c>
      <c r="F106" s="384">
        <v>2008</v>
      </c>
      <c r="G106" s="62" t="s">
        <v>15</v>
      </c>
      <c r="H106" s="63" t="s">
        <v>16</v>
      </c>
      <c r="I106" s="78">
        <v>1268466</v>
      </c>
      <c r="J106" s="64">
        <v>1768042</v>
      </c>
      <c r="K106" s="64">
        <v>1319059</v>
      </c>
      <c r="L106" s="64">
        <f>I106+K106</f>
        <v>2587525</v>
      </c>
      <c r="M106" s="65">
        <f>K106/J106</f>
        <v>0.7460563719640144</v>
      </c>
      <c r="N106" s="66"/>
    </row>
    <row r="107" spans="1:14" ht="13.5" thickBot="1">
      <c r="A107" s="342"/>
      <c r="B107" s="345"/>
      <c r="C107" s="345"/>
      <c r="D107" s="348"/>
      <c r="E107" s="363"/>
      <c r="F107" s="367"/>
      <c r="G107" s="336"/>
      <c r="H107" s="67" t="s">
        <v>17</v>
      </c>
      <c r="I107" s="68">
        <v>1463633</v>
      </c>
      <c r="J107" s="68">
        <v>1000000</v>
      </c>
      <c r="K107" s="68">
        <v>40484</v>
      </c>
      <c r="L107" s="68">
        <f>I107+K107</f>
        <v>1504117</v>
      </c>
      <c r="M107" s="69">
        <f>K107/J107</f>
        <v>0.040484</v>
      </c>
      <c r="N107" s="66"/>
    </row>
    <row r="108" spans="1:14" ht="13.5" thickBot="1">
      <c r="A108" s="342"/>
      <c r="B108" s="345"/>
      <c r="C108" s="345"/>
      <c r="D108" s="348"/>
      <c r="E108" s="363"/>
      <c r="F108" s="367"/>
      <c r="G108" s="337"/>
      <c r="H108" s="67" t="s">
        <v>85</v>
      </c>
      <c r="I108" s="68"/>
      <c r="J108" s="68"/>
      <c r="K108" s="68"/>
      <c r="L108" s="68"/>
      <c r="M108" s="69"/>
      <c r="N108" s="66"/>
    </row>
    <row r="109" spans="1:14" ht="13.5" thickBot="1">
      <c r="A109" s="342"/>
      <c r="B109" s="345"/>
      <c r="C109" s="345"/>
      <c r="D109" s="348"/>
      <c r="E109" s="363"/>
      <c r="F109" s="367"/>
      <c r="G109" s="71" t="s">
        <v>18</v>
      </c>
      <c r="H109" s="67" t="s">
        <v>86</v>
      </c>
      <c r="I109" s="68">
        <v>1308097</v>
      </c>
      <c r="J109" s="68">
        <v>3059930</v>
      </c>
      <c r="K109" s="68">
        <v>2838929</v>
      </c>
      <c r="L109" s="68">
        <f>I109+K109</f>
        <v>4147026</v>
      </c>
      <c r="M109" s="69">
        <f>K109/J109</f>
        <v>0.9277757987927828</v>
      </c>
      <c r="N109" s="66"/>
    </row>
    <row r="110" spans="1:14" ht="13.5" thickBot="1">
      <c r="A110" s="342"/>
      <c r="B110" s="345"/>
      <c r="C110" s="345"/>
      <c r="D110" s="348"/>
      <c r="E110" s="363"/>
      <c r="F110" s="359"/>
      <c r="G110" s="336"/>
      <c r="H110" s="67" t="s">
        <v>87</v>
      </c>
      <c r="I110" s="68"/>
      <c r="J110" s="68"/>
      <c r="K110" s="68"/>
      <c r="L110" s="68"/>
      <c r="M110" s="69"/>
      <c r="N110" s="66"/>
    </row>
    <row r="111" spans="1:14" ht="13.5" thickBot="1">
      <c r="A111" s="342"/>
      <c r="B111" s="345"/>
      <c r="C111" s="345"/>
      <c r="D111" s="348"/>
      <c r="E111" s="363"/>
      <c r="F111" s="366">
        <v>2012</v>
      </c>
      <c r="G111" s="337"/>
      <c r="H111" s="67" t="s">
        <v>88</v>
      </c>
      <c r="I111" s="68">
        <v>7412545</v>
      </c>
      <c r="J111" s="68">
        <v>17339612</v>
      </c>
      <c r="K111" s="68">
        <v>16087259</v>
      </c>
      <c r="L111" s="68">
        <f>I111+K111</f>
        <v>23499804</v>
      </c>
      <c r="M111" s="69">
        <f>K111/J111</f>
        <v>0.9277750274919646</v>
      </c>
      <c r="N111" s="66"/>
    </row>
    <row r="112" spans="1:14" ht="13.5" thickBot="1">
      <c r="A112" s="342"/>
      <c r="B112" s="345"/>
      <c r="C112" s="345"/>
      <c r="D112" s="348"/>
      <c r="E112" s="363"/>
      <c r="F112" s="367"/>
      <c r="G112" s="71" t="s">
        <v>22</v>
      </c>
      <c r="H112" s="67" t="s">
        <v>19</v>
      </c>
      <c r="I112" s="68"/>
      <c r="J112" s="68"/>
      <c r="K112" s="68"/>
      <c r="L112" s="68"/>
      <c r="M112" s="69"/>
      <c r="N112" s="66"/>
    </row>
    <row r="113" spans="1:14" ht="13.5" thickBot="1">
      <c r="A113" s="342"/>
      <c r="B113" s="345"/>
      <c r="C113" s="345"/>
      <c r="D113" s="348"/>
      <c r="E113" s="363"/>
      <c r="F113" s="367"/>
      <c r="G113" s="336">
        <f>G107+G110</f>
        <v>0</v>
      </c>
      <c r="H113" s="67" t="s">
        <v>21</v>
      </c>
      <c r="I113" s="68"/>
      <c r="J113" s="68"/>
      <c r="K113" s="68"/>
      <c r="L113" s="68"/>
      <c r="M113" s="69"/>
      <c r="N113" s="66"/>
    </row>
    <row r="114" spans="1:15" ht="13.5" thickBot="1">
      <c r="A114" s="342"/>
      <c r="B114" s="345"/>
      <c r="C114" s="345"/>
      <c r="D114" s="348"/>
      <c r="E114" s="363"/>
      <c r="F114" s="367"/>
      <c r="G114" s="339"/>
      <c r="H114" s="67" t="s">
        <v>23</v>
      </c>
      <c r="I114" s="72">
        <f aca="true" t="shared" si="3" ref="I114:L115">I106+I108+I110+I112</f>
        <v>1268466</v>
      </c>
      <c r="J114" s="72">
        <f t="shared" si="3"/>
        <v>1768042</v>
      </c>
      <c r="K114" s="72">
        <f t="shared" si="3"/>
        <v>1319059</v>
      </c>
      <c r="L114" s="72">
        <f t="shared" si="3"/>
        <v>2587525</v>
      </c>
      <c r="M114" s="73">
        <f>K114/J114</f>
        <v>0.7460563719640144</v>
      </c>
      <c r="N114" s="66"/>
      <c r="O114" s="66"/>
    </row>
    <row r="115" spans="1:14" ht="13.5" thickBot="1">
      <c r="A115" s="343"/>
      <c r="B115" s="345"/>
      <c r="C115" s="345"/>
      <c r="D115" s="349"/>
      <c r="E115" s="363"/>
      <c r="F115" s="368"/>
      <c r="G115" s="340"/>
      <c r="H115" s="74" t="s">
        <v>24</v>
      </c>
      <c r="I115" s="75">
        <f t="shared" si="3"/>
        <v>10184275</v>
      </c>
      <c r="J115" s="75">
        <f t="shared" si="3"/>
        <v>21399542</v>
      </c>
      <c r="K115" s="75">
        <f t="shared" si="3"/>
        <v>18966672</v>
      </c>
      <c r="L115" s="75">
        <f t="shared" si="3"/>
        <v>29150947</v>
      </c>
      <c r="M115" s="76">
        <f>K115/J115</f>
        <v>0.8863120528467385</v>
      </c>
      <c r="N115" s="66"/>
    </row>
    <row r="116" spans="1:14" ht="12.75">
      <c r="A116" s="341">
        <f>A106+1</f>
        <v>12</v>
      </c>
      <c r="B116" s="344">
        <v>710</v>
      </c>
      <c r="C116" s="344">
        <v>71095</v>
      </c>
      <c r="D116" s="385" t="s">
        <v>104</v>
      </c>
      <c r="E116" s="331" t="s">
        <v>103</v>
      </c>
      <c r="F116" s="359">
        <v>2008</v>
      </c>
      <c r="G116" s="70" t="s">
        <v>15</v>
      </c>
      <c r="H116" s="77" t="s">
        <v>16</v>
      </c>
      <c r="I116" s="78">
        <v>773633</v>
      </c>
      <c r="J116" s="64">
        <v>1344358</v>
      </c>
      <c r="K116" s="64">
        <v>722583</v>
      </c>
      <c r="L116" s="78">
        <f>I116+K116</f>
        <v>1496216</v>
      </c>
      <c r="M116" s="79">
        <f>K116/J116</f>
        <v>0.5374929892186456</v>
      </c>
      <c r="N116" s="66"/>
    </row>
    <row r="117" spans="1:14" ht="12.75">
      <c r="A117" s="342"/>
      <c r="B117" s="345"/>
      <c r="C117" s="345"/>
      <c r="D117" s="361"/>
      <c r="E117" s="332"/>
      <c r="F117" s="335"/>
      <c r="G117" s="336"/>
      <c r="H117" s="67" t="s">
        <v>17</v>
      </c>
      <c r="I117" s="68">
        <v>2433692</v>
      </c>
      <c r="J117" s="68">
        <f>3043605+1350000</f>
        <v>4393605</v>
      </c>
      <c r="K117" s="68">
        <v>3128520</v>
      </c>
      <c r="L117" s="68">
        <f>I117+K117</f>
        <v>5562212</v>
      </c>
      <c r="M117" s="69">
        <f>K117/J117</f>
        <v>0.7120621903880754</v>
      </c>
      <c r="N117" s="66"/>
    </row>
    <row r="118" spans="1:14" ht="12.75">
      <c r="A118" s="342"/>
      <c r="B118" s="345"/>
      <c r="C118" s="345"/>
      <c r="D118" s="361"/>
      <c r="E118" s="332"/>
      <c r="F118" s="335"/>
      <c r="G118" s="337"/>
      <c r="H118" s="67" t="s">
        <v>85</v>
      </c>
      <c r="I118" s="68"/>
      <c r="J118" s="68"/>
      <c r="K118" s="68"/>
      <c r="L118" s="68"/>
      <c r="M118" s="69"/>
      <c r="N118" s="66"/>
    </row>
    <row r="119" spans="1:14" ht="12.75">
      <c r="A119" s="342"/>
      <c r="B119" s="345"/>
      <c r="C119" s="345"/>
      <c r="D119" s="361"/>
      <c r="E119" s="332"/>
      <c r="F119" s="335"/>
      <c r="G119" s="71" t="s">
        <v>18</v>
      </c>
      <c r="H119" s="67" t="s">
        <v>86</v>
      </c>
      <c r="I119" s="68"/>
      <c r="J119" s="68"/>
      <c r="K119" s="68"/>
      <c r="L119" s="68"/>
      <c r="M119" s="69"/>
      <c r="N119" s="66"/>
    </row>
    <row r="120" spans="1:15" ht="12.75">
      <c r="A120" s="342"/>
      <c r="B120" s="345"/>
      <c r="C120" s="345"/>
      <c r="D120" s="361"/>
      <c r="E120" s="332"/>
      <c r="F120" s="335"/>
      <c r="G120" s="336"/>
      <c r="H120" s="67" t="s">
        <v>87</v>
      </c>
      <c r="I120" s="68"/>
      <c r="J120" s="68"/>
      <c r="K120" s="68"/>
      <c r="L120" s="68"/>
      <c r="M120" s="69"/>
      <c r="N120" s="66"/>
      <c r="O120" s="66"/>
    </row>
    <row r="121" spans="1:14" ht="12.75">
      <c r="A121" s="342"/>
      <c r="B121" s="345"/>
      <c r="C121" s="345"/>
      <c r="D121" s="361"/>
      <c r="E121" s="332"/>
      <c r="F121" s="335">
        <v>2012</v>
      </c>
      <c r="G121" s="337"/>
      <c r="H121" s="67" t="s">
        <v>88</v>
      </c>
      <c r="I121" s="68">
        <v>3710137</v>
      </c>
      <c r="J121" s="68">
        <v>9130816</v>
      </c>
      <c r="K121" s="68">
        <v>7675415</v>
      </c>
      <c r="L121" s="68">
        <f>I121+K121</f>
        <v>11385552</v>
      </c>
      <c r="M121" s="69">
        <f>K121/J121</f>
        <v>0.8406055931912328</v>
      </c>
      <c r="N121" s="66"/>
    </row>
    <row r="122" spans="1:14" ht="12.75">
      <c r="A122" s="342"/>
      <c r="B122" s="345"/>
      <c r="C122" s="345"/>
      <c r="D122" s="361"/>
      <c r="E122" s="332"/>
      <c r="F122" s="335"/>
      <c r="G122" s="71" t="s">
        <v>22</v>
      </c>
      <c r="H122" s="67" t="s">
        <v>19</v>
      </c>
      <c r="I122" s="68"/>
      <c r="J122" s="68"/>
      <c r="K122" s="68"/>
      <c r="L122" s="68"/>
      <c r="M122" s="69"/>
      <c r="N122" s="66"/>
    </row>
    <row r="123" spans="1:14" ht="12.75">
      <c r="A123" s="342"/>
      <c r="B123" s="345"/>
      <c r="C123" s="345"/>
      <c r="D123" s="361"/>
      <c r="E123" s="332"/>
      <c r="F123" s="335"/>
      <c r="G123" s="336">
        <f>G117+G120</f>
        <v>0</v>
      </c>
      <c r="H123" s="67" t="s">
        <v>21</v>
      </c>
      <c r="I123" s="68"/>
      <c r="J123" s="68"/>
      <c r="K123" s="68"/>
      <c r="L123" s="68"/>
      <c r="M123" s="69"/>
      <c r="N123" s="66"/>
    </row>
    <row r="124" spans="1:15" ht="12.75">
      <c r="A124" s="342"/>
      <c r="B124" s="345"/>
      <c r="C124" s="345"/>
      <c r="D124" s="361"/>
      <c r="E124" s="332"/>
      <c r="F124" s="335"/>
      <c r="G124" s="339"/>
      <c r="H124" s="67" t="s">
        <v>23</v>
      </c>
      <c r="I124" s="72">
        <f aca="true" t="shared" si="4" ref="I124:L125">I116+I118+I120+I122</f>
        <v>773633</v>
      </c>
      <c r="J124" s="72">
        <f t="shared" si="4"/>
        <v>1344358</v>
      </c>
      <c r="K124" s="72">
        <f t="shared" si="4"/>
        <v>722583</v>
      </c>
      <c r="L124" s="72">
        <f t="shared" si="4"/>
        <v>1496216</v>
      </c>
      <c r="M124" s="73">
        <f>K124/J124</f>
        <v>0.5374929892186456</v>
      </c>
      <c r="N124" s="66"/>
      <c r="O124" s="66"/>
    </row>
    <row r="125" spans="1:15" ht="13.5" thickBot="1">
      <c r="A125" s="343"/>
      <c r="B125" s="345"/>
      <c r="C125" s="345"/>
      <c r="D125" s="362"/>
      <c r="E125" s="333"/>
      <c r="F125" s="338"/>
      <c r="G125" s="340"/>
      <c r="H125" s="74" t="s">
        <v>24</v>
      </c>
      <c r="I125" s="75">
        <f t="shared" si="4"/>
        <v>6143829</v>
      </c>
      <c r="J125" s="75">
        <f t="shared" si="4"/>
        <v>13524421</v>
      </c>
      <c r="K125" s="75">
        <f t="shared" si="4"/>
        <v>10803935</v>
      </c>
      <c r="L125" s="75">
        <f t="shared" si="4"/>
        <v>16947764</v>
      </c>
      <c r="M125" s="76">
        <f>K125/J125</f>
        <v>0.7988463979345216</v>
      </c>
      <c r="N125" s="66"/>
      <c r="O125" s="66"/>
    </row>
    <row r="126" spans="1:14" ht="12.75">
      <c r="A126" s="341">
        <f>A116+1</f>
        <v>13</v>
      </c>
      <c r="B126" s="344">
        <v>710</v>
      </c>
      <c r="C126" s="344">
        <v>71095</v>
      </c>
      <c r="D126" s="392" t="s">
        <v>105</v>
      </c>
      <c r="E126" s="382" t="s">
        <v>103</v>
      </c>
      <c r="F126" s="359">
        <v>2009</v>
      </c>
      <c r="G126" s="70" t="s">
        <v>15</v>
      </c>
      <c r="H126" s="77" t="s">
        <v>16</v>
      </c>
      <c r="I126" s="78">
        <v>48278</v>
      </c>
      <c r="J126" s="78">
        <f>24873+3245+5712</f>
        <v>33830</v>
      </c>
      <c r="K126" s="78">
        <v>28993</v>
      </c>
      <c r="L126" s="78">
        <f>I126+K126</f>
        <v>77271</v>
      </c>
      <c r="M126" s="79">
        <f>K126/J126</f>
        <v>0.8570203960981377</v>
      </c>
      <c r="N126" s="66"/>
    </row>
    <row r="127" spans="1:14" ht="12.75">
      <c r="A127" s="342"/>
      <c r="B127" s="345"/>
      <c r="C127" s="345"/>
      <c r="D127" s="387"/>
      <c r="E127" s="332"/>
      <c r="F127" s="335"/>
      <c r="G127" s="336"/>
      <c r="H127" s="67" t="s">
        <v>17</v>
      </c>
      <c r="I127" s="68"/>
      <c r="J127" s="68"/>
      <c r="K127" s="68"/>
      <c r="L127" s="68"/>
      <c r="M127" s="69"/>
      <c r="N127" s="66"/>
    </row>
    <row r="128" spans="1:14" ht="12.75">
      <c r="A128" s="342"/>
      <c r="B128" s="345"/>
      <c r="C128" s="345"/>
      <c r="D128" s="387"/>
      <c r="E128" s="332"/>
      <c r="F128" s="335"/>
      <c r="G128" s="337"/>
      <c r="H128" s="67" t="s">
        <v>85</v>
      </c>
      <c r="I128" s="68"/>
      <c r="J128" s="68"/>
      <c r="K128" s="68"/>
      <c r="L128" s="68"/>
      <c r="M128" s="69"/>
      <c r="N128" s="66"/>
    </row>
    <row r="129" spans="1:14" ht="12.75">
      <c r="A129" s="342"/>
      <c r="B129" s="345"/>
      <c r="C129" s="345"/>
      <c r="D129" s="387"/>
      <c r="E129" s="332"/>
      <c r="F129" s="335"/>
      <c r="G129" s="71" t="s">
        <v>18</v>
      </c>
      <c r="H129" s="67" t="s">
        <v>86</v>
      </c>
      <c r="I129" s="68"/>
      <c r="J129" s="68"/>
      <c r="K129" s="68"/>
      <c r="L129" s="68"/>
      <c r="M129" s="69"/>
      <c r="N129" s="66"/>
    </row>
    <row r="130" spans="1:14" ht="12.75">
      <c r="A130" s="342"/>
      <c r="B130" s="345"/>
      <c r="C130" s="345"/>
      <c r="D130" s="387"/>
      <c r="E130" s="332"/>
      <c r="F130" s="335"/>
      <c r="G130" s="336">
        <f>SUM(I135:M135)</f>
        <v>0</v>
      </c>
      <c r="H130" s="67" t="s">
        <v>87</v>
      </c>
      <c r="I130" s="68">
        <v>131007</v>
      </c>
      <c r="J130" s="68">
        <f>74130+11942</f>
        <v>86072</v>
      </c>
      <c r="K130" s="68">
        <v>73110</v>
      </c>
      <c r="L130" s="68">
        <f>I130+K130</f>
        <v>204117</v>
      </c>
      <c r="M130" s="69">
        <f>K130/J130</f>
        <v>0.8494051491774328</v>
      </c>
      <c r="N130" s="66"/>
    </row>
    <row r="131" spans="1:14" ht="12.75">
      <c r="A131" s="342"/>
      <c r="B131" s="345"/>
      <c r="C131" s="345"/>
      <c r="D131" s="387"/>
      <c r="E131" s="332"/>
      <c r="F131" s="335">
        <v>2011</v>
      </c>
      <c r="G131" s="337"/>
      <c r="H131" s="67" t="s">
        <v>88</v>
      </c>
      <c r="I131" s="68"/>
      <c r="J131" s="68"/>
      <c r="K131" s="68"/>
      <c r="L131" s="68"/>
      <c r="M131" s="69"/>
      <c r="N131" s="66"/>
    </row>
    <row r="132" spans="1:14" ht="12.75">
      <c r="A132" s="342"/>
      <c r="B132" s="345"/>
      <c r="C132" s="345"/>
      <c r="D132" s="387"/>
      <c r="E132" s="332"/>
      <c r="F132" s="335"/>
      <c r="G132" s="71" t="s">
        <v>22</v>
      </c>
      <c r="H132" s="67" t="s">
        <v>19</v>
      </c>
      <c r="I132" s="68"/>
      <c r="J132" s="68"/>
      <c r="K132" s="68"/>
      <c r="L132" s="68"/>
      <c r="M132" s="69"/>
      <c r="N132" s="66"/>
    </row>
    <row r="133" spans="1:14" ht="12.75">
      <c r="A133" s="342"/>
      <c r="B133" s="345"/>
      <c r="C133" s="345"/>
      <c r="D133" s="387"/>
      <c r="E133" s="332"/>
      <c r="F133" s="335"/>
      <c r="G133" s="336">
        <f>G127+G130</f>
        <v>0</v>
      </c>
      <c r="H133" s="67" t="s">
        <v>21</v>
      </c>
      <c r="I133" s="68"/>
      <c r="J133" s="68"/>
      <c r="K133" s="68"/>
      <c r="L133" s="68"/>
      <c r="M133" s="69"/>
      <c r="N133" s="66"/>
    </row>
    <row r="134" spans="1:14" ht="12.75">
      <c r="A134" s="342"/>
      <c r="B134" s="345"/>
      <c r="C134" s="345"/>
      <c r="D134" s="387"/>
      <c r="E134" s="332"/>
      <c r="F134" s="335"/>
      <c r="G134" s="339"/>
      <c r="H134" s="67" t="s">
        <v>23</v>
      </c>
      <c r="I134" s="72">
        <f>I126+I128+I130+I132</f>
        <v>179285</v>
      </c>
      <c r="J134" s="72">
        <f>J126+J128+J130+J132</f>
        <v>119902</v>
      </c>
      <c r="K134" s="72">
        <f>K126+K128+K130+K132</f>
        <v>102103</v>
      </c>
      <c r="L134" s="72">
        <f>L126+L128+L130+L132</f>
        <v>281388</v>
      </c>
      <c r="M134" s="73">
        <f>K134/J134</f>
        <v>0.8515537689112775</v>
      </c>
      <c r="N134" s="66"/>
    </row>
    <row r="135" spans="1:14" ht="13.5" thickBot="1">
      <c r="A135" s="343"/>
      <c r="B135" s="345"/>
      <c r="C135" s="345"/>
      <c r="D135" s="388"/>
      <c r="E135" s="383"/>
      <c r="F135" s="366"/>
      <c r="G135" s="340"/>
      <c r="H135" s="80" t="s">
        <v>24</v>
      </c>
      <c r="I135" s="75"/>
      <c r="J135" s="75">
        <f>J127+J129+J131+J133</f>
        <v>0</v>
      </c>
      <c r="K135" s="93"/>
      <c r="L135" s="93"/>
      <c r="M135" s="81"/>
      <c r="N135" s="66"/>
    </row>
    <row r="136" spans="1:14" ht="12.75" customHeight="1">
      <c r="A136" s="341">
        <f>A126+1</f>
        <v>14</v>
      </c>
      <c r="B136" s="344">
        <v>710</v>
      </c>
      <c r="C136" s="344">
        <v>71095</v>
      </c>
      <c r="D136" s="386" t="s">
        <v>106</v>
      </c>
      <c r="E136" s="331" t="s">
        <v>103</v>
      </c>
      <c r="F136" s="334">
        <v>2009</v>
      </c>
      <c r="G136" s="62" t="s">
        <v>15</v>
      </c>
      <c r="H136" s="63" t="s">
        <v>16</v>
      </c>
      <c r="I136" s="64">
        <v>33484</v>
      </c>
      <c r="J136" s="64">
        <f>40046+36869+69655</f>
        <v>146570</v>
      </c>
      <c r="K136" s="64">
        <v>54788</v>
      </c>
      <c r="L136" s="64">
        <f>I136+K136</f>
        <v>88272</v>
      </c>
      <c r="M136" s="65">
        <f>K136/J136</f>
        <v>0.3738009142389302</v>
      </c>
      <c r="N136" s="66"/>
    </row>
    <row r="137" spans="1:14" ht="12.75">
      <c r="A137" s="342"/>
      <c r="B137" s="345"/>
      <c r="C137" s="345"/>
      <c r="D137" s="387"/>
      <c r="E137" s="332"/>
      <c r="F137" s="335"/>
      <c r="G137" s="336"/>
      <c r="H137" s="67" t="s">
        <v>17</v>
      </c>
      <c r="I137" s="68"/>
      <c r="J137" s="68"/>
      <c r="K137" s="68"/>
      <c r="L137" s="68"/>
      <c r="M137" s="69"/>
      <c r="N137" s="66"/>
    </row>
    <row r="138" spans="1:14" ht="12.75">
      <c r="A138" s="342"/>
      <c r="B138" s="345"/>
      <c r="C138" s="345"/>
      <c r="D138" s="387"/>
      <c r="E138" s="332"/>
      <c r="F138" s="335"/>
      <c r="G138" s="337"/>
      <c r="H138" s="67" t="s">
        <v>85</v>
      </c>
      <c r="I138" s="68"/>
      <c r="J138" s="68"/>
      <c r="K138" s="68"/>
      <c r="L138" s="68"/>
      <c r="M138" s="69"/>
      <c r="N138" s="66"/>
    </row>
    <row r="139" spans="1:14" ht="12.75">
      <c r="A139" s="342"/>
      <c r="B139" s="345"/>
      <c r="C139" s="345"/>
      <c r="D139" s="387"/>
      <c r="E139" s="332"/>
      <c r="F139" s="335"/>
      <c r="G139" s="71" t="s">
        <v>18</v>
      </c>
      <c r="H139" s="67" t="s">
        <v>86</v>
      </c>
      <c r="I139" s="68"/>
      <c r="J139" s="68"/>
      <c r="K139" s="68"/>
      <c r="L139" s="68"/>
      <c r="M139" s="69"/>
      <c r="N139" s="66"/>
    </row>
    <row r="140" spans="1:14" ht="12.75">
      <c r="A140" s="342"/>
      <c r="B140" s="345"/>
      <c r="C140" s="345"/>
      <c r="D140" s="387"/>
      <c r="E140" s="332"/>
      <c r="F140" s="335"/>
      <c r="G140" s="336">
        <f>SUM(I145:M145)</f>
        <v>0</v>
      </c>
      <c r="H140" s="67" t="s">
        <v>87</v>
      </c>
      <c r="I140" s="68">
        <v>159246</v>
      </c>
      <c r="J140" s="68">
        <f>226936+145487</f>
        <v>372423</v>
      </c>
      <c r="K140" s="68">
        <v>220933</v>
      </c>
      <c r="L140" s="68">
        <f>I140+K140</f>
        <v>380179</v>
      </c>
      <c r="M140" s="69">
        <f>K140/J140</f>
        <v>0.5932313525211923</v>
      </c>
      <c r="N140" s="66"/>
    </row>
    <row r="141" spans="1:14" ht="12.75">
      <c r="A141" s="342"/>
      <c r="B141" s="345"/>
      <c r="C141" s="345"/>
      <c r="D141" s="387"/>
      <c r="E141" s="332"/>
      <c r="F141" s="335">
        <v>2011</v>
      </c>
      <c r="G141" s="337"/>
      <c r="H141" s="67" t="s">
        <v>88</v>
      </c>
      <c r="I141" s="68"/>
      <c r="J141" s="68"/>
      <c r="K141" s="68"/>
      <c r="L141" s="68"/>
      <c r="M141" s="69"/>
      <c r="N141" s="66"/>
    </row>
    <row r="142" spans="1:14" ht="12.75">
      <c r="A142" s="342"/>
      <c r="B142" s="345"/>
      <c r="C142" s="345"/>
      <c r="D142" s="387"/>
      <c r="E142" s="332"/>
      <c r="F142" s="335"/>
      <c r="G142" s="71" t="s">
        <v>22</v>
      </c>
      <c r="H142" s="67" t="s">
        <v>19</v>
      </c>
      <c r="I142" s="68"/>
      <c r="J142" s="68"/>
      <c r="K142" s="68"/>
      <c r="L142" s="68"/>
      <c r="M142" s="69"/>
      <c r="N142" s="66"/>
    </row>
    <row r="143" spans="1:14" ht="12.75">
      <c r="A143" s="342"/>
      <c r="B143" s="345"/>
      <c r="C143" s="345"/>
      <c r="D143" s="387"/>
      <c r="E143" s="332"/>
      <c r="F143" s="335"/>
      <c r="G143" s="336">
        <f>G137+G140</f>
        <v>0</v>
      </c>
      <c r="H143" s="67" t="s">
        <v>21</v>
      </c>
      <c r="I143" s="68"/>
      <c r="J143" s="68"/>
      <c r="K143" s="68"/>
      <c r="L143" s="68"/>
      <c r="M143" s="69"/>
      <c r="N143" s="66"/>
    </row>
    <row r="144" spans="1:14" ht="12.75">
      <c r="A144" s="342"/>
      <c r="B144" s="345"/>
      <c r="C144" s="345"/>
      <c r="D144" s="387"/>
      <c r="E144" s="332"/>
      <c r="F144" s="335"/>
      <c r="G144" s="339"/>
      <c r="H144" s="67" t="s">
        <v>23</v>
      </c>
      <c r="I144" s="72">
        <f>I136+I138+I140+I142</f>
        <v>192730</v>
      </c>
      <c r="J144" s="72">
        <f>J136+J138+J140+J142</f>
        <v>518993</v>
      </c>
      <c r="K144" s="72">
        <f>K136+K138+K140+K142</f>
        <v>275721</v>
      </c>
      <c r="L144" s="72">
        <f>L136+L138+L140+L142</f>
        <v>468451</v>
      </c>
      <c r="M144" s="73">
        <f>K144/J144</f>
        <v>0.5312615006368101</v>
      </c>
      <c r="N144" s="66"/>
    </row>
    <row r="145" spans="1:14" ht="13.5" thickBot="1">
      <c r="A145" s="343"/>
      <c r="B145" s="345"/>
      <c r="C145" s="345"/>
      <c r="D145" s="388"/>
      <c r="E145" s="333"/>
      <c r="F145" s="338"/>
      <c r="G145" s="340"/>
      <c r="H145" s="74" t="s">
        <v>24</v>
      </c>
      <c r="I145" s="75"/>
      <c r="J145" s="75">
        <f>J137+J139+J141+J143</f>
        <v>0</v>
      </c>
      <c r="K145" s="75"/>
      <c r="L145" s="75"/>
      <c r="M145" s="76"/>
      <c r="N145" s="66"/>
    </row>
    <row r="146" spans="1:14" ht="12.75" customHeight="1">
      <c r="A146" s="341">
        <f>A136+1</f>
        <v>15</v>
      </c>
      <c r="B146" s="344">
        <v>710</v>
      </c>
      <c r="C146" s="344">
        <v>71095</v>
      </c>
      <c r="D146" s="347" t="s">
        <v>107</v>
      </c>
      <c r="E146" s="331" t="s">
        <v>103</v>
      </c>
      <c r="F146" s="334">
        <v>2009</v>
      </c>
      <c r="G146" s="62" t="s">
        <v>15</v>
      </c>
      <c r="H146" s="63" t="s">
        <v>16</v>
      </c>
      <c r="I146" s="64">
        <v>190068</v>
      </c>
      <c r="J146" s="64">
        <f>48495+47463+93145</f>
        <v>189103</v>
      </c>
      <c r="K146" s="64">
        <v>79389</v>
      </c>
      <c r="L146" s="64">
        <f>I146+K146</f>
        <v>269457</v>
      </c>
      <c r="M146" s="65">
        <f>K146/J146</f>
        <v>0.419818828892191</v>
      </c>
      <c r="N146" s="66"/>
    </row>
    <row r="147" spans="1:14" ht="12.75">
      <c r="A147" s="342"/>
      <c r="B147" s="345"/>
      <c r="C147" s="345"/>
      <c r="D147" s="348"/>
      <c r="E147" s="332"/>
      <c r="F147" s="335"/>
      <c r="G147" s="336"/>
      <c r="H147" s="67" t="s">
        <v>17</v>
      </c>
      <c r="I147" s="68"/>
      <c r="J147" s="68"/>
      <c r="K147" s="68"/>
      <c r="L147" s="68"/>
      <c r="M147" s="69"/>
      <c r="N147" s="66"/>
    </row>
    <row r="148" spans="1:14" ht="12.75">
      <c r="A148" s="342"/>
      <c r="B148" s="345"/>
      <c r="C148" s="345"/>
      <c r="D148" s="348"/>
      <c r="E148" s="332"/>
      <c r="F148" s="335"/>
      <c r="G148" s="337"/>
      <c r="H148" s="67" t="s">
        <v>85</v>
      </c>
      <c r="I148" s="68"/>
      <c r="J148" s="68"/>
      <c r="K148" s="68"/>
      <c r="L148" s="68"/>
      <c r="M148" s="69"/>
      <c r="N148" s="66"/>
    </row>
    <row r="149" spans="1:14" ht="12.75">
      <c r="A149" s="342"/>
      <c r="B149" s="345"/>
      <c r="C149" s="345"/>
      <c r="D149" s="348"/>
      <c r="E149" s="332"/>
      <c r="F149" s="335"/>
      <c r="G149" s="71" t="s">
        <v>18</v>
      </c>
      <c r="H149" s="67" t="s">
        <v>86</v>
      </c>
      <c r="I149" s="68"/>
      <c r="J149" s="68"/>
      <c r="K149" s="68"/>
      <c r="L149" s="68"/>
      <c r="M149" s="69"/>
      <c r="N149" s="66"/>
    </row>
    <row r="150" spans="1:14" ht="12.75">
      <c r="A150" s="342"/>
      <c r="B150" s="345"/>
      <c r="C150" s="345"/>
      <c r="D150" s="348"/>
      <c r="E150" s="332"/>
      <c r="F150" s="335"/>
      <c r="G150" s="336">
        <f>SUM(I155:M155)</f>
        <v>0</v>
      </c>
      <c r="H150" s="67" t="s">
        <v>87</v>
      </c>
      <c r="I150" s="68">
        <v>423682</v>
      </c>
      <c r="J150" s="68">
        <f>145418+64548</f>
        <v>209966</v>
      </c>
      <c r="K150" s="68">
        <v>168721</v>
      </c>
      <c r="L150" s="68">
        <f>I150+K150</f>
        <v>592403</v>
      </c>
      <c r="M150" s="69">
        <f>K150/J150</f>
        <v>0.8035634340798034</v>
      </c>
      <c r="N150" s="66"/>
    </row>
    <row r="151" spans="1:14" ht="12.75">
      <c r="A151" s="342"/>
      <c r="B151" s="345"/>
      <c r="C151" s="345"/>
      <c r="D151" s="348"/>
      <c r="E151" s="332"/>
      <c r="F151" s="335">
        <v>2011</v>
      </c>
      <c r="G151" s="337"/>
      <c r="H151" s="67" t="s">
        <v>88</v>
      </c>
      <c r="I151" s="68"/>
      <c r="J151" s="68"/>
      <c r="K151" s="68"/>
      <c r="L151" s="68"/>
      <c r="M151" s="69"/>
      <c r="N151" s="66"/>
    </row>
    <row r="152" spans="1:14" ht="12.75">
      <c r="A152" s="342"/>
      <c r="B152" s="345"/>
      <c r="C152" s="345"/>
      <c r="D152" s="348"/>
      <c r="E152" s="332"/>
      <c r="F152" s="335"/>
      <c r="G152" s="71" t="s">
        <v>22</v>
      </c>
      <c r="H152" s="67" t="s">
        <v>19</v>
      </c>
      <c r="I152" s="68"/>
      <c r="J152" s="68"/>
      <c r="K152" s="68"/>
      <c r="L152" s="68"/>
      <c r="M152" s="69"/>
      <c r="N152" s="66"/>
    </row>
    <row r="153" spans="1:14" ht="12.75">
      <c r="A153" s="342"/>
      <c r="B153" s="345"/>
      <c r="C153" s="345"/>
      <c r="D153" s="348"/>
      <c r="E153" s="332"/>
      <c r="F153" s="335"/>
      <c r="G153" s="336">
        <f>G147+G150</f>
        <v>0</v>
      </c>
      <c r="H153" s="67" t="s">
        <v>21</v>
      </c>
      <c r="I153" s="68"/>
      <c r="J153" s="68"/>
      <c r="K153" s="68"/>
      <c r="L153" s="68"/>
      <c r="M153" s="69"/>
      <c r="N153" s="66"/>
    </row>
    <row r="154" spans="1:14" ht="12.75">
      <c r="A154" s="342"/>
      <c r="B154" s="345"/>
      <c r="C154" s="345"/>
      <c r="D154" s="348"/>
      <c r="E154" s="332"/>
      <c r="F154" s="335"/>
      <c r="G154" s="339"/>
      <c r="H154" s="67" t="s">
        <v>23</v>
      </c>
      <c r="I154" s="72">
        <f>I146+I148+I150+I152</f>
        <v>613750</v>
      </c>
      <c r="J154" s="72">
        <f>J146+J148+J150+J152</f>
        <v>399069</v>
      </c>
      <c r="K154" s="72">
        <f>K146+K148+K150+K152</f>
        <v>248110</v>
      </c>
      <c r="L154" s="72">
        <f>L146+L148+L150+L152</f>
        <v>861860</v>
      </c>
      <c r="M154" s="73">
        <f>K154/J154</f>
        <v>0.621722058090205</v>
      </c>
      <c r="N154" s="66"/>
    </row>
    <row r="155" spans="1:14" ht="13.5" thickBot="1">
      <c r="A155" s="343"/>
      <c r="B155" s="345"/>
      <c r="C155" s="345"/>
      <c r="D155" s="349"/>
      <c r="E155" s="333"/>
      <c r="F155" s="338"/>
      <c r="G155" s="340"/>
      <c r="H155" s="74" t="s">
        <v>24</v>
      </c>
      <c r="I155" s="75"/>
      <c r="J155" s="75">
        <f>J147+J149+J151+J153</f>
        <v>0</v>
      </c>
      <c r="K155" s="75"/>
      <c r="L155" s="75"/>
      <c r="M155" s="76"/>
      <c r="N155" s="66"/>
    </row>
    <row r="156" spans="1:14" ht="12.75" customHeight="1">
      <c r="A156" s="341">
        <f>A146+1</f>
        <v>16</v>
      </c>
      <c r="B156" s="344">
        <v>710</v>
      </c>
      <c r="C156" s="344">
        <v>71095</v>
      </c>
      <c r="D156" s="347" t="s">
        <v>108</v>
      </c>
      <c r="E156" s="331" t="s">
        <v>103</v>
      </c>
      <c r="F156" s="334">
        <v>2009</v>
      </c>
      <c r="G156" s="62" t="s">
        <v>15</v>
      </c>
      <c r="H156" s="63" t="s">
        <v>16</v>
      </c>
      <c r="I156" s="78">
        <v>52373</v>
      </c>
      <c r="J156" s="78">
        <v>295778</v>
      </c>
      <c r="K156" s="64">
        <v>126744</v>
      </c>
      <c r="L156" s="64">
        <f>I156+K156</f>
        <v>179117</v>
      </c>
      <c r="M156" s="65">
        <f>K156/J156</f>
        <v>0.4285105721182779</v>
      </c>
      <c r="N156" s="66"/>
    </row>
    <row r="157" spans="1:14" ht="12.75">
      <c r="A157" s="342"/>
      <c r="B157" s="345"/>
      <c r="C157" s="345"/>
      <c r="D157" s="348"/>
      <c r="E157" s="332"/>
      <c r="F157" s="335"/>
      <c r="G157" s="336"/>
      <c r="H157" s="67" t="s">
        <v>17</v>
      </c>
      <c r="I157" s="68"/>
      <c r="J157" s="68"/>
      <c r="K157" s="68"/>
      <c r="L157" s="68"/>
      <c r="M157" s="69"/>
      <c r="N157" s="66"/>
    </row>
    <row r="158" spans="1:14" ht="12.75">
      <c r="A158" s="342"/>
      <c r="B158" s="345"/>
      <c r="C158" s="345"/>
      <c r="D158" s="348"/>
      <c r="E158" s="332"/>
      <c r="F158" s="335"/>
      <c r="G158" s="337"/>
      <c r="H158" s="67" t="s">
        <v>85</v>
      </c>
      <c r="I158" s="68"/>
      <c r="J158" s="68"/>
      <c r="K158" s="68"/>
      <c r="L158" s="68"/>
      <c r="M158" s="69"/>
      <c r="N158" s="66"/>
    </row>
    <row r="159" spans="1:14" ht="12.75">
      <c r="A159" s="342"/>
      <c r="B159" s="345"/>
      <c r="C159" s="345"/>
      <c r="D159" s="348"/>
      <c r="E159" s="332"/>
      <c r="F159" s="335"/>
      <c r="G159" s="71" t="s">
        <v>18</v>
      </c>
      <c r="H159" s="67" t="s">
        <v>86</v>
      </c>
      <c r="I159" s="68"/>
      <c r="J159" s="68"/>
      <c r="K159" s="68"/>
      <c r="L159" s="68"/>
      <c r="M159" s="69"/>
      <c r="N159" s="66"/>
    </row>
    <row r="160" spans="1:14" ht="12.75">
      <c r="A160" s="342"/>
      <c r="B160" s="345"/>
      <c r="C160" s="345"/>
      <c r="D160" s="348"/>
      <c r="E160" s="332"/>
      <c r="F160" s="335"/>
      <c r="G160" s="336">
        <f>SUM(I165:M165)</f>
        <v>0</v>
      </c>
      <c r="H160" s="67" t="s">
        <v>87</v>
      </c>
      <c r="I160" s="68">
        <v>266361</v>
      </c>
      <c r="J160" s="68">
        <v>670443</v>
      </c>
      <c r="K160" s="68">
        <v>415570</v>
      </c>
      <c r="L160" s="68">
        <f>I160+K160</f>
        <v>681931</v>
      </c>
      <c r="M160" s="69">
        <f>K160/J160</f>
        <v>0.6198438942609588</v>
      </c>
      <c r="N160" s="66"/>
    </row>
    <row r="161" spans="1:14" ht="12.75">
      <c r="A161" s="342"/>
      <c r="B161" s="345"/>
      <c r="C161" s="345"/>
      <c r="D161" s="348"/>
      <c r="E161" s="332"/>
      <c r="F161" s="335">
        <v>2011</v>
      </c>
      <c r="G161" s="337"/>
      <c r="H161" s="67" t="s">
        <v>88</v>
      </c>
      <c r="I161" s="68"/>
      <c r="J161" s="68"/>
      <c r="K161" s="68"/>
      <c r="L161" s="68"/>
      <c r="M161" s="69"/>
      <c r="N161" s="66"/>
    </row>
    <row r="162" spans="1:14" ht="12.75">
      <c r="A162" s="342"/>
      <c r="B162" s="345"/>
      <c r="C162" s="345"/>
      <c r="D162" s="348"/>
      <c r="E162" s="332"/>
      <c r="F162" s="335"/>
      <c r="G162" s="71" t="s">
        <v>22</v>
      </c>
      <c r="H162" s="67" t="s">
        <v>19</v>
      </c>
      <c r="I162" s="68"/>
      <c r="J162" s="68"/>
      <c r="K162" s="68"/>
      <c r="L162" s="68"/>
      <c r="M162" s="69"/>
      <c r="N162" s="66"/>
    </row>
    <row r="163" spans="1:14" ht="12.75">
      <c r="A163" s="342"/>
      <c r="B163" s="345"/>
      <c r="C163" s="345"/>
      <c r="D163" s="348"/>
      <c r="E163" s="332"/>
      <c r="F163" s="335"/>
      <c r="G163" s="336">
        <f>G157+G160</f>
        <v>0</v>
      </c>
      <c r="H163" s="67" t="s">
        <v>21</v>
      </c>
      <c r="I163" s="68"/>
      <c r="J163" s="68"/>
      <c r="K163" s="68"/>
      <c r="L163" s="68"/>
      <c r="M163" s="69"/>
      <c r="N163" s="66"/>
    </row>
    <row r="164" spans="1:14" ht="12.75">
      <c r="A164" s="342"/>
      <c r="B164" s="345"/>
      <c r="C164" s="345"/>
      <c r="D164" s="348"/>
      <c r="E164" s="332"/>
      <c r="F164" s="335"/>
      <c r="G164" s="339"/>
      <c r="H164" s="67" t="s">
        <v>23</v>
      </c>
      <c r="I164" s="72">
        <f>I156+I158+I160+I162</f>
        <v>318734</v>
      </c>
      <c r="J164" s="72">
        <f>J156+J158+J160+J162</f>
        <v>966221</v>
      </c>
      <c r="K164" s="72">
        <f>K156+K158+K160+K162</f>
        <v>542314</v>
      </c>
      <c r="L164" s="72">
        <f>L156+L158+L160+L162</f>
        <v>861048</v>
      </c>
      <c r="M164" s="73">
        <f>K164/J164</f>
        <v>0.5612732490806969</v>
      </c>
      <c r="N164" s="66"/>
    </row>
    <row r="165" spans="1:14" ht="13.5" thickBot="1">
      <c r="A165" s="343"/>
      <c r="B165" s="345"/>
      <c r="C165" s="345"/>
      <c r="D165" s="349"/>
      <c r="E165" s="383"/>
      <c r="F165" s="338"/>
      <c r="G165" s="340"/>
      <c r="H165" s="74" t="s">
        <v>24</v>
      </c>
      <c r="I165" s="75"/>
      <c r="J165" s="75">
        <f>J157+J159+J161+J163</f>
        <v>0</v>
      </c>
      <c r="K165" s="75"/>
      <c r="L165" s="75"/>
      <c r="M165" s="76"/>
      <c r="N165" s="66"/>
    </row>
    <row r="166" spans="1:14" ht="12.75">
      <c r="A166" s="341">
        <f>A156+1</f>
        <v>17</v>
      </c>
      <c r="B166" s="344">
        <v>710</v>
      </c>
      <c r="C166" s="344">
        <v>71095</v>
      </c>
      <c r="D166" s="347" t="s">
        <v>109</v>
      </c>
      <c r="E166" s="331" t="s">
        <v>103</v>
      </c>
      <c r="F166" s="334">
        <v>2011</v>
      </c>
      <c r="G166" s="62" t="s">
        <v>15</v>
      </c>
      <c r="H166" s="63" t="s">
        <v>16</v>
      </c>
      <c r="I166" s="64"/>
      <c r="J166" s="64">
        <f>69615+48167</f>
        <v>117782</v>
      </c>
      <c r="K166" s="64">
        <v>14452</v>
      </c>
      <c r="L166" s="64">
        <f>K166</f>
        <v>14452</v>
      </c>
      <c r="M166" s="65">
        <f>K166/J166</f>
        <v>0.12270126165288414</v>
      </c>
      <c r="N166" s="66"/>
    </row>
    <row r="167" spans="1:14" ht="12.75">
      <c r="A167" s="342"/>
      <c r="B167" s="345"/>
      <c r="C167" s="345"/>
      <c r="D167" s="348"/>
      <c r="E167" s="332"/>
      <c r="F167" s="335"/>
      <c r="G167" s="336"/>
      <c r="H167" s="67" t="s">
        <v>17</v>
      </c>
      <c r="I167" s="68"/>
      <c r="J167" s="68"/>
      <c r="K167" s="68"/>
      <c r="L167" s="68"/>
      <c r="M167" s="69"/>
      <c r="N167" s="66"/>
    </row>
    <row r="168" spans="1:14" ht="12.75">
      <c r="A168" s="342"/>
      <c r="B168" s="345"/>
      <c r="C168" s="345"/>
      <c r="D168" s="348"/>
      <c r="E168" s="332"/>
      <c r="F168" s="335"/>
      <c r="G168" s="337"/>
      <c r="H168" s="67" t="s">
        <v>85</v>
      </c>
      <c r="I168" s="68"/>
      <c r="J168" s="68"/>
      <c r="K168" s="68"/>
      <c r="L168" s="68"/>
      <c r="M168" s="69"/>
      <c r="N168" s="66"/>
    </row>
    <row r="169" spans="1:14" ht="12.75">
      <c r="A169" s="342"/>
      <c r="B169" s="345"/>
      <c r="C169" s="345"/>
      <c r="D169" s="348"/>
      <c r="E169" s="332"/>
      <c r="F169" s="335"/>
      <c r="G169" s="71" t="s">
        <v>18</v>
      </c>
      <c r="H169" s="67" t="s">
        <v>86</v>
      </c>
      <c r="I169" s="68"/>
      <c r="J169" s="68"/>
      <c r="K169" s="68"/>
      <c r="L169" s="68"/>
      <c r="M169" s="69"/>
      <c r="N169" s="66"/>
    </row>
    <row r="170" spans="1:14" ht="12.75">
      <c r="A170" s="342"/>
      <c r="B170" s="345"/>
      <c r="C170" s="345"/>
      <c r="D170" s="348"/>
      <c r="E170" s="332"/>
      <c r="F170" s="335"/>
      <c r="G170" s="336">
        <f>SUM(I175:M175)</f>
        <v>0</v>
      </c>
      <c r="H170" s="67" t="s">
        <v>87</v>
      </c>
      <c r="I170" s="68"/>
      <c r="J170" s="68">
        <v>351653</v>
      </c>
      <c r="K170" s="68">
        <v>74057</v>
      </c>
      <c r="L170" s="68">
        <f>K170</f>
        <v>74057</v>
      </c>
      <c r="M170" s="69">
        <f>K170/J170</f>
        <v>0.21059680992341884</v>
      </c>
      <c r="N170" s="66"/>
    </row>
    <row r="171" spans="1:14" ht="12.75">
      <c r="A171" s="342"/>
      <c r="B171" s="345"/>
      <c r="C171" s="345"/>
      <c r="D171" s="348"/>
      <c r="E171" s="332"/>
      <c r="F171" s="335">
        <v>2014</v>
      </c>
      <c r="G171" s="337"/>
      <c r="H171" s="67" t="s">
        <v>88</v>
      </c>
      <c r="I171" s="68"/>
      <c r="J171" s="68"/>
      <c r="K171" s="68"/>
      <c r="L171" s="68"/>
      <c r="M171" s="69"/>
      <c r="N171" s="66"/>
    </row>
    <row r="172" spans="1:14" ht="12.75">
      <c r="A172" s="342"/>
      <c r="B172" s="345"/>
      <c r="C172" s="345"/>
      <c r="D172" s="348"/>
      <c r="E172" s="332"/>
      <c r="F172" s="335"/>
      <c r="G172" s="71" t="s">
        <v>22</v>
      </c>
      <c r="H172" s="67" t="s">
        <v>19</v>
      </c>
      <c r="I172" s="68"/>
      <c r="J172" s="68"/>
      <c r="K172" s="68"/>
      <c r="L172" s="68"/>
      <c r="M172" s="69"/>
      <c r="N172" s="66"/>
    </row>
    <row r="173" spans="1:14" ht="12.75">
      <c r="A173" s="342"/>
      <c r="B173" s="345"/>
      <c r="C173" s="345"/>
      <c r="D173" s="348"/>
      <c r="E173" s="332"/>
      <c r="F173" s="335"/>
      <c r="G173" s="336">
        <f>G167+G170</f>
        <v>0</v>
      </c>
      <c r="H173" s="67" t="s">
        <v>21</v>
      </c>
      <c r="I173" s="68"/>
      <c r="J173" s="68"/>
      <c r="K173" s="68"/>
      <c r="L173" s="68"/>
      <c r="M173" s="69"/>
      <c r="N173" s="66"/>
    </row>
    <row r="174" spans="1:14" ht="12.75">
      <c r="A174" s="342"/>
      <c r="B174" s="345"/>
      <c r="C174" s="345"/>
      <c r="D174" s="348"/>
      <c r="E174" s="332"/>
      <c r="F174" s="335"/>
      <c r="G174" s="339"/>
      <c r="H174" s="67" t="s">
        <v>23</v>
      </c>
      <c r="I174" s="72"/>
      <c r="J174" s="72">
        <f>J166+J168+J170+J172</f>
        <v>469435</v>
      </c>
      <c r="K174" s="72">
        <f>K166+K168+K170+K172</f>
        <v>88509</v>
      </c>
      <c r="L174" s="72">
        <f>L166+L168+L170+L172</f>
        <v>88509</v>
      </c>
      <c r="M174" s="73">
        <f>K174/J174</f>
        <v>0.18854367484316253</v>
      </c>
      <c r="N174" s="66"/>
    </row>
    <row r="175" spans="1:14" ht="13.5" thickBot="1">
      <c r="A175" s="343"/>
      <c r="B175" s="345"/>
      <c r="C175" s="345"/>
      <c r="D175" s="349"/>
      <c r="E175" s="333"/>
      <c r="F175" s="338"/>
      <c r="G175" s="340"/>
      <c r="H175" s="74" t="s">
        <v>24</v>
      </c>
      <c r="I175" s="75"/>
      <c r="J175" s="75">
        <f>J167+J169+J171+J173</f>
        <v>0</v>
      </c>
      <c r="K175" s="75"/>
      <c r="L175" s="75"/>
      <c r="M175" s="76"/>
      <c r="N175" s="66"/>
    </row>
    <row r="176" spans="1:14" ht="12.75">
      <c r="A176" s="341">
        <f>A166+1</f>
        <v>18</v>
      </c>
      <c r="B176" s="344">
        <v>710</v>
      </c>
      <c r="C176" s="344">
        <v>71095</v>
      </c>
      <c r="D176" s="347" t="s">
        <v>110</v>
      </c>
      <c r="E176" s="331" t="s">
        <v>103</v>
      </c>
      <c r="F176" s="334">
        <v>2011</v>
      </c>
      <c r="G176" s="62" t="s">
        <v>15</v>
      </c>
      <c r="H176" s="63" t="s">
        <v>16</v>
      </c>
      <c r="I176" s="78"/>
      <c r="J176" s="78">
        <f>36790+19639</f>
        <v>56429</v>
      </c>
      <c r="K176" s="64">
        <v>10584</v>
      </c>
      <c r="L176" s="64">
        <f>K176</f>
        <v>10584</v>
      </c>
      <c r="M176" s="65">
        <f>K176/J176</f>
        <v>0.1875631324319056</v>
      </c>
      <c r="N176" s="66"/>
    </row>
    <row r="177" spans="1:14" ht="12.75">
      <c r="A177" s="342"/>
      <c r="B177" s="345"/>
      <c r="C177" s="345"/>
      <c r="D177" s="348"/>
      <c r="E177" s="332"/>
      <c r="F177" s="335"/>
      <c r="G177" s="336"/>
      <c r="H177" s="67" t="s">
        <v>17</v>
      </c>
      <c r="I177" s="68"/>
      <c r="J177" s="68"/>
      <c r="K177" s="68"/>
      <c r="L177" s="68"/>
      <c r="M177" s="69"/>
      <c r="N177" s="66"/>
    </row>
    <row r="178" spans="1:14" ht="12.75">
      <c r="A178" s="342"/>
      <c r="B178" s="345"/>
      <c r="C178" s="345"/>
      <c r="D178" s="348"/>
      <c r="E178" s="332"/>
      <c r="F178" s="335"/>
      <c r="G178" s="337"/>
      <c r="H178" s="67" t="s">
        <v>85</v>
      </c>
      <c r="I178" s="68"/>
      <c r="J178" s="68"/>
      <c r="K178" s="68"/>
      <c r="L178" s="68"/>
      <c r="M178" s="69"/>
      <c r="N178" s="66"/>
    </row>
    <row r="179" spans="1:14" ht="12.75">
      <c r="A179" s="342"/>
      <c r="B179" s="345"/>
      <c r="C179" s="345"/>
      <c r="D179" s="348"/>
      <c r="E179" s="332"/>
      <c r="F179" s="335"/>
      <c r="G179" s="71" t="s">
        <v>18</v>
      </c>
      <c r="H179" s="67" t="s">
        <v>86</v>
      </c>
      <c r="I179" s="68"/>
      <c r="J179" s="68"/>
      <c r="K179" s="68"/>
      <c r="L179" s="68"/>
      <c r="M179" s="69"/>
      <c r="N179" s="66"/>
    </row>
    <row r="180" spans="1:14" ht="12.75">
      <c r="A180" s="342"/>
      <c r="B180" s="345"/>
      <c r="C180" s="345"/>
      <c r="D180" s="348"/>
      <c r="E180" s="332"/>
      <c r="F180" s="335"/>
      <c r="G180" s="336">
        <f>SUM(I185:M185)</f>
        <v>0</v>
      </c>
      <c r="H180" s="67" t="s">
        <v>87</v>
      </c>
      <c r="I180" s="68"/>
      <c r="J180" s="68">
        <v>208478</v>
      </c>
      <c r="K180" s="68">
        <v>52184</v>
      </c>
      <c r="L180" s="68">
        <f>K180</f>
        <v>52184</v>
      </c>
      <c r="M180" s="69">
        <f>K180/J180</f>
        <v>0.2503093851629429</v>
      </c>
      <c r="N180" s="66"/>
    </row>
    <row r="181" spans="1:14" ht="12.75">
      <c r="A181" s="342"/>
      <c r="B181" s="345"/>
      <c r="C181" s="345"/>
      <c r="D181" s="348"/>
      <c r="E181" s="332"/>
      <c r="F181" s="335">
        <v>2014</v>
      </c>
      <c r="G181" s="337"/>
      <c r="H181" s="67" t="s">
        <v>88</v>
      </c>
      <c r="I181" s="68"/>
      <c r="J181" s="68"/>
      <c r="K181" s="68"/>
      <c r="L181" s="68"/>
      <c r="M181" s="69"/>
      <c r="N181" s="66"/>
    </row>
    <row r="182" spans="1:14" ht="12.75">
      <c r="A182" s="342"/>
      <c r="B182" s="345"/>
      <c r="C182" s="345"/>
      <c r="D182" s="348"/>
      <c r="E182" s="332"/>
      <c r="F182" s="335"/>
      <c r="G182" s="71" t="s">
        <v>22</v>
      </c>
      <c r="H182" s="67" t="s">
        <v>19</v>
      </c>
      <c r="I182" s="68"/>
      <c r="J182" s="68"/>
      <c r="K182" s="68"/>
      <c r="L182" s="68"/>
      <c r="M182" s="69"/>
      <c r="N182" s="66"/>
    </row>
    <row r="183" spans="1:14" ht="12.75">
      <c r="A183" s="342"/>
      <c r="B183" s="345"/>
      <c r="C183" s="345"/>
      <c r="D183" s="348"/>
      <c r="E183" s="332"/>
      <c r="F183" s="335"/>
      <c r="G183" s="336">
        <f>G177+G180</f>
        <v>0</v>
      </c>
      <c r="H183" s="67" t="s">
        <v>21</v>
      </c>
      <c r="I183" s="68"/>
      <c r="J183" s="68"/>
      <c r="K183" s="68"/>
      <c r="L183" s="68"/>
      <c r="M183" s="69"/>
      <c r="N183" s="66"/>
    </row>
    <row r="184" spans="1:14" ht="12.75">
      <c r="A184" s="342"/>
      <c r="B184" s="345"/>
      <c r="C184" s="345"/>
      <c r="D184" s="348"/>
      <c r="E184" s="332"/>
      <c r="F184" s="335"/>
      <c r="G184" s="339"/>
      <c r="H184" s="67" t="s">
        <v>23</v>
      </c>
      <c r="I184" s="72"/>
      <c r="J184" s="72">
        <f>J176+J178+J180+J182</f>
        <v>264907</v>
      </c>
      <c r="K184" s="72">
        <f>K176+K178+K180+K182</f>
        <v>62768</v>
      </c>
      <c r="L184" s="72">
        <f>L176+L178+L180+L182</f>
        <v>62768</v>
      </c>
      <c r="M184" s="73">
        <f>K184/J184</f>
        <v>0.23694353112601782</v>
      </c>
      <c r="N184" s="66"/>
    </row>
    <row r="185" spans="1:14" ht="13.5" thickBot="1">
      <c r="A185" s="343"/>
      <c r="B185" s="345"/>
      <c r="C185" s="345"/>
      <c r="D185" s="349"/>
      <c r="E185" s="383"/>
      <c r="F185" s="338"/>
      <c r="G185" s="340"/>
      <c r="H185" s="74" t="s">
        <v>24</v>
      </c>
      <c r="I185" s="75"/>
      <c r="J185" s="75">
        <f>J177+J179+J181+J183</f>
        <v>0</v>
      </c>
      <c r="K185" s="75"/>
      <c r="L185" s="75"/>
      <c r="M185" s="76"/>
      <c r="N185" s="66"/>
    </row>
    <row r="186" spans="1:14" ht="12.75" customHeight="1" thickBot="1">
      <c r="A186" s="341">
        <f>A176+1</f>
        <v>19</v>
      </c>
      <c r="B186" s="376">
        <v>750</v>
      </c>
      <c r="C186" s="376">
        <v>75023</v>
      </c>
      <c r="D186" s="386" t="s">
        <v>111</v>
      </c>
      <c r="E186" s="363" t="s">
        <v>112</v>
      </c>
      <c r="F186" s="334">
        <v>2010</v>
      </c>
      <c r="G186" s="62" t="s">
        <v>15</v>
      </c>
      <c r="H186" s="63" t="s">
        <v>16</v>
      </c>
      <c r="I186" s="64">
        <v>43842</v>
      </c>
      <c r="J186" s="64">
        <v>343270</v>
      </c>
      <c r="K186" s="64">
        <v>247432</v>
      </c>
      <c r="L186" s="64">
        <f>I186+K186</f>
        <v>291274</v>
      </c>
      <c r="M186" s="79">
        <f>K186/J186</f>
        <v>0.7208086928656743</v>
      </c>
      <c r="N186" s="66"/>
    </row>
    <row r="187" spans="1:14" ht="13.5" thickBot="1">
      <c r="A187" s="342"/>
      <c r="B187" s="404"/>
      <c r="C187" s="404"/>
      <c r="D187" s="387"/>
      <c r="E187" s="363"/>
      <c r="F187" s="335"/>
      <c r="G187" s="336"/>
      <c r="H187" s="67" t="s">
        <v>17</v>
      </c>
      <c r="I187" s="68"/>
      <c r="J187" s="68">
        <f>30409+361838+461812+217885</f>
        <v>1071944</v>
      </c>
      <c r="K187" s="68">
        <v>358228</v>
      </c>
      <c r="L187" s="68">
        <f>K187</f>
        <v>358228</v>
      </c>
      <c r="M187" s="69">
        <f aca="true" t="shared" si="5" ref="M187:M195">K187/J187</f>
        <v>0.3341853678923526</v>
      </c>
      <c r="N187" s="66"/>
    </row>
    <row r="188" spans="1:14" ht="13.5" thickBot="1">
      <c r="A188" s="342"/>
      <c r="B188" s="404"/>
      <c r="C188" s="404"/>
      <c r="D188" s="387"/>
      <c r="E188" s="363"/>
      <c r="F188" s="335"/>
      <c r="G188" s="337"/>
      <c r="H188" s="67" t="s">
        <v>85</v>
      </c>
      <c r="I188" s="68"/>
      <c r="J188" s="68"/>
      <c r="K188" s="68"/>
      <c r="L188" s="68"/>
      <c r="M188" s="69"/>
      <c r="N188" s="66"/>
    </row>
    <row r="189" spans="1:14" ht="13.5" thickBot="1">
      <c r="A189" s="342"/>
      <c r="B189" s="404"/>
      <c r="C189" s="404"/>
      <c r="D189" s="387"/>
      <c r="E189" s="363"/>
      <c r="F189" s="335"/>
      <c r="G189" s="71" t="s">
        <v>18</v>
      </c>
      <c r="H189" s="67" t="s">
        <v>86</v>
      </c>
      <c r="I189" s="68"/>
      <c r="J189" s="68"/>
      <c r="K189" s="68"/>
      <c r="L189" s="68"/>
      <c r="M189" s="69"/>
      <c r="N189" s="66"/>
    </row>
    <row r="190" spans="1:14" ht="13.5" thickBot="1">
      <c r="A190" s="342"/>
      <c r="B190" s="404"/>
      <c r="C190" s="404"/>
      <c r="D190" s="387"/>
      <c r="E190" s="363"/>
      <c r="F190" s="335"/>
      <c r="G190" s="336"/>
      <c r="H190" s="67" t="s">
        <v>87</v>
      </c>
      <c r="I190" s="68">
        <v>131525</v>
      </c>
      <c r="J190" s="68">
        <v>1029794</v>
      </c>
      <c r="K190" s="68">
        <v>742296</v>
      </c>
      <c r="L190" s="68">
        <f aca="true" t="shared" si="6" ref="L190:L195">I190+K190</f>
        <v>873821</v>
      </c>
      <c r="M190" s="69">
        <f t="shared" si="5"/>
        <v>0.7208198921337665</v>
      </c>
      <c r="N190" s="66"/>
    </row>
    <row r="191" spans="1:15" ht="13.5" thickBot="1">
      <c r="A191" s="342"/>
      <c r="B191" s="404">
        <v>801</v>
      </c>
      <c r="C191" s="404">
        <v>80195</v>
      </c>
      <c r="D191" s="387"/>
      <c r="E191" s="363"/>
      <c r="F191" s="335">
        <v>2013</v>
      </c>
      <c r="G191" s="337"/>
      <c r="H191" s="67" t="s">
        <v>88</v>
      </c>
      <c r="I191" s="68"/>
      <c r="J191" s="68">
        <f>1085512+91226+1385436+653655</f>
        <v>3215829</v>
      </c>
      <c r="K191" s="68">
        <v>1074684</v>
      </c>
      <c r="L191" s="68">
        <f t="shared" si="6"/>
        <v>1074684</v>
      </c>
      <c r="M191" s="69">
        <f t="shared" si="5"/>
        <v>0.3341856796490112</v>
      </c>
      <c r="N191" s="66"/>
      <c r="O191" s="66"/>
    </row>
    <row r="192" spans="1:14" ht="13.5" thickBot="1">
      <c r="A192" s="342"/>
      <c r="B192" s="404"/>
      <c r="C192" s="404"/>
      <c r="D192" s="387"/>
      <c r="E192" s="363"/>
      <c r="F192" s="335"/>
      <c r="G192" s="71" t="s">
        <v>22</v>
      </c>
      <c r="H192" s="67" t="s">
        <v>19</v>
      </c>
      <c r="I192" s="68"/>
      <c r="J192" s="68"/>
      <c r="K192" s="68"/>
      <c r="L192" s="68">
        <f t="shared" si="6"/>
        <v>0</v>
      </c>
      <c r="M192" s="69"/>
      <c r="N192" s="66"/>
    </row>
    <row r="193" spans="1:14" ht="13.5" thickBot="1">
      <c r="A193" s="342"/>
      <c r="B193" s="404"/>
      <c r="C193" s="404"/>
      <c r="D193" s="387"/>
      <c r="E193" s="363"/>
      <c r="F193" s="335"/>
      <c r="G193" s="336">
        <f>G187+G190</f>
        <v>0</v>
      </c>
      <c r="H193" s="67" t="s">
        <v>21</v>
      </c>
      <c r="I193" s="68"/>
      <c r="J193" s="68"/>
      <c r="K193" s="68"/>
      <c r="L193" s="68">
        <f t="shared" si="6"/>
        <v>0</v>
      </c>
      <c r="M193" s="69"/>
      <c r="N193" s="66"/>
    </row>
    <row r="194" spans="1:14" ht="13.5" thickBot="1">
      <c r="A194" s="342"/>
      <c r="B194" s="404"/>
      <c r="C194" s="404"/>
      <c r="D194" s="387"/>
      <c r="E194" s="363"/>
      <c r="F194" s="335"/>
      <c r="G194" s="339"/>
      <c r="H194" s="67" t="s">
        <v>23</v>
      </c>
      <c r="I194" s="72">
        <f>I186+I190</f>
        <v>175367</v>
      </c>
      <c r="J194" s="72">
        <f>J186+J188+J190+J192</f>
        <v>1373064</v>
      </c>
      <c r="K194" s="72">
        <f>K186+K190</f>
        <v>989728</v>
      </c>
      <c r="L194" s="68">
        <f t="shared" si="6"/>
        <v>1165095</v>
      </c>
      <c r="M194" s="69">
        <f t="shared" si="5"/>
        <v>0.7208170922841178</v>
      </c>
      <c r="N194" s="66"/>
    </row>
    <row r="195" spans="1:14" ht="13.5" thickBot="1">
      <c r="A195" s="343"/>
      <c r="B195" s="378"/>
      <c r="C195" s="378"/>
      <c r="D195" s="388"/>
      <c r="E195" s="363"/>
      <c r="F195" s="338"/>
      <c r="G195" s="340"/>
      <c r="H195" s="74" t="s">
        <v>24</v>
      </c>
      <c r="I195" s="75"/>
      <c r="J195" s="75">
        <f>J187+J189+J191+J193</f>
        <v>4287773</v>
      </c>
      <c r="K195" s="75">
        <f>K187+K191</f>
        <v>1432912</v>
      </c>
      <c r="L195" s="68">
        <f t="shared" si="6"/>
        <v>1432912</v>
      </c>
      <c r="M195" s="94">
        <f t="shared" si="5"/>
        <v>0.334185601709792</v>
      </c>
      <c r="N195" s="66"/>
    </row>
    <row r="196" spans="1:14" ht="12.75" customHeight="1">
      <c r="A196" s="341">
        <f>A186+1</f>
        <v>20</v>
      </c>
      <c r="B196" s="344">
        <v>801</v>
      </c>
      <c r="C196" s="344">
        <v>80101</v>
      </c>
      <c r="D196" s="347" t="s">
        <v>113</v>
      </c>
      <c r="E196" s="331" t="s">
        <v>114</v>
      </c>
      <c r="F196" s="334">
        <v>2009</v>
      </c>
      <c r="G196" s="62" t="s">
        <v>15</v>
      </c>
      <c r="H196" s="63" t="s">
        <v>16</v>
      </c>
      <c r="I196" s="78"/>
      <c r="J196" s="78"/>
      <c r="K196" s="64"/>
      <c r="L196" s="64"/>
      <c r="M196" s="79"/>
      <c r="N196" s="66"/>
    </row>
    <row r="197" spans="1:14" ht="12.75">
      <c r="A197" s="342"/>
      <c r="B197" s="345"/>
      <c r="C197" s="345"/>
      <c r="D197" s="348"/>
      <c r="E197" s="332"/>
      <c r="F197" s="335"/>
      <c r="G197" s="336"/>
      <c r="H197" s="67" t="s">
        <v>17</v>
      </c>
      <c r="I197" s="68"/>
      <c r="J197" s="68"/>
      <c r="K197" s="68"/>
      <c r="L197" s="68"/>
      <c r="M197" s="69"/>
      <c r="N197" s="66"/>
    </row>
    <row r="198" spans="1:14" ht="12.75">
      <c r="A198" s="342"/>
      <c r="B198" s="345"/>
      <c r="C198" s="345"/>
      <c r="D198" s="348"/>
      <c r="E198" s="332"/>
      <c r="F198" s="335"/>
      <c r="G198" s="337"/>
      <c r="H198" s="67" t="s">
        <v>85</v>
      </c>
      <c r="I198" s="68"/>
      <c r="J198" s="68"/>
      <c r="K198" s="68"/>
      <c r="L198" s="68"/>
      <c r="M198" s="69"/>
      <c r="N198" s="66"/>
    </row>
    <row r="199" spans="1:14" ht="12.75">
      <c r="A199" s="342"/>
      <c r="B199" s="345"/>
      <c r="C199" s="345"/>
      <c r="D199" s="348"/>
      <c r="E199" s="332"/>
      <c r="F199" s="335"/>
      <c r="G199" s="71" t="s">
        <v>18</v>
      </c>
      <c r="H199" s="67" t="s">
        <v>86</v>
      </c>
      <c r="I199" s="68"/>
      <c r="J199" s="68"/>
      <c r="K199" s="68"/>
      <c r="L199" s="68"/>
      <c r="M199" s="69"/>
      <c r="N199" s="66"/>
    </row>
    <row r="200" spans="1:14" ht="12.75">
      <c r="A200" s="342"/>
      <c r="B200" s="345"/>
      <c r="C200" s="345"/>
      <c r="D200" s="348"/>
      <c r="E200" s="332"/>
      <c r="F200" s="335"/>
      <c r="G200" s="336">
        <f>SUM(I205:M205)</f>
        <v>0</v>
      </c>
      <c r="H200" s="67" t="s">
        <v>87</v>
      </c>
      <c r="I200" s="68">
        <v>19426</v>
      </c>
      <c r="J200" s="68">
        <f>11959+28411</f>
        <v>40370</v>
      </c>
      <c r="K200" s="68">
        <v>39639</v>
      </c>
      <c r="L200" s="68">
        <f>I200+K200</f>
        <v>59065</v>
      </c>
      <c r="M200" s="69">
        <f>K200/J200</f>
        <v>0.9818924944265544</v>
      </c>
      <c r="N200" s="66"/>
    </row>
    <row r="201" spans="1:14" ht="12.75">
      <c r="A201" s="342"/>
      <c r="B201" s="345"/>
      <c r="C201" s="345"/>
      <c r="D201" s="348"/>
      <c r="E201" s="332"/>
      <c r="F201" s="335">
        <v>2011</v>
      </c>
      <c r="G201" s="337"/>
      <c r="H201" s="67" t="s">
        <v>88</v>
      </c>
      <c r="I201" s="68"/>
      <c r="J201" s="68"/>
      <c r="K201" s="68"/>
      <c r="L201" s="68"/>
      <c r="M201" s="69"/>
      <c r="N201" s="66"/>
    </row>
    <row r="202" spans="1:14" ht="12.75">
      <c r="A202" s="342"/>
      <c r="B202" s="345"/>
      <c r="C202" s="345"/>
      <c r="D202" s="348"/>
      <c r="E202" s="332"/>
      <c r="F202" s="335"/>
      <c r="G202" s="71" t="s">
        <v>22</v>
      </c>
      <c r="H202" s="67" t="s">
        <v>19</v>
      </c>
      <c r="I202" s="68"/>
      <c r="J202" s="68"/>
      <c r="K202" s="68"/>
      <c r="L202" s="68"/>
      <c r="M202" s="69"/>
      <c r="N202" s="66"/>
    </row>
    <row r="203" spans="1:14" ht="12.75">
      <c r="A203" s="342"/>
      <c r="B203" s="345"/>
      <c r="C203" s="345"/>
      <c r="D203" s="348"/>
      <c r="E203" s="332"/>
      <c r="F203" s="335"/>
      <c r="G203" s="336">
        <f>G197+G200</f>
        <v>0</v>
      </c>
      <c r="H203" s="67" t="s">
        <v>21</v>
      </c>
      <c r="I203" s="68"/>
      <c r="J203" s="68"/>
      <c r="K203" s="68"/>
      <c r="L203" s="68"/>
      <c r="M203" s="69"/>
      <c r="N203" s="66"/>
    </row>
    <row r="204" spans="1:14" ht="12.75">
      <c r="A204" s="342"/>
      <c r="B204" s="345"/>
      <c r="C204" s="345"/>
      <c r="D204" s="348"/>
      <c r="E204" s="332"/>
      <c r="F204" s="335"/>
      <c r="G204" s="339"/>
      <c r="H204" s="67" t="s">
        <v>23</v>
      </c>
      <c r="I204" s="72">
        <f>I196+I198+I200+I202</f>
        <v>19426</v>
      </c>
      <c r="J204" s="72">
        <f>J196+J198+J200+J202</f>
        <v>40370</v>
      </c>
      <c r="K204" s="72">
        <f>K196+K198+K200+K202</f>
        <v>39639</v>
      </c>
      <c r="L204" s="72">
        <f>L196+L198+L200+L202</f>
        <v>59065</v>
      </c>
      <c r="M204" s="73">
        <f>K204/J204</f>
        <v>0.9818924944265544</v>
      </c>
      <c r="N204" s="66"/>
    </row>
    <row r="205" spans="1:14" ht="13.5" thickBot="1">
      <c r="A205" s="343"/>
      <c r="B205" s="345"/>
      <c r="C205" s="346"/>
      <c r="D205" s="349"/>
      <c r="E205" s="333"/>
      <c r="F205" s="338"/>
      <c r="G205" s="340"/>
      <c r="H205" s="74" t="s">
        <v>24</v>
      </c>
      <c r="I205" s="75"/>
      <c r="J205" s="75">
        <f>J197+J199+J201+J203</f>
        <v>0</v>
      </c>
      <c r="K205" s="75"/>
      <c r="L205" s="75"/>
      <c r="M205" s="76"/>
      <c r="N205" s="66"/>
    </row>
    <row r="206" spans="1:14" ht="12.75">
      <c r="A206" s="341">
        <f>A196+1</f>
        <v>21</v>
      </c>
      <c r="B206" s="344">
        <v>801</v>
      </c>
      <c r="C206" s="344">
        <v>80101</v>
      </c>
      <c r="D206" s="347" t="s">
        <v>115</v>
      </c>
      <c r="E206" s="331" t="s">
        <v>114</v>
      </c>
      <c r="F206" s="334">
        <v>2011</v>
      </c>
      <c r="G206" s="62" t="s">
        <v>15</v>
      </c>
      <c r="H206" s="63" t="s">
        <v>16</v>
      </c>
      <c r="I206" s="78"/>
      <c r="J206" s="78"/>
      <c r="K206" s="64"/>
      <c r="L206" s="64"/>
      <c r="M206" s="65"/>
      <c r="N206" s="66"/>
    </row>
    <row r="207" spans="1:14" ht="12.75">
      <c r="A207" s="342"/>
      <c r="B207" s="345"/>
      <c r="C207" s="345"/>
      <c r="D207" s="348"/>
      <c r="E207" s="332"/>
      <c r="F207" s="335"/>
      <c r="G207" s="336"/>
      <c r="H207" s="67" t="s">
        <v>17</v>
      </c>
      <c r="I207" s="68"/>
      <c r="J207" s="68"/>
      <c r="K207" s="68"/>
      <c r="L207" s="68"/>
      <c r="M207" s="69"/>
      <c r="N207" s="66"/>
    </row>
    <row r="208" spans="1:14" ht="12.75">
      <c r="A208" s="342"/>
      <c r="B208" s="345"/>
      <c r="C208" s="345"/>
      <c r="D208" s="348"/>
      <c r="E208" s="332"/>
      <c r="F208" s="335"/>
      <c r="G208" s="337"/>
      <c r="H208" s="67" t="s">
        <v>85</v>
      </c>
      <c r="I208" s="68"/>
      <c r="J208" s="68"/>
      <c r="K208" s="68"/>
      <c r="L208" s="68"/>
      <c r="M208" s="69"/>
      <c r="N208" s="66"/>
    </row>
    <row r="209" spans="1:14" ht="12.75">
      <c r="A209" s="342"/>
      <c r="B209" s="345"/>
      <c r="C209" s="345"/>
      <c r="D209" s="348"/>
      <c r="E209" s="332"/>
      <c r="F209" s="335"/>
      <c r="G209" s="71" t="s">
        <v>18</v>
      </c>
      <c r="H209" s="67" t="s">
        <v>86</v>
      </c>
      <c r="I209" s="68"/>
      <c r="J209" s="68"/>
      <c r="K209" s="68"/>
      <c r="L209" s="68"/>
      <c r="M209" s="69"/>
      <c r="N209" s="66"/>
    </row>
    <row r="210" spans="1:14" ht="12.75">
      <c r="A210" s="342"/>
      <c r="B210" s="345"/>
      <c r="C210" s="345"/>
      <c r="D210" s="348"/>
      <c r="E210" s="332"/>
      <c r="F210" s="335"/>
      <c r="G210" s="336">
        <f>SUM(I215:M215)</f>
        <v>0</v>
      </c>
      <c r="H210" s="67" t="s">
        <v>87</v>
      </c>
      <c r="I210" s="68"/>
      <c r="J210" s="68">
        <v>5200</v>
      </c>
      <c r="K210" s="68">
        <v>3989</v>
      </c>
      <c r="L210" s="68">
        <f>K210</f>
        <v>3989</v>
      </c>
      <c r="M210" s="69">
        <f>K210/J210</f>
        <v>0.7671153846153846</v>
      </c>
      <c r="N210" s="66"/>
    </row>
    <row r="211" spans="1:14" ht="12.75">
      <c r="A211" s="342"/>
      <c r="B211" s="345"/>
      <c r="C211" s="345"/>
      <c r="D211" s="348"/>
      <c r="E211" s="332"/>
      <c r="F211" s="335">
        <v>2011</v>
      </c>
      <c r="G211" s="337"/>
      <c r="H211" s="67" t="s">
        <v>88</v>
      </c>
      <c r="I211" s="68"/>
      <c r="J211" s="68"/>
      <c r="K211" s="68"/>
      <c r="L211" s="68"/>
      <c r="M211" s="69"/>
      <c r="N211" s="66"/>
    </row>
    <row r="212" spans="1:14" ht="12.75">
      <c r="A212" s="342"/>
      <c r="B212" s="345"/>
      <c r="C212" s="345"/>
      <c r="D212" s="348"/>
      <c r="E212" s="332"/>
      <c r="F212" s="335"/>
      <c r="G212" s="71" t="s">
        <v>22</v>
      </c>
      <c r="H212" s="67" t="s">
        <v>19</v>
      </c>
      <c r="I212" s="68"/>
      <c r="J212" s="68"/>
      <c r="K212" s="68"/>
      <c r="L212" s="68"/>
      <c r="M212" s="69"/>
      <c r="N212" s="66"/>
    </row>
    <row r="213" spans="1:14" ht="12.75">
      <c r="A213" s="342"/>
      <c r="B213" s="345"/>
      <c r="C213" s="345"/>
      <c r="D213" s="348"/>
      <c r="E213" s="332"/>
      <c r="F213" s="335"/>
      <c r="G213" s="336">
        <f>G207+G210</f>
        <v>0</v>
      </c>
      <c r="H213" s="67" t="s">
        <v>21</v>
      </c>
      <c r="I213" s="68"/>
      <c r="J213" s="68"/>
      <c r="K213" s="68"/>
      <c r="L213" s="68"/>
      <c r="M213" s="69"/>
      <c r="N213" s="66"/>
    </row>
    <row r="214" spans="1:14" ht="12.75">
      <c r="A214" s="342"/>
      <c r="B214" s="345"/>
      <c r="C214" s="345"/>
      <c r="D214" s="348"/>
      <c r="E214" s="332"/>
      <c r="F214" s="335"/>
      <c r="G214" s="339"/>
      <c r="H214" s="67" t="s">
        <v>23</v>
      </c>
      <c r="I214" s="72"/>
      <c r="J214" s="72">
        <f>J206+J208+J210+J212</f>
        <v>5200</v>
      </c>
      <c r="K214" s="72">
        <f>K206+K208+K210+K212</f>
        <v>3989</v>
      </c>
      <c r="L214" s="72">
        <f>L206+L208+L210+L212</f>
        <v>3989</v>
      </c>
      <c r="M214" s="73">
        <f>K214/J214</f>
        <v>0.7671153846153846</v>
      </c>
      <c r="N214" s="66"/>
    </row>
    <row r="215" spans="1:14" ht="13.5" thickBot="1">
      <c r="A215" s="343"/>
      <c r="B215" s="345"/>
      <c r="C215" s="346"/>
      <c r="D215" s="349"/>
      <c r="E215" s="333"/>
      <c r="F215" s="338"/>
      <c r="G215" s="340"/>
      <c r="H215" s="74" t="s">
        <v>24</v>
      </c>
      <c r="I215" s="75"/>
      <c r="J215" s="75">
        <f>J207+J209+J211+J213</f>
        <v>0</v>
      </c>
      <c r="K215" s="75"/>
      <c r="L215" s="75"/>
      <c r="M215" s="76"/>
      <c r="N215" s="66"/>
    </row>
    <row r="216" spans="1:14" ht="12.75">
      <c r="A216" s="341">
        <f>A206+1</f>
        <v>22</v>
      </c>
      <c r="B216" s="344">
        <v>801</v>
      </c>
      <c r="C216" s="344">
        <v>80101</v>
      </c>
      <c r="D216" s="347" t="s">
        <v>115</v>
      </c>
      <c r="E216" s="331" t="s">
        <v>116</v>
      </c>
      <c r="F216" s="334">
        <v>2009</v>
      </c>
      <c r="G216" s="62" t="s">
        <v>15</v>
      </c>
      <c r="H216" s="63" t="s">
        <v>16</v>
      </c>
      <c r="I216" s="78"/>
      <c r="J216" s="78"/>
      <c r="K216" s="64"/>
      <c r="L216" s="64"/>
      <c r="M216" s="65"/>
      <c r="N216" s="66"/>
    </row>
    <row r="217" spans="1:14" ht="12.75">
      <c r="A217" s="342"/>
      <c r="B217" s="345"/>
      <c r="C217" s="345"/>
      <c r="D217" s="348"/>
      <c r="E217" s="332"/>
      <c r="F217" s="335"/>
      <c r="G217" s="336"/>
      <c r="H217" s="67" t="s">
        <v>17</v>
      </c>
      <c r="I217" s="68"/>
      <c r="J217" s="68"/>
      <c r="K217" s="68"/>
      <c r="L217" s="68"/>
      <c r="M217" s="69"/>
      <c r="N217" s="66"/>
    </row>
    <row r="218" spans="1:14" ht="12.75">
      <c r="A218" s="342"/>
      <c r="B218" s="345"/>
      <c r="C218" s="345"/>
      <c r="D218" s="348"/>
      <c r="E218" s="332"/>
      <c r="F218" s="335"/>
      <c r="G218" s="337"/>
      <c r="H218" s="67" t="s">
        <v>85</v>
      </c>
      <c r="I218" s="68"/>
      <c r="J218" s="68"/>
      <c r="K218" s="68"/>
      <c r="L218" s="68"/>
      <c r="M218" s="69"/>
      <c r="N218" s="66"/>
    </row>
    <row r="219" spans="1:14" ht="12.75">
      <c r="A219" s="342"/>
      <c r="B219" s="345"/>
      <c r="C219" s="345"/>
      <c r="D219" s="348"/>
      <c r="E219" s="332"/>
      <c r="F219" s="335"/>
      <c r="G219" s="71" t="s">
        <v>18</v>
      </c>
      <c r="H219" s="67" t="s">
        <v>86</v>
      </c>
      <c r="I219" s="68"/>
      <c r="J219" s="68"/>
      <c r="K219" s="68"/>
      <c r="L219" s="68"/>
      <c r="M219" s="69"/>
      <c r="N219" s="66"/>
    </row>
    <row r="220" spans="1:14" ht="12.75">
      <c r="A220" s="342"/>
      <c r="B220" s="345"/>
      <c r="C220" s="345"/>
      <c r="D220" s="348"/>
      <c r="E220" s="332"/>
      <c r="F220" s="335"/>
      <c r="G220" s="336">
        <f>SUM(I225:M225)</f>
        <v>0</v>
      </c>
      <c r="H220" s="67" t="s">
        <v>87</v>
      </c>
      <c r="I220" s="68"/>
      <c r="J220" s="68">
        <v>4222</v>
      </c>
      <c r="K220" s="68">
        <v>4074</v>
      </c>
      <c r="L220" s="68">
        <f>K220</f>
        <v>4074</v>
      </c>
      <c r="M220" s="69">
        <f>K220/J220</f>
        <v>0.9649455234486025</v>
      </c>
      <c r="N220" s="66"/>
    </row>
    <row r="221" spans="1:14" ht="12.75">
      <c r="A221" s="342"/>
      <c r="B221" s="345"/>
      <c r="C221" s="345"/>
      <c r="D221" s="348"/>
      <c r="E221" s="332"/>
      <c r="F221" s="335">
        <v>2011</v>
      </c>
      <c r="G221" s="337"/>
      <c r="H221" s="67" t="s">
        <v>88</v>
      </c>
      <c r="I221" s="68"/>
      <c r="J221" s="68"/>
      <c r="K221" s="68"/>
      <c r="L221" s="68"/>
      <c r="M221" s="69"/>
      <c r="N221" s="66"/>
    </row>
    <row r="222" spans="1:14" ht="12.75">
      <c r="A222" s="342"/>
      <c r="B222" s="345"/>
      <c r="C222" s="345"/>
      <c r="D222" s="348"/>
      <c r="E222" s="332"/>
      <c r="F222" s="335"/>
      <c r="G222" s="71" t="s">
        <v>22</v>
      </c>
      <c r="H222" s="67" t="s">
        <v>19</v>
      </c>
      <c r="I222" s="68"/>
      <c r="J222" s="68"/>
      <c r="K222" s="68"/>
      <c r="L222" s="68"/>
      <c r="M222" s="69"/>
      <c r="N222" s="66"/>
    </row>
    <row r="223" spans="1:14" ht="12.75">
      <c r="A223" s="342"/>
      <c r="B223" s="345"/>
      <c r="C223" s="345"/>
      <c r="D223" s="348"/>
      <c r="E223" s="332"/>
      <c r="F223" s="335"/>
      <c r="G223" s="336">
        <f>G217+G220</f>
        <v>0</v>
      </c>
      <c r="H223" s="67" t="s">
        <v>21</v>
      </c>
      <c r="I223" s="68"/>
      <c r="J223" s="68"/>
      <c r="K223" s="68"/>
      <c r="L223" s="68"/>
      <c r="M223" s="69"/>
      <c r="N223" s="66"/>
    </row>
    <row r="224" spans="1:14" ht="12.75">
      <c r="A224" s="342"/>
      <c r="B224" s="345"/>
      <c r="C224" s="345"/>
      <c r="D224" s="348"/>
      <c r="E224" s="332"/>
      <c r="F224" s="335"/>
      <c r="G224" s="339"/>
      <c r="H224" s="67" t="s">
        <v>23</v>
      </c>
      <c r="I224" s="72"/>
      <c r="J224" s="72">
        <f>J216+J218+J220+J222</f>
        <v>4222</v>
      </c>
      <c r="K224" s="72">
        <f>K216+K218+K220+K222</f>
        <v>4074</v>
      </c>
      <c r="L224" s="72">
        <f>L216+L218+L220+L222</f>
        <v>4074</v>
      </c>
      <c r="M224" s="73">
        <f>K224/J224</f>
        <v>0.9649455234486025</v>
      </c>
      <c r="N224" s="66"/>
    </row>
    <row r="225" spans="1:14" ht="13.5" thickBot="1">
      <c r="A225" s="343"/>
      <c r="B225" s="345"/>
      <c r="C225" s="346"/>
      <c r="D225" s="349"/>
      <c r="E225" s="333"/>
      <c r="F225" s="338"/>
      <c r="G225" s="340"/>
      <c r="H225" s="74" t="s">
        <v>24</v>
      </c>
      <c r="I225" s="75"/>
      <c r="J225" s="75">
        <f>J217+J219+J221+J223</f>
        <v>0</v>
      </c>
      <c r="K225" s="75"/>
      <c r="L225" s="75"/>
      <c r="M225" s="76"/>
      <c r="N225" s="66"/>
    </row>
    <row r="226" spans="1:14" ht="12.75" customHeight="1">
      <c r="A226" s="341">
        <f>A216+1</f>
        <v>23</v>
      </c>
      <c r="B226" s="344">
        <v>801</v>
      </c>
      <c r="C226" s="344">
        <v>80110</v>
      </c>
      <c r="D226" s="360" t="s">
        <v>113</v>
      </c>
      <c r="E226" s="331" t="s">
        <v>117</v>
      </c>
      <c r="F226" s="334">
        <v>2010</v>
      </c>
      <c r="G226" s="95" t="s">
        <v>15</v>
      </c>
      <c r="H226" s="63" t="s">
        <v>16</v>
      </c>
      <c r="I226" s="64"/>
      <c r="J226" s="64"/>
      <c r="K226" s="64"/>
      <c r="L226" s="64"/>
      <c r="M226" s="65"/>
      <c r="N226" s="66"/>
    </row>
    <row r="227" spans="1:14" ht="12.75">
      <c r="A227" s="342"/>
      <c r="B227" s="345"/>
      <c r="C227" s="345"/>
      <c r="D227" s="361"/>
      <c r="E227" s="332"/>
      <c r="F227" s="335"/>
      <c r="G227" s="393"/>
      <c r="H227" s="67" t="s">
        <v>17</v>
      </c>
      <c r="I227" s="68"/>
      <c r="J227" s="68"/>
      <c r="K227" s="68"/>
      <c r="L227" s="68"/>
      <c r="M227" s="69"/>
      <c r="N227" s="66"/>
    </row>
    <row r="228" spans="1:14" ht="12.75">
      <c r="A228" s="342"/>
      <c r="B228" s="345"/>
      <c r="C228" s="345"/>
      <c r="D228" s="361"/>
      <c r="E228" s="332"/>
      <c r="F228" s="335"/>
      <c r="G228" s="394"/>
      <c r="H228" s="67" t="s">
        <v>85</v>
      </c>
      <c r="I228" s="68"/>
      <c r="J228" s="68"/>
      <c r="K228" s="68"/>
      <c r="L228" s="68"/>
      <c r="M228" s="69"/>
      <c r="N228" s="66"/>
    </row>
    <row r="229" spans="1:14" ht="12.75">
      <c r="A229" s="342"/>
      <c r="B229" s="345"/>
      <c r="C229" s="345"/>
      <c r="D229" s="361"/>
      <c r="E229" s="332"/>
      <c r="F229" s="335"/>
      <c r="G229" s="97" t="s">
        <v>18</v>
      </c>
      <c r="H229" s="67" t="s">
        <v>86</v>
      </c>
      <c r="I229" s="68"/>
      <c r="J229" s="68"/>
      <c r="K229" s="68"/>
      <c r="L229" s="68"/>
      <c r="M229" s="69"/>
      <c r="N229" s="66"/>
    </row>
    <row r="230" spans="1:14" ht="12.75">
      <c r="A230" s="342"/>
      <c r="B230" s="345"/>
      <c r="C230" s="345"/>
      <c r="D230" s="361"/>
      <c r="E230" s="332"/>
      <c r="F230" s="335"/>
      <c r="G230" s="393">
        <f>SUM(I235:M235)</f>
        <v>0</v>
      </c>
      <c r="H230" s="67" t="s">
        <v>87</v>
      </c>
      <c r="I230" s="68">
        <v>22991</v>
      </c>
      <c r="J230" s="87">
        <f>37580+1559+238+644</f>
        <v>40021</v>
      </c>
      <c r="K230" s="68">
        <v>30964</v>
      </c>
      <c r="L230" s="98">
        <f>I230+K230</f>
        <v>53955</v>
      </c>
      <c r="M230" s="69">
        <f>K230/J230</f>
        <v>0.7736938107493566</v>
      </c>
      <c r="N230" s="66"/>
    </row>
    <row r="231" spans="1:14" ht="12.75">
      <c r="A231" s="342"/>
      <c r="B231" s="345"/>
      <c r="C231" s="345"/>
      <c r="D231" s="361"/>
      <c r="E231" s="332"/>
      <c r="F231" s="335">
        <v>2012</v>
      </c>
      <c r="G231" s="394"/>
      <c r="H231" s="67" t="s">
        <v>88</v>
      </c>
      <c r="I231" s="68"/>
      <c r="J231" s="68"/>
      <c r="K231" s="68"/>
      <c r="L231" s="68"/>
      <c r="M231" s="69"/>
      <c r="N231" s="66"/>
    </row>
    <row r="232" spans="1:14" ht="12.75">
      <c r="A232" s="342"/>
      <c r="B232" s="345"/>
      <c r="C232" s="345"/>
      <c r="D232" s="361"/>
      <c r="E232" s="332"/>
      <c r="F232" s="335"/>
      <c r="G232" s="97" t="s">
        <v>22</v>
      </c>
      <c r="H232" s="67" t="s">
        <v>19</v>
      </c>
      <c r="I232" s="68"/>
      <c r="J232" s="68"/>
      <c r="K232" s="68"/>
      <c r="L232" s="68"/>
      <c r="M232" s="69"/>
      <c r="N232" s="66"/>
    </row>
    <row r="233" spans="1:14" ht="12.75">
      <c r="A233" s="342"/>
      <c r="B233" s="345"/>
      <c r="C233" s="345"/>
      <c r="D233" s="361"/>
      <c r="E233" s="332"/>
      <c r="F233" s="335"/>
      <c r="G233" s="393">
        <f>G227+G230</f>
        <v>0</v>
      </c>
      <c r="H233" s="67" t="s">
        <v>21</v>
      </c>
      <c r="I233" s="68"/>
      <c r="J233" s="68"/>
      <c r="K233" s="68"/>
      <c r="L233" s="68"/>
      <c r="M233" s="69"/>
      <c r="N233" s="66"/>
    </row>
    <row r="234" spans="1:14" ht="12.75">
      <c r="A234" s="342"/>
      <c r="B234" s="345"/>
      <c r="C234" s="345"/>
      <c r="D234" s="361"/>
      <c r="E234" s="332"/>
      <c r="F234" s="335"/>
      <c r="G234" s="395"/>
      <c r="H234" s="67" t="s">
        <v>23</v>
      </c>
      <c r="I234" s="72">
        <f>I226+I228+I230+I232</f>
        <v>22991</v>
      </c>
      <c r="J234" s="72">
        <f>J226+J228+J230+J232</f>
        <v>40021</v>
      </c>
      <c r="K234" s="72">
        <f>K226+K228+K230+K232</f>
        <v>30964</v>
      </c>
      <c r="L234" s="72">
        <f>L226+L228+L230+L232</f>
        <v>53955</v>
      </c>
      <c r="M234" s="73">
        <f>K234/J234</f>
        <v>0.7736938107493566</v>
      </c>
      <c r="N234" s="66"/>
    </row>
    <row r="235" spans="1:14" ht="13.5" thickBot="1">
      <c r="A235" s="343"/>
      <c r="B235" s="346"/>
      <c r="C235" s="346"/>
      <c r="D235" s="362"/>
      <c r="E235" s="333"/>
      <c r="F235" s="338"/>
      <c r="G235" s="396"/>
      <c r="H235" s="74" t="s">
        <v>24</v>
      </c>
      <c r="I235" s="75"/>
      <c r="J235" s="75">
        <f>J227+J229+J231+J233</f>
        <v>0</v>
      </c>
      <c r="K235" s="75"/>
      <c r="L235" s="75"/>
      <c r="M235" s="76"/>
      <c r="N235" s="66"/>
    </row>
    <row r="236" spans="1:14" ht="12.75">
      <c r="A236" s="400">
        <f>A226+1</f>
        <v>24</v>
      </c>
      <c r="B236" s="345">
        <v>801</v>
      </c>
      <c r="C236" s="345">
        <v>80110</v>
      </c>
      <c r="D236" s="385" t="s">
        <v>118</v>
      </c>
      <c r="E236" s="382" t="s">
        <v>117</v>
      </c>
      <c r="F236" s="359">
        <v>2011</v>
      </c>
      <c r="G236" s="96" t="s">
        <v>15</v>
      </c>
      <c r="H236" s="77" t="s">
        <v>16</v>
      </c>
      <c r="I236" s="78"/>
      <c r="J236" s="78"/>
      <c r="K236" s="78"/>
      <c r="L236" s="78"/>
      <c r="M236" s="79"/>
      <c r="N236" s="66"/>
    </row>
    <row r="237" spans="1:14" ht="12.75">
      <c r="A237" s="342"/>
      <c r="B237" s="345"/>
      <c r="C237" s="345"/>
      <c r="D237" s="361"/>
      <c r="E237" s="332"/>
      <c r="F237" s="335"/>
      <c r="G237" s="393"/>
      <c r="H237" s="67" t="s">
        <v>17</v>
      </c>
      <c r="I237" s="68"/>
      <c r="J237" s="68"/>
      <c r="K237" s="68"/>
      <c r="L237" s="68"/>
      <c r="M237" s="69"/>
      <c r="N237" s="66"/>
    </row>
    <row r="238" spans="1:14" ht="12.75">
      <c r="A238" s="342"/>
      <c r="B238" s="345"/>
      <c r="C238" s="345"/>
      <c r="D238" s="361"/>
      <c r="E238" s="332"/>
      <c r="F238" s="335"/>
      <c r="G238" s="394"/>
      <c r="H238" s="67" t="s">
        <v>85</v>
      </c>
      <c r="I238" s="68"/>
      <c r="J238" s="68"/>
      <c r="K238" s="68"/>
      <c r="L238" s="68"/>
      <c r="M238" s="69"/>
      <c r="N238" s="66"/>
    </row>
    <row r="239" spans="1:14" ht="12.75">
      <c r="A239" s="342"/>
      <c r="B239" s="345"/>
      <c r="C239" s="345"/>
      <c r="D239" s="361"/>
      <c r="E239" s="332"/>
      <c r="F239" s="335"/>
      <c r="G239" s="97" t="s">
        <v>18</v>
      </c>
      <c r="H239" s="67" t="s">
        <v>86</v>
      </c>
      <c r="I239" s="68"/>
      <c r="J239" s="68"/>
      <c r="K239" s="68"/>
      <c r="L239" s="68"/>
      <c r="M239" s="69"/>
      <c r="N239" s="66"/>
    </row>
    <row r="240" spans="1:14" ht="12.75">
      <c r="A240" s="342"/>
      <c r="B240" s="345"/>
      <c r="C240" s="345"/>
      <c r="D240" s="361"/>
      <c r="E240" s="332"/>
      <c r="F240" s="335"/>
      <c r="G240" s="393">
        <f>SUM(I245:M245)</f>
        <v>0</v>
      </c>
      <c r="H240" s="67" t="s">
        <v>87</v>
      </c>
      <c r="I240" s="68"/>
      <c r="J240" s="87">
        <v>4240</v>
      </c>
      <c r="K240" s="68">
        <v>3936</v>
      </c>
      <c r="L240" s="68">
        <f>K240</f>
        <v>3936</v>
      </c>
      <c r="M240" s="69">
        <f>K240/J240</f>
        <v>0.9283018867924528</v>
      </c>
      <c r="N240" s="66"/>
    </row>
    <row r="241" spans="1:14" ht="12.75">
      <c r="A241" s="342"/>
      <c r="B241" s="345"/>
      <c r="C241" s="345"/>
      <c r="D241" s="361"/>
      <c r="E241" s="332"/>
      <c r="F241" s="335">
        <v>2011</v>
      </c>
      <c r="G241" s="394"/>
      <c r="H241" s="67" t="s">
        <v>88</v>
      </c>
      <c r="I241" s="68"/>
      <c r="J241" s="68"/>
      <c r="K241" s="68"/>
      <c r="L241" s="68"/>
      <c r="M241" s="69"/>
      <c r="N241" s="66"/>
    </row>
    <row r="242" spans="1:14" ht="12.75">
      <c r="A242" s="342"/>
      <c r="B242" s="345"/>
      <c r="C242" s="345"/>
      <c r="D242" s="361"/>
      <c r="E242" s="332"/>
      <c r="F242" s="335"/>
      <c r="G242" s="97" t="s">
        <v>22</v>
      </c>
      <c r="H242" s="67" t="s">
        <v>19</v>
      </c>
      <c r="I242" s="68"/>
      <c r="J242" s="68"/>
      <c r="K242" s="68"/>
      <c r="L242" s="68"/>
      <c r="M242" s="69"/>
      <c r="N242" s="66"/>
    </row>
    <row r="243" spans="1:14" ht="12.75">
      <c r="A243" s="342"/>
      <c r="B243" s="345"/>
      <c r="C243" s="345"/>
      <c r="D243" s="361"/>
      <c r="E243" s="332"/>
      <c r="F243" s="335"/>
      <c r="G243" s="393">
        <f>G237+G240</f>
        <v>0</v>
      </c>
      <c r="H243" s="67" t="s">
        <v>21</v>
      </c>
      <c r="I243" s="68"/>
      <c r="J243" s="68"/>
      <c r="K243" s="68"/>
      <c r="L243" s="68"/>
      <c r="M243" s="69"/>
      <c r="N243" s="66"/>
    </row>
    <row r="244" spans="1:14" ht="12.75">
      <c r="A244" s="342"/>
      <c r="B244" s="345"/>
      <c r="C244" s="345"/>
      <c r="D244" s="361"/>
      <c r="E244" s="332"/>
      <c r="F244" s="335"/>
      <c r="G244" s="395"/>
      <c r="H244" s="67" t="s">
        <v>23</v>
      </c>
      <c r="I244" s="72"/>
      <c r="J244" s="72">
        <f>J236+J238+J240+J242</f>
        <v>4240</v>
      </c>
      <c r="K244" s="72">
        <f>K236+K238+K240+K242</f>
        <v>3936</v>
      </c>
      <c r="L244" s="72">
        <f>L236+L238+L240+L242</f>
        <v>3936</v>
      </c>
      <c r="M244" s="73">
        <f>K244/J244</f>
        <v>0.9283018867924528</v>
      </c>
      <c r="N244" s="66"/>
    </row>
    <row r="245" spans="1:14" ht="13.5" thickBot="1">
      <c r="A245" s="343"/>
      <c r="B245" s="345"/>
      <c r="C245" s="345"/>
      <c r="D245" s="362"/>
      <c r="E245" s="333"/>
      <c r="F245" s="338"/>
      <c r="G245" s="395"/>
      <c r="H245" s="80" t="s">
        <v>24</v>
      </c>
      <c r="I245" s="93"/>
      <c r="J245" s="93">
        <f>J237+J239+J241+J243</f>
        <v>0</v>
      </c>
      <c r="K245" s="93"/>
      <c r="L245" s="93"/>
      <c r="M245" s="81"/>
      <c r="N245" s="66"/>
    </row>
    <row r="246" spans="1:14" ht="12.75" customHeight="1">
      <c r="A246" s="341">
        <f>A236+1</f>
        <v>25</v>
      </c>
      <c r="B246" s="344">
        <v>801</v>
      </c>
      <c r="C246" s="344">
        <v>80110</v>
      </c>
      <c r="D246" s="397" t="s">
        <v>119</v>
      </c>
      <c r="E246" s="331" t="s">
        <v>120</v>
      </c>
      <c r="F246" s="334">
        <v>2011</v>
      </c>
      <c r="G246" s="95" t="s">
        <v>15</v>
      </c>
      <c r="H246" s="63" t="s">
        <v>16</v>
      </c>
      <c r="I246" s="64"/>
      <c r="J246" s="64"/>
      <c r="K246" s="64"/>
      <c r="L246" s="64"/>
      <c r="M246" s="99"/>
      <c r="N246" s="66"/>
    </row>
    <row r="247" spans="1:14" ht="12.75">
      <c r="A247" s="342"/>
      <c r="B247" s="345"/>
      <c r="C247" s="345"/>
      <c r="D247" s="398"/>
      <c r="E247" s="332"/>
      <c r="F247" s="335"/>
      <c r="G247" s="393"/>
      <c r="H247" s="67" t="s">
        <v>17</v>
      </c>
      <c r="I247" s="68"/>
      <c r="J247" s="68"/>
      <c r="K247" s="68"/>
      <c r="L247" s="68"/>
      <c r="M247" s="100"/>
      <c r="N247" s="66"/>
    </row>
    <row r="248" spans="1:14" ht="12.75">
      <c r="A248" s="342"/>
      <c r="B248" s="345"/>
      <c r="C248" s="345"/>
      <c r="D248" s="398"/>
      <c r="E248" s="332"/>
      <c r="F248" s="335"/>
      <c r="G248" s="394"/>
      <c r="H248" s="67" t="s">
        <v>85</v>
      </c>
      <c r="I248" s="68"/>
      <c r="J248" s="68"/>
      <c r="K248" s="68"/>
      <c r="L248" s="68"/>
      <c r="M248" s="100"/>
      <c r="N248" s="66"/>
    </row>
    <row r="249" spans="1:14" ht="12.75">
      <c r="A249" s="342"/>
      <c r="B249" s="345"/>
      <c r="C249" s="345"/>
      <c r="D249" s="398"/>
      <c r="E249" s="332"/>
      <c r="F249" s="335"/>
      <c r="G249" s="97" t="s">
        <v>18</v>
      </c>
      <c r="H249" s="67" t="s">
        <v>86</v>
      </c>
      <c r="I249" s="68"/>
      <c r="J249" s="68"/>
      <c r="K249" s="68"/>
      <c r="L249" s="68"/>
      <c r="M249" s="100"/>
      <c r="N249" s="66"/>
    </row>
    <row r="250" spans="1:14" ht="12.75">
      <c r="A250" s="342"/>
      <c r="B250" s="345"/>
      <c r="C250" s="345"/>
      <c r="D250" s="398"/>
      <c r="E250" s="332"/>
      <c r="F250" s="335"/>
      <c r="G250" s="393">
        <f>SUM(I255:M255)</f>
        <v>0</v>
      </c>
      <c r="H250" s="67" t="s">
        <v>87</v>
      </c>
      <c r="I250" s="68"/>
      <c r="J250" s="68">
        <v>3157</v>
      </c>
      <c r="K250" s="68">
        <v>2845</v>
      </c>
      <c r="L250" s="68">
        <f>K250</f>
        <v>2845</v>
      </c>
      <c r="M250" s="100">
        <f>K250/J250</f>
        <v>0.9011719987329744</v>
      </c>
      <c r="N250" s="66"/>
    </row>
    <row r="251" spans="1:14" ht="12.75">
      <c r="A251" s="342"/>
      <c r="B251" s="345"/>
      <c r="C251" s="345"/>
      <c r="D251" s="398"/>
      <c r="E251" s="332"/>
      <c r="F251" s="335">
        <v>2011</v>
      </c>
      <c r="G251" s="394"/>
      <c r="H251" s="67" t="s">
        <v>88</v>
      </c>
      <c r="I251" s="68"/>
      <c r="J251" s="68"/>
      <c r="K251" s="68"/>
      <c r="L251" s="68"/>
      <c r="M251" s="100"/>
      <c r="N251" s="66"/>
    </row>
    <row r="252" spans="1:14" ht="12.75">
      <c r="A252" s="342"/>
      <c r="B252" s="345"/>
      <c r="C252" s="345"/>
      <c r="D252" s="398"/>
      <c r="E252" s="332"/>
      <c r="F252" s="335"/>
      <c r="G252" s="97" t="s">
        <v>22</v>
      </c>
      <c r="H252" s="67" t="s">
        <v>19</v>
      </c>
      <c r="I252" s="68"/>
      <c r="J252" s="68"/>
      <c r="K252" s="68"/>
      <c r="L252" s="68"/>
      <c r="M252" s="100"/>
      <c r="N252" s="66"/>
    </row>
    <row r="253" spans="1:14" ht="12.75">
      <c r="A253" s="342"/>
      <c r="B253" s="345"/>
      <c r="C253" s="345"/>
      <c r="D253" s="398"/>
      <c r="E253" s="332"/>
      <c r="F253" s="335"/>
      <c r="G253" s="393">
        <f>G247+G250</f>
        <v>0</v>
      </c>
      <c r="H253" s="67" t="s">
        <v>21</v>
      </c>
      <c r="I253" s="68"/>
      <c r="J253" s="68"/>
      <c r="K253" s="68"/>
      <c r="L253" s="68"/>
      <c r="M253" s="100"/>
      <c r="N253" s="66"/>
    </row>
    <row r="254" spans="1:14" ht="12.75">
      <c r="A254" s="342"/>
      <c r="B254" s="345"/>
      <c r="C254" s="345"/>
      <c r="D254" s="398"/>
      <c r="E254" s="332"/>
      <c r="F254" s="335"/>
      <c r="G254" s="395"/>
      <c r="H254" s="67" t="s">
        <v>23</v>
      </c>
      <c r="I254" s="72"/>
      <c r="J254" s="72">
        <f>J246+J248+J250+J252</f>
        <v>3157</v>
      </c>
      <c r="K254" s="72">
        <f>K246+K248+K250+K252</f>
        <v>2845</v>
      </c>
      <c r="L254" s="72">
        <f>L246+L248+L250+L252</f>
        <v>2845</v>
      </c>
      <c r="M254" s="101">
        <f>K254/J254</f>
        <v>0.9011719987329744</v>
      </c>
      <c r="N254" s="66"/>
    </row>
    <row r="255" spans="1:14" ht="13.5" thickBot="1">
      <c r="A255" s="343"/>
      <c r="B255" s="345"/>
      <c r="C255" s="345"/>
      <c r="D255" s="399"/>
      <c r="E255" s="333"/>
      <c r="F255" s="338"/>
      <c r="G255" s="396"/>
      <c r="H255" s="74" t="s">
        <v>24</v>
      </c>
      <c r="I255" s="75"/>
      <c r="J255" s="75">
        <f>J247+J249+J251+J253</f>
        <v>0</v>
      </c>
      <c r="K255" s="75"/>
      <c r="L255" s="75"/>
      <c r="M255" s="102"/>
      <c r="N255" s="66"/>
    </row>
    <row r="256" spans="1:14" ht="12.75">
      <c r="A256" s="341">
        <f>A246+1</f>
        <v>26</v>
      </c>
      <c r="B256" s="344">
        <v>801</v>
      </c>
      <c r="C256" s="344">
        <v>80110</v>
      </c>
      <c r="D256" s="348" t="s">
        <v>113</v>
      </c>
      <c r="E256" s="382" t="s">
        <v>121</v>
      </c>
      <c r="F256" s="359">
        <v>2010</v>
      </c>
      <c r="G256" s="70" t="s">
        <v>15</v>
      </c>
      <c r="H256" s="77" t="s">
        <v>16</v>
      </c>
      <c r="I256" s="78"/>
      <c r="J256" s="78"/>
      <c r="K256" s="78"/>
      <c r="L256" s="78"/>
      <c r="M256" s="79"/>
      <c r="N256" s="66"/>
    </row>
    <row r="257" spans="1:14" ht="12.75">
      <c r="A257" s="342"/>
      <c r="B257" s="345"/>
      <c r="C257" s="345"/>
      <c r="D257" s="348"/>
      <c r="E257" s="332"/>
      <c r="F257" s="335"/>
      <c r="G257" s="336"/>
      <c r="H257" s="67" t="s">
        <v>17</v>
      </c>
      <c r="I257" s="68"/>
      <c r="J257" s="68"/>
      <c r="K257" s="68"/>
      <c r="L257" s="68"/>
      <c r="M257" s="69"/>
      <c r="N257" s="66"/>
    </row>
    <row r="258" spans="1:14" ht="12.75">
      <c r="A258" s="342"/>
      <c r="B258" s="345"/>
      <c r="C258" s="345"/>
      <c r="D258" s="348"/>
      <c r="E258" s="332"/>
      <c r="F258" s="335"/>
      <c r="G258" s="337"/>
      <c r="H258" s="67" t="s">
        <v>85</v>
      </c>
      <c r="I258" s="68"/>
      <c r="J258" s="68"/>
      <c r="K258" s="68"/>
      <c r="L258" s="68"/>
      <c r="M258" s="69"/>
      <c r="N258" s="66"/>
    </row>
    <row r="259" spans="1:14" ht="12.75">
      <c r="A259" s="342"/>
      <c r="B259" s="345"/>
      <c r="C259" s="345"/>
      <c r="D259" s="348"/>
      <c r="E259" s="332"/>
      <c r="F259" s="335"/>
      <c r="G259" s="71" t="s">
        <v>18</v>
      </c>
      <c r="H259" s="67" t="s">
        <v>86</v>
      </c>
      <c r="I259" s="68"/>
      <c r="J259" s="68"/>
      <c r="K259" s="68"/>
      <c r="L259" s="68"/>
      <c r="M259" s="69"/>
      <c r="N259" s="66"/>
    </row>
    <row r="260" spans="1:14" ht="12.75">
      <c r="A260" s="342"/>
      <c r="B260" s="345"/>
      <c r="C260" s="345"/>
      <c r="D260" s="348"/>
      <c r="E260" s="332"/>
      <c r="F260" s="335"/>
      <c r="G260" s="336">
        <f>SUM(I265:M265)</f>
        <v>0</v>
      </c>
      <c r="H260" s="67" t="s">
        <v>87</v>
      </c>
      <c r="I260" s="68">
        <v>27647</v>
      </c>
      <c r="J260" s="68">
        <v>47969</v>
      </c>
      <c r="K260" s="68">
        <v>47965</v>
      </c>
      <c r="L260" s="68">
        <f>I260+K260</f>
        <v>75612</v>
      </c>
      <c r="M260" s="69">
        <f>K260/J260</f>
        <v>0.9999166128124414</v>
      </c>
      <c r="N260" s="66"/>
    </row>
    <row r="261" spans="1:14" ht="12.75">
      <c r="A261" s="342"/>
      <c r="B261" s="345"/>
      <c r="C261" s="345"/>
      <c r="D261" s="348"/>
      <c r="E261" s="332"/>
      <c r="F261" s="335">
        <v>2012</v>
      </c>
      <c r="G261" s="337"/>
      <c r="H261" s="67" t="s">
        <v>88</v>
      </c>
      <c r="I261" s="68"/>
      <c r="J261" s="68"/>
      <c r="K261" s="68"/>
      <c r="L261" s="68"/>
      <c r="M261" s="69"/>
      <c r="N261" s="66"/>
    </row>
    <row r="262" spans="1:14" ht="12.75">
      <c r="A262" s="342"/>
      <c r="B262" s="345"/>
      <c r="C262" s="345"/>
      <c r="D262" s="348"/>
      <c r="E262" s="332"/>
      <c r="F262" s="335"/>
      <c r="G262" s="71" t="s">
        <v>22</v>
      </c>
      <c r="H262" s="67" t="s">
        <v>19</v>
      </c>
      <c r="I262" s="68"/>
      <c r="J262" s="68"/>
      <c r="K262" s="68"/>
      <c r="L262" s="68"/>
      <c r="M262" s="69"/>
      <c r="N262" s="66"/>
    </row>
    <row r="263" spans="1:14" ht="12.75">
      <c r="A263" s="342"/>
      <c r="B263" s="345"/>
      <c r="C263" s="345"/>
      <c r="D263" s="348"/>
      <c r="E263" s="332"/>
      <c r="F263" s="335"/>
      <c r="G263" s="336">
        <f>G257+G260</f>
        <v>0</v>
      </c>
      <c r="H263" s="67" t="s">
        <v>21</v>
      </c>
      <c r="I263" s="68"/>
      <c r="J263" s="68"/>
      <c r="K263" s="68"/>
      <c r="L263" s="68"/>
      <c r="M263" s="69"/>
      <c r="N263" s="66"/>
    </row>
    <row r="264" spans="1:14" ht="12.75">
      <c r="A264" s="342"/>
      <c r="B264" s="345"/>
      <c r="C264" s="345"/>
      <c r="D264" s="348"/>
      <c r="E264" s="332"/>
      <c r="F264" s="335"/>
      <c r="G264" s="339"/>
      <c r="H264" s="67" t="s">
        <v>23</v>
      </c>
      <c r="I264" s="72">
        <f>I256+I258+I260+I262</f>
        <v>27647</v>
      </c>
      <c r="J264" s="72">
        <f>J256+J258+J260+J262</f>
        <v>47969</v>
      </c>
      <c r="K264" s="72">
        <f>K256+K258+K260+K262</f>
        <v>47965</v>
      </c>
      <c r="L264" s="72">
        <f>L256+L258+L260+L262</f>
        <v>75612</v>
      </c>
      <c r="M264" s="73">
        <f>K264/J264</f>
        <v>0.9999166128124414</v>
      </c>
      <c r="N264" s="66"/>
    </row>
    <row r="265" spans="1:14" ht="13.5" thickBot="1">
      <c r="A265" s="343"/>
      <c r="B265" s="345"/>
      <c r="C265" s="345"/>
      <c r="D265" s="349"/>
      <c r="E265" s="333"/>
      <c r="F265" s="338"/>
      <c r="G265" s="340"/>
      <c r="H265" s="74" t="s">
        <v>24</v>
      </c>
      <c r="I265" s="75"/>
      <c r="J265" s="75">
        <f>J257+J259+J261+J263</f>
        <v>0</v>
      </c>
      <c r="K265" s="75"/>
      <c r="L265" s="75"/>
      <c r="M265" s="76"/>
      <c r="N265" s="66"/>
    </row>
    <row r="266" spans="1:14" ht="12.75" customHeight="1">
      <c r="A266" s="400">
        <f>A256+1</f>
        <v>27</v>
      </c>
      <c r="B266" s="344">
        <v>801</v>
      </c>
      <c r="C266" s="344">
        <v>80110</v>
      </c>
      <c r="D266" s="347" t="s">
        <v>113</v>
      </c>
      <c r="E266" s="331" t="s">
        <v>122</v>
      </c>
      <c r="F266" s="334">
        <v>2009</v>
      </c>
      <c r="G266" s="62" t="s">
        <v>15</v>
      </c>
      <c r="H266" s="63" t="s">
        <v>16</v>
      </c>
      <c r="I266" s="78"/>
      <c r="J266" s="78"/>
      <c r="K266" s="64"/>
      <c r="L266" s="64"/>
      <c r="M266" s="65"/>
      <c r="N266" s="66"/>
    </row>
    <row r="267" spans="1:14" ht="12.75">
      <c r="A267" s="342"/>
      <c r="B267" s="345"/>
      <c r="C267" s="345"/>
      <c r="D267" s="348"/>
      <c r="E267" s="332"/>
      <c r="F267" s="335"/>
      <c r="G267" s="336"/>
      <c r="H267" s="67" t="s">
        <v>17</v>
      </c>
      <c r="I267" s="68"/>
      <c r="J267" s="68"/>
      <c r="K267" s="68"/>
      <c r="L267" s="68"/>
      <c r="M267" s="69"/>
      <c r="N267" s="66"/>
    </row>
    <row r="268" spans="1:14" ht="12.75">
      <c r="A268" s="342"/>
      <c r="B268" s="345"/>
      <c r="C268" s="345"/>
      <c r="D268" s="348"/>
      <c r="E268" s="332"/>
      <c r="F268" s="335"/>
      <c r="G268" s="337"/>
      <c r="H268" s="67" t="s">
        <v>85</v>
      </c>
      <c r="I268" s="68"/>
      <c r="J268" s="68"/>
      <c r="K268" s="68"/>
      <c r="L268" s="68"/>
      <c r="M268" s="69"/>
      <c r="N268" s="66"/>
    </row>
    <row r="269" spans="1:14" ht="12.75">
      <c r="A269" s="342"/>
      <c r="B269" s="345"/>
      <c r="C269" s="345"/>
      <c r="D269" s="348"/>
      <c r="E269" s="332"/>
      <c r="F269" s="335"/>
      <c r="G269" s="71" t="s">
        <v>18</v>
      </c>
      <c r="H269" s="67" t="s">
        <v>86</v>
      </c>
      <c r="I269" s="68"/>
      <c r="J269" s="68"/>
      <c r="K269" s="68"/>
      <c r="L269" s="68"/>
      <c r="M269" s="69"/>
      <c r="N269" s="66"/>
    </row>
    <row r="270" spans="1:14" ht="12.75">
      <c r="A270" s="342"/>
      <c r="B270" s="345"/>
      <c r="C270" s="345"/>
      <c r="D270" s="348"/>
      <c r="E270" s="332"/>
      <c r="F270" s="335"/>
      <c r="G270" s="336">
        <f>SUM(I275:M275)</f>
        <v>0</v>
      </c>
      <c r="H270" s="67" t="s">
        <v>87</v>
      </c>
      <c r="I270" s="98">
        <v>39310</v>
      </c>
      <c r="J270" s="68">
        <f>19135+37229</f>
        <v>56364</v>
      </c>
      <c r="K270" s="68">
        <v>46021</v>
      </c>
      <c r="L270" s="68">
        <f>I270+K270</f>
        <v>85331</v>
      </c>
      <c r="M270" s="69">
        <f>K270/J270</f>
        <v>0.8164963451848698</v>
      </c>
      <c r="N270" s="66"/>
    </row>
    <row r="271" spans="1:14" ht="12.75">
      <c r="A271" s="342"/>
      <c r="B271" s="345"/>
      <c r="C271" s="345"/>
      <c r="D271" s="348"/>
      <c r="E271" s="332"/>
      <c r="F271" s="335">
        <v>2011</v>
      </c>
      <c r="G271" s="337"/>
      <c r="H271" s="67" t="s">
        <v>88</v>
      </c>
      <c r="I271" s="68"/>
      <c r="J271" s="68"/>
      <c r="K271" s="68"/>
      <c r="L271" s="68"/>
      <c r="M271" s="69"/>
      <c r="N271" s="66"/>
    </row>
    <row r="272" spans="1:14" ht="12.75">
      <c r="A272" s="342"/>
      <c r="B272" s="345"/>
      <c r="C272" s="345"/>
      <c r="D272" s="348"/>
      <c r="E272" s="332"/>
      <c r="F272" s="335"/>
      <c r="G272" s="71" t="s">
        <v>22</v>
      </c>
      <c r="H272" s="67" t="s">
        <v>19</v>
      </c>
      <c r="I272" s="68"/>
      <c r="J272" s="68"/>
      <c r="K272" s="68"/>
      <c r="L272" s="68"/>
      <c r="M272" s="69"/>
      <c r="N272" s="66"/>
    </row>
    <row r="273" spans="1:14" ht="12.75">
      <c r="A273" s="342"/>
      <c r="B273" s="345"/>
      <c r="C273" s="345"/>
      <c r="D273" s="348"/>
      <c r="E273" s="332"/>
      <c r="F273" s="335"/>
      <c r="G273" s="336">
        <f>G267+G270</f>
        <v>0</v>
      </c>
      <c r="H273" s="67" t="s">
        <v>21</v>
      </c>
      <c r="I273" s="68"/>
      <c r="J273" s="68"/>
      <c r="K273" s="68"/>
      <c r="L273" s="68"/>
      <c r="M273" s="69"/>
      <c r="N273" s="66"/>
    </row>
    <row r="274" spans="1:14" ht="12.75">
      <c r="A274" s="342"/>
      <c r="B274" s="345"/>
      <c r="C274" s="345"/>
      <c r="D274" s="348"/>
      <c r="E274" s="332"/>
      <c r="F274" s="335"/>
      <c r="G274" s="339"/>
      <c r="H274" s="67" t="s">
        <v>23</v>
      </c>
      <c r="I274" s="72">
        <f>I266+I268+I270+I272</f>
        <v>39310</v>
      </c>
      <c r="J274" s="72">
        <f>J266+J268+J270+J272</f>
        <v>56364</v>
      </c>
      <c r="K274" s="72">
        <f>K266+K268+K270+K272</f>
        <v>46021</v>
      </c>
      <c r="L274" s="72">
        <f>L266+L268+L270+L272</f>
        <v>85331</v>
      </c>
      <c r="M274" s="73">
        <f>K274/J274</f>
        <v>0.8164963451848698</v>
      </c>
      <c r="N274" s="66"/>
    </row>
    <row r="275" spans="1:14" ht="13.5" thickBot="1">
      <c r="A275" s="342"/>
      <c r="B275" s="345"/>
      <c r="C275" s="345"/>
      <c r="D275" s="349"/>
      <c r="E275" s="333"/>
      <c r="F275" s="338"/>
      <c r="G275" s="340"/>
      <c r="H275" s="74" t="s">
        <v>24</v>
      </c>
      <c r="I275" s="75"/>
      <c r="J275" s="75">
        <f>J267+J269+J271+J273</f>
        <v>0</v>
      </c>
      <c r="K275" s="75"/>
      <c r="L275" s="75"/>
      <c r="M275" s="76"/>
      <c r="N275" s="66"/>
    </row>
    <row r="276" spans="1:14" ht="12.75" customHeight="1">
      <c r="A276" s="341">
        <f>A266+1</f>
        <v>28</v>
      </c>
      <c r="B276" s="344">
        <v>801</v>
      </c>
      <c r="C276" s="344">
        <v>80110</v>
      </c>
      <c r="D276" s="347" t="s">
        <v>123</v>
      </c>
      <c r="E276" s="331" t="s">
        <v>117</v>
      </c>
      <c r="F276" s="334">
        <v>2011</v>
      </c>
      <c r="G276" s="62" t="s">
        <v>15</v>
      </c>
      <c r="H276" s="63" t="s">
        <v>16</v>
      </c>
      <c r="I276" s="64"/>
      <c r="J276" s="64"/>
      <c r="K276" s="64"/>
      <c r="L276" s="64"/>
      <c r="M276" s="65"/>
      <c r="N276" s="66"/>
    </row>
    <row r="277" spans="1:14" ht="12.75">
      <c r="A277" s="342"/>
      <c r="B277" s="345"/>
      <c r="C277" s="345"/>
      <c r="D277" s="348"/>
      <c r="E277" s="332"/>
      <c r="F277" s="335"/>
      <c r="G277" s="336"/>
      <c r="H277" s="67" t="s">
        <v>17</v>
      </c>
      <c r="I277" s="68"/>
      <c r="J277" s="68"/>
      <c r="K277" s="68"/>
      <c r="L277" s="68"/>
      <c r="M277" s="69"/>
      <c r="N277" s="66"/>
    </row>
    <row r="278" spans="1:14" ht="12.75">
      <c r="A278" s="342"/>
      <c r="B278" s="345"/>
      <c r="C278" s="345"/>
      <c r="D278" s="348"/>
      <c r="E278" s="332"/>
      <c r="F278" s="335"/>
      <c r="G278" s="337"/>
      <c r="H278" s="67" t="s">
        <v>85</v>
      </c>
      <c r="I278" s="68"/>
      <c r="J278" s="68"/>
      <c r="K278" s="68"/>
      <c r="L278" s="68"/>
      <c r="M278" s="69"/>
      <c r="N278" s="66"/>
    </row>
    <row r="279" spans="1:14" ht="12.75">
      <c r="A279" s="342"/>
      <c r="B279" s="345"/>
      <c r="C279" s="345"/>
      <c r="D279" s="348"/>
      <c r="E279" s="332"/>
      <c r="F279" s="335"/>
      <c r="G279" s="71" t="s">
        <v>18</v>
      </c>
      <c r="H279" s="67" t="s">
        <v>86</v>
      </c>
      <c r="I279" s="68"/>
      <c r="J279" s="68"/>
      <c r="K279" s="68"/>
      <c r="L279" s="68"/>
      <c r="M279" s="69"/>
      <c r="N279" s="66"/>
    </row>
    <row r="280" spans="1:14" ht="12.75">
      <c r="A280" s="342"/>
      <c r="B280" s="345"/>
      <c r="C280" s="345"/>
      <c r="D280" s="348"/>
      <c r="E280" s="332"/>
      <c r="F280" s="335"/>
      <c r="G280" s="336">
        <f>SUM(I285:M285)</f>
        <v>0</v>
      </c>
      <c r="H280" s="67" t="s">
        <v>87</v>
      </c>
      <c r="I280" s="68"/>
      <c r="J280" s="68">
        <v>37149</v>
      </c>
      <c r="K280" s="68">
        <v>33955</v>
      </c>
      <c r="L280" s="68">
        <f>K280</f>
        <v>33955</v>
      </c>
      <c r="M280" s="69">
        <f>K280/J280</f>
        <v>0.9140219117607472</v>
      </c>
      <c r="N280" s="66"/>
    </row>
    <row r="281" spans="1:14" ht="12.75">
      <c r="A281" s="342"/>
      <c r="B281" s="345"/>
      <c r="C281" s="345"/>
      <c r="D281" s="348"/>
      <c r="E281" s="332"/>
      <c r="F281" s="335">
        <v>2011</v>
      </c>
      <c r="G281" s="337"/>
      <c r="H281" s="67" t="s">
        <v>88</v>
      </c>
      <c r="I281" s="68"/>
      <c r="J281" s="68"/>
      <c r="K281" s="68"/>
      <c r="L281" s="68"/>
      <c r="M281" s="69"/>
      <c r="N281" s="66"/>
    </row>
    <row r="282" spans="1:14" ht="12.75">
      <c r="A282" s="342"/>
      <c r="B282" s="345"/>
      <c r="C282" s="345"/>
      <c r="D282" s="348"/>
      <c r="E282" s="332"/>
      <c r="F282" s="335"/>
      <c r="G282" s="71" t="s">
        <v>22</v>
      </c>
      <c r="H282" s="67" t="s">
        <v>19</v>
      </c>
      <c r="I282" s="68"/>
      <c r="J282" s="68"/>
      <c r="K282" s="68"/>
      <c r="L282" s="68"/>
      <c r="M282" s="69"/>
      <c r="N282" s="66"/>
    </row>
    <row r="283" spans="1:14" ht="12.75">
      <c r="A283" s="342"/>
      <c r="B283" s="345"/>
      <c r="C283" s="345"/>
      <c r="D283" s="348"/>
      <c r="E283" s="332"/>
      <c r="F283" s="335"/>
      <c r="G283" s="336">
        <f>G277+G280</f>
        <v>0</v>
      </c>
      <c r="H283" s="67" t="s">
        <v>21</v>
      </c>
      <c r="I283" s="68"/>
      <c r="J283" s="68"/>
      <c r="K283" s="68"/>
      <c r="L283" s="68"/>
      <c r="M283" s="69"/>
      <c r="N283" s="66"/>
    </row>
    <row r="284" spans="1:14" ht="12.75">
      <c r="A284" s="342"/>
      <c r="B284" s="345"/>
      <c r="C284" s="345"/>
      <c r="D284" s="348"/>
      <c r="E284" s="332"/>
      <c r="F284" s="335"/>
      <c r="G284" s="339"/>
      <c r="H284" s="67" t="s">
        <v>23</v>
      </c>
      <c r="I284" s="72"/>
      <c r="J284" s="72">
        <f>J276+J278+J280+J282</f>
        <v>37149</v>
      </c>
      <c r="K284" s="72">
        <f>K276+K278+K280+K282</f>
        <v>33955</v>
      </c>
      <c r="L284" s="72">
        <f>L276+L278+L280+L282</f>
        <v>33955</v>
      </c>
      <c r="M284" s="73">
        <f>K284/J284</f>
        <v>0.9140219117607472</v>
      </c>
      <c r="N284" s="66"/>
    </row>
    <row r="285" spans="1:14" ht="13.5" thickBot="1">
      <c r="A285" s="342"/>
      <c r="B285" s="345"/>
      <c r="C285" s="345"/>
      <c r="D285" s="349"/>
      <c r="E285" s="333"/>
      <c r="F285" s="338"/>
      <c r="G285" s="340"/>
      <c r="H285" s="74" t="s">
        <v>24</v>
      </c>
      <c r="I285" s="75"/>
      <c r="J285" s="75">
        <f>J277+J279+J281+J283</f>
        <v>0</v>
      </c>
      <c r="K285" s="75"/>
      <c r="L285" s="75"/>
      <c r="M285" s="76"/>
      <c r="N285" s="66"/>
    </row>
    <row r="286" spans="1:14" ht="12.75">
      <c r="A286" s="341">
        <f>A276+1</f>
        <v>29</v>
      </c>
      <c r="B286" s="344">
        <v>801</v>
      </c>
      <c r="C286" s="344">
        <v>80110</v>
      </c>
      <c r="D286" s="347" t="s">
        <v>124</v>
      </c>
      <c r="E286" s="331" t="s">
        <v>117</v>
      </c>
      <c r="F286" s="334">
        <v>2011</v>
      </c>
      <c r="G286" s="62" t="s">
        <v>15</v>
      </c>
      <c r="H286" s="63" t="s">
        <v>16</v>
      </c>
      <c r="I286" s="64"/>
      <c r="J286" s="64"/>
      <c r="K286" s="64"/>
      <c r="L286" s="64"/>
      <c r="M286" s="65"/>
      <c r="N286" s="66"/>
    </row>
    <row r="287" spans="1:14" ht="12.75">
      <c r="A287" s="342"/>
      <c r="B287" s="345"/>
      <c r="C287" s="345"/>
      <c r="D287" s="348"/>
      <c r="E287" s="332"/>
      <c r="F287" s="335"/>
      <c r="G287" s="336"/>
      <c r="H287" s="67" t="s">
        <v>17</v>
      </c>
      <c r="I287" s="68"/>
      <c r="J287" s="68"/>
      <c r="K287" s="68"/>
      <c r="L287" s="68"/>
      <c r="M287" s="69"/>
      <c r="N287" s="66"/>
    </row>
    <row r="288" spans="1:14" ht="12.75">
      <c r="A288" s="342"/>
      <c r="B288" s="345"/>
      <c r="C288" s="345"/>
      <c r="D288" s="348"/>
      <c r="E288" s="332"/>
      <c r="F288" s="335"/>
      <c r="G288" s="337"/>
      <c r="H288" s="67" t="s">
        <v>85</v>
      </c>
      <c r="I288" s="68"/>
      <c r="J288" s="68"/>
      <c r="K288" s="68"/>
      <c r="L288" s="68"/>
      <c r="M288" s="69"/>
      <c r="N288" s="66"/>
    </row>
    <row r="289" spans="1:14" ht="12.75">
      <c r="A289" s="342"/>
      <c r="B289" s="345"/>
      <c r="C289" s="345"/>
      <c r="D289" s="348"/>
      <c r="E289" s="332"/>
      <c r="F289" s="335"/>
      <c r="G289" s="71" t="s">
        <v>18</v>
      </c>
      <c r="H289" s="67" t="s">
        <v>86</v>
      </c>
      <c r="I289" s="68"/>
      <c r="J289" s="68"/>
      <c r="K289" s="68"/>
      <c r="L289" s="68"/>
      <c r="M289" s="69"/>
      <c r="N289" s="66"/>
    </row>
    <row r="290" spans="1:14" ht="12.75">
      <c r="A290" s="342"/>
      <c r="B290" s="345"/>
      <c r="C290" s="345"/>
      <c r="D290" s="348"/>
      <c r="E290" s="332"/>
      <c r="F290" s="335"/>
      <c r="G290" s="336">
        <f>SUM(I295:M295)</f>
        <v>0</v>
      </c>
      <c r="H290" s="67" t="s">
        <v>87</v>
      </c>
      <c r="I290" s="68"/>
      <c r="J290" s="68">
        <v>66974</v>
      </c>
      <c r="K290" s="68">
        <v>48499</v>
      </c>
      <c r="L290" s="68">
        <f>K290</f>
        <v>48499</v>
      </c>
      <c r="M290" s="69">
        <f>K290/J290</f>
        <v>0.7241466837877385</v>
      </c>
      <c r="N290" s="66"/>
    </row>
    <row r="291" spans="1:14" ht="12.75">
      <c r="A291" s="342"/>
      <c r="B291" s="345"/>
      <c r="C291" s="345"/>
      <c r="D291" s="348"/>
      <c r="E291" s="332"/>
      <c r="F291" s="335">
        <v>2011</v>
      </c>
      <c r="G291" s="337"/>
      <c r="H291" s="67" t="s">
        <v>88</v>
      </c>
      <c r="I291" s="68"/>
      <c r="J291" s="68"/>
      <c r="K291" s="68"/>
      <c r="L291" s="68"/>
      <c r="M291" s="69"/>
      <c r="N291" s="66"/>
    </row>
    <row r="292" spans="1:14" ht="12.75">
      <c r="A292" s="342"/>
      <c r="B292" s="345"/>
      <c r="C292" s="345"/>
      <c r="D292" s="348"/>
      <c r="E292" s="332"/>
      <c r="F292" s="335"/>
      <c r="G292" s="71" t="s">
        <v>22</v>
      </c>
      <c r="H292" s="67" t="s">
        <v>19</v>
      </c>
      <c r="I292" s="68"/>
      <c r="J292" s="68"/>
      <c r="K292" s="68"/>
      <c r="L292" s="68"/>
      <c r="M292" s="69"/>
      <c r="N292" s="66"/>
    </row>
    <row r="293" spans="1:14" ht="12.75">
      <c r="A293" s="342"/>
      <c r="B293" s="345"/>
      <c r="C293" s="345"/>
      <c r="D293" s="348"/>
      <c r="E293" s="332"/>
      <c r="F293" s="335"/>
      <c r="G293" s="336">
        <f>G287+G290</f>
        <v>0</v>
      </c>
      <c r="H293" s="67" t="s">
        <v>21</v>
      </c>
      <c r="I293" s="68"/>
      <c r="J293" s="68"/>
      <c r="K293" s="68"/>
      <c r="L293" s="68"/>
      <c r="M293" s="69"/>
      <c r="N293" s="66"/>
    </row>
    <row r="294" spans="1:14" ht="12.75">
      <c r="A294" s="342"/>
      <c r="B294" s="345"/>
      <c r="C294" s="345"/>
      <c r="D294" s="348"/>
      <c r="E294" s="332"/>
      <c r="F294" s="335"/>
      <c r="G294" s="339"/>
      <c r="H294" s="67" t="s">
        <v>23</v>
      </c>
      <c r="I294" s="72"/>
      <c r="J294" s="72">
        <f>J286+J288+J290+J292</f>
        <v>66974</v>
      </c>
      <c r="K294" s="72">
        <f>K286+K288+K290+K292</f>
        <v>48499</v>
      </c>
      <c r="L294" s="72">
        <f>L286+L288+L290+L292</f>
        <v>48499</v>
      </c>
      <c r="M294" s="73">
        <f>K294/J294</f>
        <v>0.7241466837877385</v>
      </c>
      <c r="N294" s="66"/>
    </row>
    <row r="295" spans="1:14" ht="13.5" thickBot="1">
      <c r="A295" s="342"/>
      <c r="B295" s="345"/>
      <c r="C295" s="345"/>
      <c r="D295" s="349"/>
      <c r="E295" s="333"/>
      <c r="F295" s="338"/>
      <c r="G295" s="340"/>
      <c r="H295" s="74" t="s">
        <v>24</v>
      </c>
      <c r="I295" s="75"/>
      <c r="J295" s="75">
        <f>J287+J289+J291+J293</f>
        <v>0</v>
      </c>
      <c r="K295" s="75"/>
      <c r="L295" s="75"/>
      <c r="M295" s="76"/>
      <c r="N295" s="66"/>
    </row>
    <row r="296" spans="1:14" ht="12.75">
      <c r="A296" s="341">
        <f>A286+1</f>
        <v>30</v>
      </c>
      <c r="B296" s="344">
        <v>801</v>
      </c>
      <c r="C296" s="344">
        <v>80110</v>
      </c>
      <c r="D296" s="347" t="s">
        <v>125</v>
      </c>
      <c r="E296" s="331" t="s">
        <v>126</v>
      </c>
      <c r="F296" s="334">
        <v>2011</v>
      </c>
      <c r="G296" s="62" t="s">
        <v>15</v>
      </c>
      <c r="H296" s="63" t="s">
        <v>16</v>
      </c>
      <c r="I296" s="78"/>
      <c r="J296" s="78"/>
      <c r="K296" s="64"/>
      <c r="L296" s="64"/>
      <c r="M296" s="65"/>
      <c r="N296" s="66"/>
    </row>
    <row r="297" spans="1:14" ht="12.75">
      <c r="A297" s="342"/>
      <c r="B297" s="345"/>
      <c r="C297" s="345"/>
      <c r="D297" s="348"/>
      <c r="E297" s="332"/>
      <c r="F297" s="335"/>
      <c r="G297" s="336"/>
      <c r="H297" s="67" t="s">
        <v>17</v>
      </c>
      <c r="I297" s="68"/>
      <c r="J297" s="68"/>
      <c r="K297" s="68"/>
      <c r="L297" s="68"/>
      <c r="M297" s="69"/>
      <c r="N297" s="66"/>
    </row>
    <row r="298" spans="1:14" ht="12.75">
      <c r="A298" s="342"/>
      <c r="B298" s="345"/>
      <c r="C298" s="345"/>
      <c r="D298" s="348"/>
      <c r="E298" s="332"/>
      <c r="F298" s="335"/>
      <c r="G298" s="337"/>
      <c r="H298" s="67" t="s">
        <v>85</v>
      </c>
      <c r="I298" s="68"/>
      <c r="J298" s="68"/>
      <c r="K298" s="68"/>
      <c r="L298" s="68"/>
      <c r="M298" s="69"/>
      <c r="N298" s="66"/>
    </row>
    <row r="299" spans="1:14" ht="12.75">
      <c r="A299" s="342"/>
      <c r="B299" s="345"/>
      <c r="C299" s="345"/>
      <c r="D299" s="348"/>
      <c r="E299" s="332"/>
      <c r="F299" s="335"/>
      <c r="G299" s="71" t="s">
        <v>18</v>
      </c>
      <c r="H299" s="67" t="s">
        <v>86</v>
      </c>
      <c r="I299" s="68"/>
      <c r="J299" s="68"/>
      <c r="K299" s="68"/>
      <c r="L299" s="68"/>
      <c r="M299" s="69"/>
      <c r="N299" s="66"/>
    </row>
    <row r="300" spans="1:14" ht="12.75">
      <c r="A300" s="342"/>
      <c r="B300" s="345"/>
      <c r="C300" s="345"/>
      <c r="D300" s="348"/>
      <c r="E300" s="332"/>
      <c r="F300" s="335"/>
      <c r="G300" s="336">
        <f>SUM(I305:M305)</f>
        <v>0</v>
      </c>
      <c r="H300" s="67" t="s">
        <v>87</v>
      </c>
      <c r="I300" s="68"/>
      <c r="J300" s="68">
        <f>64206-55666</f>
        <v>8540</v>
      </c>
      <c r="K300" s="68">
        <v>7754</v>
      </c>
      <c r="L300" s="68">
        <f>K300</f>
        <v>7754</v>
      </c>
      <c r="M300" s="69">
        <f>K300/J300</f>
        <v>0.9079625292740047</v>
      </c>
      <c r="N300" s="66"/>
    </row>
    <row r="301" spans="1:14" ht="12.75">
      <c r="A301" s="342"/>
      <c r="B301" s="345"/>
      <c r="C301" s="345"/>
      <c r="D301" s="348"/>
      <c r="E301" s="332"/>
      <c r="F301" s="335">
        <v>2013</v>
      </c>
      <c r="G301" s="337"/>
      <c r="H301" s="67" t="s">
        <v>88</v>
      </c>
      <c r="I301" s="68"/>
      <c r="J301" s="68"/>
      <c r="K301" s="68"/>
      <c r="L301" s="68"/>
      <c r="M301" s="69"/>
      <c r="N301" s="66"/>
    </row>
    <row r="302" spans="1:14" ht="12.75">
      <c r="A302" s="342"/>
      <c r="B302" s="345"/>
      <c r="C302" s="345"/>
      <c r="D302" s="348"/>
      <c r="E302" s="332"/>
      <c r="F302" s="335"/>
      <c r="G302" s="71" t="s">
        <v>22</v>
      </c>
      <c r="H302" s="67" t="s">
        <v>19</v>
      </c>
      <c r="I302" s="68"/>
      <c r="J302" s="68"/>
      <c r="K302" s="68"/>
      <c r="L302" s="68"/>
      <c r="M302" s="69"/>
      <c r="N302" s="66"/>
    </row>
    <row r="303" spans="1:14" ht="12.75">
      <c r="A303" s="342"/>
      <c r="B303" s="345"/>
      <c r="C303" s="345"/>
      <c r="D303" s="348"/>
      <c r="E303" s="332"/>
      <c r="F303" s="335"/>
      <c r="G303" s="336">
        <f>G297+G300</f>
        <v>0</v>
      </c>
      <c r="H303" s="67" t="s">
        <v>21</v>
      </c>
      <c r="I303" s="68"/>
      <c r="J303" s="68"/>
      <c r="K303" s="68"/>
      <c r="L303" s="68"/>
      <c r="M303" s="69"/>
      <c r="N303" s="66"/>
    </row>
    <row r="304" spans="1:14" ht="12.75">
      <c r="A304" s="342"/>
      <c r="B304" s="345"/>
      <c r="C304" s="345"/>
      <c r="D304" s="348"/>
      <c r="E304" s="332"/>
      <c r="F304" s="335"/>
      <c r="G304" s="339"/>
      <c r="H304" s="67" t="s">
        <v>23</v>
      </c>
      <c r="I304" s="72"/>
      <c r="J304" s="72">
        <f>J296+J298+J300+J302</f>
        <v>8540</v>
      </c>
      <c r="K304" s="72">
        <f>K296+K298+K300+K302</f>
        <v>7754</v>
      </c>
      <c r="L304" s="72">
        <f>L296+L298+L300+L302</f>
        <v>7754</v>
      </c>
      <c r="M304" s="73">
        <f>K304/J304</f>
        <v>0.9079625292740047</v>
      </c>
      <c r="N304" s="66"/>
    </row>
    <row r="305" spans="1:14" ht="13.5" thickBot="1">
      <c r="A305" s="342"/>
      <c r="B305" s="345"/>
      <c r="C305" s="345"/>
      <c r="D305" s="349"/>
      <c r="E305" s="333"/>
      <c r="F305" s="338"/>
      <c r="G305" s="340"/>
      <c r="H305" s="74" t="s">
        <v>24</v>
      </c>
      <c r="I305" s="75"/>
      <c r="J305" s="75">
        <f>J297+J299+J301+J303</f>
        <v>0</v>
      </c>
      <c r="K305" s="75"/>
      <c r="L305" s="75"/>
      <c r="M305" s="76"/>
      <c r="N305" s="66"/>
    </row>
    <row r="306" spans="1:14" ht="12.75">
      <c r="A306" s="341">
        <f>A296+1</f>
        <v>31</v>
      </c>
      <c r="B306" s="344">
        <v>801</v>
      </c>
      <c r="C306" s="344">
        <v>80110</v>
      </c>
      <c r="D306" s="433" t="s">
        <v>127</v>
      </c>
      <c r="E306" s="331" t="s">
        <v>128</v>
      </c>
      <c r="F306" s="334">
        <v>2011</v>
      </c>
      <c r="G306" s="62" t="s">
        <v>15</v>
      </c>
      <c r="H306" s="63" t="s">
        <v>16</v>
      </c>
      <c r="I306" s="78"/>
      <c r="J306" s="78"/>
      <c r="K306" s="64"/>
      <c r="L306" s="64"/>
      <c r="M306" s="65"/>
      <c r="N306" s="66"/>
    </row>
    <row r="307" spans="1:14" ht="12.75">
      <c r="A307" s="342"/>
      <c r="B307" s="345"/>
      <c r="C307" s="345"/>
      <c r="D307" s="434"/>
      <c r="E307" s="332"/>
      <c r="F307" s="335"/>
      <c r="G307" s="336"/>
      <c r="H307" s="67" t="s">
        <v>17</v>
      </c>
      <c r="I307" s="68"/>
      <c r="J307" s="68"/>
      <c r="K307" s="68"/>
      <c r="L307" s="68"/>
      <c r="M307" s="69"/>
      <c r="N307" s="66"/>
    </row>
    <row r="308" spans="1:14" ht="12.75">
      <c r="A308" s="342"/>
      <c r="B308" s="345"/>
      <c r="C308" s="345"/>
      <c r="D308" s="434"/>
      <c r="E308" s="332"/>
      <c r="F308" s="335"/>
      <c r="G308" s="337"/>
      <c r="H308" s="67" t="s">
        <v>85</v>
      </c>
      <c r="I308" s="68"/>
      <c r="J308" s="68"/>
      <c r="K308" s="68"/>
      <c r="L308" s="68"/>
      <c r="M308" s="69"/>
      <c r="N308" s="66"/>
    </row>
    <row r="309" spans="1:14" ht="12.75">
      <c r="A309" s="342"/>
      <c r="B309" s="345"/>
      <c r="C309" s="345"/>
      <c r="D309" s="434"/>
      <c r="E309" s="332"/>
      <c r="F309" s="335"/>
      <c r="G309" s="71" t="s">
        <v>18</v>
      </c>
      <c r="H309" s="67" t="s">
        <v>86</v>
      </c>
      <c r="I309" s="68"/>
      <c r="J309" s="68"/>
      <c r="K309" s="68"/>
      <c r="L309" s="68"/>
      <c r="M309" s="69"/>
      <c r="N309" s="66"/>
    </row>
    <row r="310" spans="1:14" ht="12.75">
      <c r="A310" s="342"/>
      <c r="B310" s="345"/>
      <c r="C310" s="345"/>
      <c r="D310" s="434"/>
      <c r="E310" s="332"/>
      <c r="F310" s="335"/>
      <c r="G310" s="336">
        <f>SUM(I315:M315)</f>
        <v>0</v>
      </c>
      <c r="H310" s="67" t="s">
        <v>87</v>
      </c>
      <c r="I310" s="68"/>
      <c r="J310" s="68">
        <v>4286</v>
      </c>
      <c r="K310" s="68">
        <v>3505</v>
      </c>
      <c r="L310" s="68">
        <f>K310</f>
        <v>3505</v>
      </c>
      <c r="M310" s="69">
        <f>K310/J310</f>
        <v>0.8177788147456836</v>
      </c>
      <c r="N310" s="66"/>
    </row>
    <row r="311" spans="1:14" ht="12.75">
      <c r="A311" s="342"/>
      <c r="B311" s="345"/>
      <c r="C311" s="345"/>
      <c r="D311" s="434"/>
      <c r="E311" s="332"/>
      <c r="F311" s="335">
        <v>2011</v>
      </c>
      <c r="G311" s="337"/>
      <c r="H311" s="67" t="s">
        <v>88</v>
      </c>
      <c r="I311" s="68"/>
      <c r="J311" s="68"/>
      <c r="K311" s="68"/>
      <c r="L311" s="68"/>
      <c r="M311" s="69"/>
      <c r="N311" s="66"/>
    </row>
    <row r="312" spans="1:14" ht="12.75">
      <c r="A312" s="342"/>
      <c r="B312" s="345"/>
      <c r="C312" s="345"/>
      <c r="D312" s="434"/>
      <c r="E312" s="332"/>
      <c r="F312" s="335"/>
      <c r="G312" s="71" t="s">
        <v>22</v>
      </c>
      <c r="H312" s="67" t="s">
        <v>19</v>
      </c>
      <c r="I312" s="68"/>
      <c r="J312" s="68"/>
      <c r="K312" s="68"/>
      <c r="L312" s="68"/>
      <c r="M312" s="69"/>
      <c r="N312" s="66"/>
    </row>
    <row r="313" spans="1:14" ht="12.75">
      <c r="A313" s="342"/>
      <c r="B313" s="345"/>
      <c r="C313" s="345"/>
      <c r="D313" s="434"/>
      <c r="E313" s="332"/>
      <c r="F313" s="335"/>
      <c r="G313" s="336">
        <f>G307+G310</f>
        <v>0</v>
      </c>
      <c r="H313" s="67" t="s">
        <v>21</v>
      </c>
      <c r="I313" s="68"/>
      <c r="J313" s="68"/>
      <c r="K313" s="68"/>
      <c r="L313" s="68"/>
      <c r="M313" s="69"/>
      <c r="N313" s="66"/>
    </row>
    <row r="314" spans="1:14" ht="12.75">
      <c r="A314" s="342"/>
      <c r="B314" s="345"/>
      <c r="C314" s="345"/>
      <c r="D314" s="434"/>
      <c r="E314" s="332"/>
      <c r="F314" s="335"/>
      <c r="G314" s="339"/>
      <c r="H314" s="67" t="s">
        <v>23</v>
      </c>
      <c r="I314" s="72"/>
      <c r="J314" s="72">
        <f>J306+J308+J310+J312</f>
        <v>4286</v>
      </c>
      <c r="K314" s="72">
        <f>K306+K308+K310+K312</f>
        <v>3505</v>
      </c>
      <c r="L314" s="72">
        <f>L306+L308+L310+L312</f>
        <v>3505</v>
      </c>
      <c r="M314" s="73">
        <f>K314/J314</f>
        <v>0.8177788147456836</v>
      </c>
      <c r="N314" s="66"/>
    </row>
    <row r="315" spans="1:14" ht="13.5" thickBot="1">
      <c r="A315" s="342"/>
      <c r="B315" s="345"/>
      <c r="C315" s="345"/>
      <c r="D315" s="435"/>
      <c r="E315" s="333"/>
      <c r="F315" s="338"/>
      <c r="G315" s="340"/>
      <c r="H315" s="74" t="s">
        <v>24</v>
      </c>
      <c r="I315" s="75"/>
      <c r="J315" s="75">
        <f>J307+J309+J311+J313</f>
        <v>0</v>
      </c>
      <c r="K315" s="75"/>
      <c r="L315" s="75"/>
      <c r="M315" s="76"/>
      <c r="N315" s="66"/>
    </row>
    <row r="316" spans="1:14" ht="12.75" customHeight="1">
      <c r="A316" s="341">
        <f>A296+1</f>
        <v>31</v>
      </c>
      <c r="B316" s="344">
        <v>801</v>
      </c>
      <c r="C316" s="344">
        <v>80130</v>
      </c>
      <c r="D316" s="347" t="s">
        <v>113</v>
      </c>
      <c r="E316" s="331" t="s">
        <v>129</v>
      </c>
      <c r="F316" s="334">
        <v>2010</v>
      </c>
      <c r="G316" s="62" t="s">
        <v>15</v>
      </c>
      <c r="H316" s="63" t="s">
        <v>16</v>
      </c>
      <c r="I316" s="64"/>
      <c r="J316" s="64"/>
      <c r="K316" s="64"/>
      <c r="L316" s="64"/>
      <c r="M316" s="65"/>
      <c r="N316" s="66"/>
    </row>
    <row r="317" spans="1:14" ht="12.75">
      <c r="A317" s="342"/>
      <c r="B317" s="345"/>
      <c r="C317" s="345"/>
      <c r="D317" s="348"/>
      <c r="E317" s="332"/>
      <c r="F317" s="335"/>
      <c r="G317" s="336"/>
      <c r="H317" s="67" t="s">
        <v>17</v>
      </c>
      <c r="I317" s="68"/>
      <c r="J317" s="68"/>
      <c r="K317" s="68"/>
      <c r="L317" s="68"/>
      <c r="M317" s="69"/>
      <c r="N317" s="66"/>
    </row>
    <row r="318" spans="1:14" ht="12.75">
      <c r="A318" s="342"/>
      <c r="B318" s="345"/>
      <c r="C318" s="345"/>
      <c r="D318" s="348"/>
      <c r="E318" s="332"/>
      <c r="F318" s="335"/>
      <c r="G318" s="337"/>
      <c r="H318" s="67" t="s">
        <v>85</v>
      </c>
      <c r="I318" s="68"/>
      <c r="J318" s="68"/>
      <c r="K318" s="68"/>
      <c r="L318" s="68"/>
      <c r="M318" s="69"/>
      <c r="N318" s="66"/>
    </row>
    <row r="319" spans="1:14" ht="12.75">
      <c r="A319" s="342"/>
      <c r="B319" s="345"/>
      <c r="C319" s="345"/>
      <c r="D319" s="348"/>
      <c r="E319" s="332"/>
      <c r="F319" s="335"/>
      <c r="G319" s="71" t="s">
        <v>18</v>
      </c>
      <c r="H319" s="67" t="s">
        <v>86</v>
      </c>
      <c r="I319" s="68"/>
      <c r="J319" s="68"/>
      <c r="K319" s="68"/>
      <c r="L319" s="68"/>
      <c r="M319" s="69"/>
      <c r="N319" s="66"/>
    </row>
    <row r="320" spans="1:14" ht="12.75">
      <c r="A320" s="342"/>
      <c r="B320" s="345"/>
      <c r="C320" s="345"/>
      <c r="D320" s="348"/>
      <c r="E320" s="332"/>
      <c r="F320" s="335"/>
      <c r="G320" s="336">
        <f>SUM(I325:M325)</f>
        <v>0</v>
      </c>
      <c r="H320" s="67" t="s">
        <v>87</v>
      </c>
      <c r="I320" s="68"/>
      <c r="J320" s="68">
        <v>54910</v>
      </c>
      <c r="K320" s="68">
        <v>53669</v>
      </c>
      <c r="L320" s="68">
        <f>K320</f>
        <v>53669</v>
      </c>
      <c r="M320" s="69">
        <f>K320/J320</f>
        <v>0.9773993808049536</v>
      </c>
      <c r="N320" s="66"/>
    </row>
    <row r="321" spans="1:14" ht="12.75">
      <c r="A321" s="342"/>
      <c r="B321" s="345"/>
      <c r="C321" s="345"/>
      <c r="D321" s="348"/>
      <c r="E321" s="332"/>
      <c r="F321" s="335">
        <v>2012</v>
      </c>
      <c r="G321" s="337"/>
      <c r="H321" s="67" t="s">
        <v>88</v>
      </c>
      <c r="I321" s="68"/>
      <c r="J321" s="68"/>
      <c r="K321" s="68"/>
      <c r="L321" s="68"/>
      <c r="M321" s="69"/>
      <c r="N321" s="66"/>
    </row>
    <row r="322" spans="1:14" ht="12.75">
      <c r="A322" s="342"/>
      <c r="B322" s="345"/>
      <c r="C322" s="345"/>
      <c r="D322" s="348"/>
      <c r="E322" s="332"/>
      <c r="F322" s="335"/>
      <c r="G322" s="71" t="s">
        <v>22</v>
      </c>
      <c r="H322" s="67" t="s">
        <v>19</v>
      </c>
      <c r="I322" s="68"/>
      <c r="J322" s="68"/>
      <c r="K322" s="68"/>
      <c r="L322" s="68"/>
      <c r="M322" s="69"/>
      <c r="N322" s="66"/>
    </row>
    <row r="323" spans="1:14" ht="12.75">
      <c r="A323" s="342"/>
      <c r="B323" s="345"/>
      <c r="C323" s="345"/>
      <c r="D323" s="348"/>
      <c r="E323" s="332"/>
      <c r="F323" s="335"/>
      <c r="G323" s="336">
        <f>G317+G320</f>
        <v>0</v>
      </c>
      <c r="H323" s="67" t="s">
        <v>21</v>
      </c>
      <c r="I323" s="68"/>
      <c r="J323" s="68"/>
      <c r="K323" s="68"/>
      <c r="L323" s="68"/>
      <c r="M323" s="69"/>
      <c r="N323" s="66"/>
    </row>
    <row r="324" spans="1:14" ht="12.75">
      <c r="A324" s="342"/>
      <c r="B324" s="345"/>
      <c r="C324" s="345"/>
      <c r="D324" s="348"/>
      <c r="E324" s="332"/>
      <c r="F324" s="335"/>
      <c r="G324" s="339"/>
      <c r="H324" s="67" t="s">
        <v>23</v>
      </c>
      <c r="I324" s="72"/>
      <c r="J324" s="72">
        <f>J316+J318+J320+J322</f>
        <v>54910</v>
      </c>
      <c r="K324" s="72">
        <f>K316+K318+K320+K322</f>
        <v>53669</v>
      </c>
      <c r="L324" s="72">
        <f>L316+L318+L320+L322</f>
        <v>53669</v>
      </c>
      <c r="M324" s="73">
        <f>K324/J324</f>
        <v>0.9773993808049536</v>
      </c>
      <c r="N324" s="66"/>
    </row>
    <row r="325" spans="1:14" ht="13.5" thickBot="1">
      <c r="A325" s="342"/>
      <c r="B325" s="345"/>
      <c r="C325" s="346"/>
      <c r="D325" s="349"/>
      <c r="E325" s="333"/>
      <c r="F325" s="338"/>
      <c r="G325" s="340"/>
      <c r="H325" s="74" t="s">
        <v>24</v>
      </c>
      <c r="I325" s="75"/>
      <c r="J325" s="75">
        <f>J317+J319+J321+J323</f>
        <v>0</v>
      </c>
      <c r="K325" s="75"/>
      <c r="L325" s="75"/>
      <c r="M325" s="76"/>
      <c r="N325" s="66"/>
    </row>
    <row r="326" spans="1:14" ht="12.75" customHeight="1">
      <c r="A326" s="341">
        <f>A316+1</f>
        <v>32</v>
      </c>
      <c r="B326" s="344">
        <v>801</v>
      </c>
      <c r="C326" s="344">
        <v>80130</v>
      </c>
      <c r="D326" s="347" t="s">
        <v>123</v>
      </c>
      <c r="E326" s="331" t="s">
        <v>129</v>
      </c>
      <c r="F326" s="334">
        <v>2011</v>
      </c>
      <c r="G326" s="62" t="s">
        <v>15</v>
      </c>
      <c r="H326" s="63" t="s">
        <v>16</v>
      </c>
      <c r="I326" s="64"/>
      <c r="J326" s="64"/>
      <c r="K326" s="64"/>
      <c r="L326" s="64"/>
      <c r="M326" s="65"/>
      <c r="N326" s="66"/>
    </row>
    <row r="327" spans="1:14" ht="12.75">
      <c r="A327" s="342"/>
      <c r="B327" s="345"/>
      <c r="C327" s="345"/>
      <c r="D327" s="348"/>
      <c r="E327" s="332"/>
      <c r="F327" s="335"/>
      <c r="G327" s="336"/>
      <c r="H327" s="67" t="s">
        <v>17</v>
      </c>
      <c r="I327" s="68"/>
      <c r="J327" s="68"/>
      <c r="K327" s="68"/>
      <c r="L327" s="68"/>
      <c r="M327" s="69"/>
      <c r="N327" s="66"/>
    </row>
    <row r="328" spans="1:14" ht="12.75">
      <c r="A328" s="342"/>
      <c r="B328" s="345"/>
      <c r="C328" s="345"/>
      <c r="D328" s="348"/>
      <c r="E328" s="332"/>
      <c r="F328" s="335"/>
      <c r="G328" s="337"/>
      <c r="H328" s="67" t="s">
        <v>85</v>
      </c>
      <c r="I328" s="68"/>
      <c r="J328" s="68"/>
      <c r="K328" s="68"/>
      <c r="L328" s="68"/>
      <c r="M328" s="69"/>
      <c r="N328" s="66"/>
    </row>
    <row r="329" spans="1:14" ht="12.75">
      <c r="A329" s="342"/>
      <c r="B329" s="345"/>
      <c r="C329" s="345"/>
      <c r="D329" s="348"/>
      <c r="E329" s="332"/>
      <c r="F329" s="335"/>
      <c r="G329" s="71" t="s">
        <v>18</v>
      </c>
      <c r="H329" s="67" t="s">
        <v>86</v>
      </c>
      <c r="I329" s="68"/>
      <c r="J329" s="68"/>
      <c r="K329" s="68"/>
      <c r="L329" s="68"/>
      <c r="M329" s="69"/>
      <c r="N329" s="66"/>
    </row>
    <row r="330" spans="1:14" ht="12.75">
      <c r="A330" s="342"/>
      <c r="B330" s="345"/>
      <c r="C330" s="345"/>
      <c r="D330" s="348"/>
      <c r="E330" s="332"/>
      <c r="F330" s="335"/>
      <c r="G330" s="336">
        <f>SUM(I335:M335)</f>
        <v>0</v>
      </c>
      <c r="H330" s="67" t="s">
        <v>87</v>
      </c>
      <c r="I330" s="68"/>
      <c r="J330" s="68">
        <v>50688</v>
      </c>
      <c r="K330" s="68">
        <v>45700</v>
      </c>
      <c r="L330" s="68">
        <f>K330</f>
        <v>45700</v>
      </c>
      <c r="M330" s="69">
        <f>K330/J330</f>
        <v>0.9015940656565656</v>
      </c>
      <c r="N330" s="66"/>
    </row>
    <row r="331" spans="1:14" ht="12.75">
      <c r="A331" s="342"/>
      <c r="B331" s="345"/>
      <c r="C331" s="345"/>
      <c r="D331" s="348"/>
      <c r="E331" s="332"/>
      <c r="F331" s="335">
        <v>2011</v>
      </c>
      <c r="G331" s="337"/>
      <c r="H331" s="67" t="s">
        <v>88</v>
      </c>
      <c r="I331" s="68"/>
      <c r="J331" s="68"/>
      <c r="K331" s="68"/>
      <c r="L331" s="68"/>
      <c r="M331" s="69"/>
      <c r="N331" s="66"/>
    </row>
    <row r="332" spans="1:14" ht="12.75">
      <c r="A332" s="342"/>
      <c r="B332" s="345"/>
      <c r="C332" s="345"/>
      <c r="D332" s="348"/>
      <c r="E332" s="332"/>
      <c r="F332" s="335"/>
      <c r="G332" s="71" t="s">
        <v>22</v>
      </c>
      <c r="H332" s="67" t="s">
        <v>19</v>
      </c>
      <c r="I332" s="68"/>
      <c r="J332" s="68"/>
      <c r="K332" s="68"/>
      <c r="L332" s="68"/>
      <c r="M332" s="69"/>
      <c r="N332" s="66"/>
    </row>
    <row r="333" spans="1:14" ht="12.75">
      <c r="A333" s="342"/>
      <c r="B333" s="345"/>
      <c r="C333" s="345"/>
      <c r="D333" s="348"/>
      <c r="E333" s="332"/>
      <c r="F333" s="335"/>
      <c r="G333" s="336">
        <f>G327+G330</f>
        <v>0</v>
      </c>
      <c r="H333" s="67" t="s">
        <v>21</v>
      </c>
      <c r="I333" s="68"/>
      <c r="J333" s="68"/>
      <c r="K333" s="68"/>
      <c r="L333" s="68"/>
      <c r="M333" s="69"/>
      <c r="N333" s="66"/>
    </row>
    <row r="334" spans="1:14" ht="12.75">
      <c r="A334" s="342"/>
      <c r="B334" s="345"/>
      <c r="C334" s="345"/>
      <c r="D334" s="348"/>
      <c r="E334" s="332"/>
      <c r="F334" s="335"/>
      <c r="G334" s="339"/>
      <c r="H334" s="67" t="s">
        <v>23</v>
      </c>
      <c r="I334" s="72"/>
      <c r="J334" s="72">
        <f>J326+J328+J330+J332</f>
        <v>50688</v>
      </c>
      <c r="K334" s="72">
        <f>K326+K328+K330+K332</f>
        <v>45700</v>
      </c>
      <c r="L334" s="72">
        <f>L326+L328+L330+L332</f>
        <v>45700</v>
      </c>
      <c r="M334" s="73">
        <f>K334/J334</f>
        <v>0.9015940656565656</v>
      </c>
      <c r="N334" s="66"/>
    </row>
    <row r="335" spans="1:14" ht="13.5" thickBot="1">
      <c r="A335" s="343"/>
      <c r="B335" s="345"/>
      <c r="C335" s="346"/>
      <c r="D335" s="349"/>
      <c r="E335" s="333"/>
      <c r="F335" s="338"/>
      <c r="G335" s="340"/>
      <c r="H335" s="74" t="s">
        <v>24</v>
      </c>
      <c r="I335" s="75"/>
      <c r="J335" s="75">
        <f>J327+J329+J331+J333</f>
        <v>0</v>
      </c>
      <c r="K335" s="75"/>
      <c r="L335" s="75"/>
      <c r="M335" s="76"/>
      <c r="N335" s="66"/>
    </row>
    <row r="336" spans="1:14" ht="12.75">
      <c r="A336" s="341">
        <f>A326+1</f>
        <v>33</v>
      </c>
      <c r="B336" s="344">
        <v>801</v>
      </c>
      <c r="C336" s="344">
        <v>80130</v>
      </c>
      <c r="D336" s="347" t="s">
        <v>130</v>
      </c>
      <c r="E336" s="331" t="s">
        <v>131</v>
      </c>
      <c r="F336" s="334">
        <v>2011</v>
      </c>
      <c r="G336" s="62" t="s">
        <v>15</v>
      </c>
      <c r="H336" s="63" t="s">
        <v>16</v>
      </c>
      <c r="I336" s="64"/>
      <c r="J336" s="64"/>
      <c r="K336" s="64"/>
      <c r="L336" s="64"/>
      <c r="M336" s="65"/>
      <c r="N336" s="66"/>
    </row>
    <row r="337" spans="1:14" s="103" customFormat="1" ht="12.75" customHeight="1">
      <c r="A337" s="342"/>
      <c r="B337" s="345"/>
      <c r="C337" s="345"/>
      <c r="D337" s="348"/>
      <c r="E337" s="332"/>
      <c r="F337" s="335"/>
      <c r="G337" s="336"/>
      <c r="H337" s="67" t="s">
        <v>17</v>
      </c>
      <c r="I337" s="68"/>
      <c r="J337" s="68"/>
      <c r="K337" s="68"/>
      <c r="L337" s="68"/>
      <c r="M337" s="69"/>
      <c r="N337" s="66"/>
    </row>
    <row r="338" spans="1:14" s="103" customFormat="1" ht="12.75" customHeight="1">
      <c r="A338" s="342"/>
      <c r="B338" s="345"/>
      <c r="C338" s="345"/>
      <c r="D338" s="348"/>
      <c r="E338" s="332"/>
      <c r="F338" s="335"/>
      <c r="G338" s="337"/>
      <c r="H338" s="67" t="s">
        <v>85</v>
      </c>
      <c r="I338" s="68"/>
      <c r="J338" s="68"/>
      <c r="K338" s="68"/>
      <c r="L338" s="68"/>
      <c r="M338" s="69"/>
      <c r="N338" s="66"/>
    </row>
    <row r="339" spans="1:14" ht="12.75">
      <c r="A339" s="342"/>
      <c r="B339" s="345"/>
      <c r="C339" s="345"/>
      <c r="D339" s="348"/>
      <c r="E339" s="332"/>
      <c r="F339" s="335"/>
      <c r="G339" s="71" t="s">
        <v>18</v>
      </c>
      <c r="H339" s="67" t="s">
        <v>86</v>
      </c>
      <c r="I339" s="68"/>
      <c r="J339" s="68"/>
      <c r="K339" s="68"/>
      <c r="L339" s="68"/>
      <c r="M339" s="69"/>
      <c r="N339" s="66"/>
    </row>
    <row r="340" spans="1:14" ht="12.75">
      <c r="A340" s="342"/>
      <c r="B340" s="345"/>
      <c r="C340" s="345"/>
      <c r="D340" s="348"/>
      <c r="E340" s="332"/>
      <c r="F340" s="335"/>
      <c r="G340" s="336">
        <f>SUM(I345:M345)</f>
        <v>0</v>
      </c>
      <c r="H340" s="67" t="s">
        <v>87</v>
      </c>
      <c r="I340" s="68"/>
      <c r="J340" s="68">
        <v>6583</v>
      </c>
      <c r="K340" s="68">
        <v>6536</v>
      </c>
      <c r="L340" s="68">
        <f>K340</f>
        <v>6536</v>
      </c>
      <c r="M340" s="69">
        <f>K340/J340</f>
        <v>0.9928603979948352</v>
      </c>
      <c r="N340" s="66"/>
    </row>
    <row r="341" spans="1:14" ht="12.75">
      <c r="A341" s="342"/>
      <c r="B341" s="345"/>
      <c r="C341" s="345"/>
      <c r="D341" s="348"/>
      <c r="E341" s="332"/>
      <c r="F341" s="335">
        <v>2011</v>
      </c>
      <c r="G341" s="337"/>
      <c r="H341" s="67" t="s">
        <v>88</v>
      </c>
      <c r="I341" s="68"/>
      <c r="J341" s="68"/>
      <c r="K341" s="68"/>
      <c r="L341" s="68"/>
      <c r="M341" s="69"/>
      <c r="N341" s="66"/>
    </row>
    <row r="342" spans="1:14" ht="12.75">
      <c r="A342" s="342"/>
      <c r="B342" s="345"/>
      <c r="C342" s="345"/>
      <c r="D342" s="348"/>
      <c r="E342" s="332"/>
      <c r="F342" s="335"/>
      <c r="G342" s="71" t="s">
        <v>22</v>
      </c>
      <c r="H342" s="67" t="s">
        <v>19</v>
      </c>
      <c r="I342" s="68"/>
      <c r="J342" s="68"/>
      <c r="K342" s="68"/>
      <c r="L342" s="68"/>
      <c r="M342" s="69"/>
      <c r="N342" s="66"/>
    </row>
    <row r="343" spans="1:14" ht="12.75">
      <c r="A343" s="342"/>
      <c r="B343" s="345"/>
      <c r="C343" s="345"/>
      <c r="D343" s="348"/>
      <c r="E343" s="332"/>
      <c r="F343" s="335"/>
      <c r="G343" s="336">
        <f>G337+G340</f>
        <v>0</v>
      </c>
      <c r="H343" s="67" t="s">
        <v>21</v>
      </c>
      <c r="I343" s="68"/>
      <c r="J343" s="68"/>
      <c r="K343" s="68"/>
      <c r="L343" s="68"/>
      <c r="M343" s="69"/>
      <c r="N343" s="66"/>
    </row>
    <row r="344" spans="1:14" ht="12.75">
      <c r="A344" s="342"/>
      <c r="B344" s="345"/>
      <c r="C344" s="345"/>
      <c r="D344" s="348"/>
      <c r="E344" s="332"/>
      <c r="F344" s="335"/>
      <c r="G344" s="339"/>
      <c r="H344" s="67" t="s">
        <v>23</v>
      </c>
      <c r="I344" s="72"/>
      <c r="J344" s="72">
        <f>J336+J338+J340+J342</f>
        <v>6583</v>
      </c>
      <c r="K344" s="72">
        <f>K336+K338+K340+K342</f>
        <v>6536</v>
      </c>
      <c r="L344" s="72">
        <f>L336+L338+L340+L342</f>
        <v>6536</v>
      </c>
      <c r="M344" s="73">
        <f>K344/J344</f>
        <v>0.9928603979948352</v>
      </c>
      <c r="N344" s="66"/>
    </row>
    <row r="345" spans="1:14" ht="13.5" thickBot="1">
      <c r="A345" s="342"/>
      <c r="B345" s="345"/>
      <c r="C345" s="346"/>
      <c r="D345" s="349"/>
      <c r="E345" s="333"/>
      <c r="F345" s="338"/>
      <c r="G345" s="340"/>
      <c r="H345" s="74" t="s">
        <v>24</v>
      </c>
      <c r="I345" s="75"/>
      <c r="J345" s="75">
        <f>J337+J339+J341+J343</f>
        <v>0</v>
      </c>
      <c r="K345" s="75"/>
      <c r="L345" s="75"/>
      <c r="M345" s="76"/>
      <c r="N345" s="66"/>
    </row>
    <row r="346" spans="1:14" ht="12.75">
      <c r="A346" s="341">
        <f>A336+1</f>
        <v>34</v>
      </c>
      <c r="B346" s="344">
        <v>801</v>
      </c>
      <c r="C346" s="344">
        <v>80130</v>
      </c>
      <c r="D346" s="347" t="s">
        <v>130</v>
      </c>
      <c r="E346" s="331" t="s">
        <v>132</v>
      </c>
      <c r="F346" s="334">
        <v>2011</v>
      </c>
      <c r="G346" s="62" t="s">
        <v>15</v>
      </c>
      <c r="H346" s="63" t="s">
        <v>16</v>
      </c>
      <c r="I346" s="64"/>
      <c r="J346" s="64"/>
      <c r="K346" s="64"/>
      <c r="L346" s="64"/>
      <c r="M346" s="65"/>
      <c r="N346" s="66"/>
    </row>
    <row r="347" spans="1:14" ht="12.75">
      <c r="A347" s="342"/>
      <c r="B347" s="345"/>
      <c r="C347" s="345"/>
      <c r="D347" s="348"/>
      <c r="E347" s="332"/>
      <c r="F347" s="335"/>
      <c r="G347" s="336"/>
      <c r="H347" s="67" t="s">
        <v>17</v>
      </c>
      <c r="I347" s="68"/>
      <c r="J347" s="68"/>
      <c r="K347" s="68"/>
      <c r="L347" s="68"/>
      <c r="M347" s="69"/>
      <c r="N347" s="66"/>
    </row>
    <row r="348" spans="1:14" ht="12.75">
      <c r="A348" s="342"/>
      <c r="B348" s="345"/>
      <c r="C348" s="345"/>
      <c r="D348" s="348"/>
      <c r="E348" s="332"/>
      <c r="F348" s="335"/>
      <c r="G348" s="337"/>
      <c r="H348" s="67" t="s">
        <v>85</v>
      </c>
      <c r="I348" s="68"/>
      <c r="J348" s="68"/>
      <c r="K348" s="68"/>
      <c r="L348" s="68"/>
      <c r="M348" s="69"/>
      <c r="N348" s="66"/>
    </row>
    <row r="349" spans="1:14" ht="12.75">
      <c r="A349" s="342"/>
      <c r="B349" s="345"/>
      <c r="C349" s="345"/>
      <c r="D349" s="348"/>
      <c r="E349" s="332"/>
      <c r="F349" s="335"/>
      <c r="G349" s="71" t="s">
        <v>18</v>
      </c>
      <c r="H349" s="67" t="s">
        <v>86</v>
      </c>
      <c r="I349" s="68"/>
      <c r="J349" s="68"/>
      <c r="K349" s="68"/>
      <c r="L349" s="68"/>
      <c r="M349" s="69"/>
      <c r="N349" s="66"/>
    </row>
    <row r="350" spans="1:14" ht="12.75">
      <c r="A350" s="342"/>
      <c r="B350" s="345"/>
      <c r="C350" s="345"/>
      <c r="D350" s="348"/>
      <c r="E350" s="332"/>
      <c r="F350" s="335"/>
      <c r="G350" s="336">
        <f>SUM(I355:M355)</f>
        <v>0</v>
      </c>
      <c r="H350" s="67" t="s">
        <v>87</v>
      </c>
      <c r="I350" s="68"/>
      <c r="J350" s="68">
        <v>253880</v>
      </c>
      <c r="K350" s="68">
        <v>23595</v>
      </c>
      <c r="L350" s="68">
        <f>K350</f>
        <v>23595</v>
      </c>
      <c r="M350" s="69">
        <f>K350/J350</f>
        <v>0.09293760831889082</v>
      </c>
      <c r="N350" s="66"/>
    </row>
    <row r="351" spans="1:14" ht="12.75">
      <c r="A351" s="342"/>
      <c r="B351" s="345"/>
      <c r="C351" s="345"/>
      <c r="D351" s="348"/>
      <c r="E351" s="332"/>
      <c r="F351" s="335">
        <v>2012</v>
      </c>
      <c r="G351" s="337"/>
      <c r="H351" s="67" t="s">
        <v>88</v>
      </c>
      <c r="I351" s="68"/>
      <c r="J351" s="68"/>
      <c r="K351" s="68"/>
      <c r="L351" s="68"/>
      <c r="M351" s="69"/>
      <c r="N351" s="66"/>
    </row>
    <row r="352" spans="1:14" ht="12.75">
      <c r="A352" s="342"/>
      <c r="B352" s="345"/>
      <c r="C352" s="345"/>
      <c r="D352" s="348"/>
      <c r="E352" s="332"/>
      <c r="F352" s="335"/>
      <c r="G352" s="71" t="s">
        <v>22</v>
      </c>
      <c r="H352" s="67" t="s">
        <v>19</v>
      </c>
      <c r="I352" s="68"/>
      <c r="J352" s="68"/>
      <c r="K352" s="68"/>
      <c r="L352" s="68"/>
      <c r="M352" s="69"/>
      <c r="N352" s="66"/>
    </row>
    <row r="353" spans="1:14" ht="12.75">
      <c r="A353" s="342"/>
      <c r="B353" s="345"/>
      <c r="C353" s="345"/>
      <c r="D353" s="348"/>
      <c r="E353" s="332"/>
      <c r="F353" s="335"/>
      <c r="G353" s="336">
        <f>G347+G350</f>
        <v>0</v>
      </c>
      <c r="H353" s="67" t="s">
        <v>21</v>
      </c>
      <c r="I353" s="68"/>
      <c r="J353" s="68"/>
      <c r="K353" s="68"/>
      <c r="L353" s="68"/>
      <c r="M353" s="69"/>
      <c r="N353" s="66"/>
    </row>
    <row r="354" spans="1:14" ht="12.75">
      <c r="A354" s="342"/>
      <c r="B354" s="345"/>
      <c r="C354" s="345"/>
      <c r="D354" s="348"/>
      <c r="E354" s="332"/>
      <c r="F354" s="335"/>
      <c r="G354" s="339"/>
      <c r="H354" s="67" t="s">
        <v>23</v>
      </c>
      <c r="I354" s="72"/>
      <c r="J354" s="72">
        <f>J346+J348+J350+J352</f>
        <v>253880</v>
      </c>
      <c r="K354" s="72">
        <f>K346+K348+K350+K352</f>
        <v>23595</v>
      </c>
      <c r="L354" s="72">
        <f>L346+L348+L350+L352</f>
        <v>23595</v>
      </c>
      <c r="M354" s="73">
        <f>K354/J354</f>
        <v>0.09293760831889082</v>
      </c>
      <c r="N354" s="66"/>
    </row>
    <row r="355" spans="1:14" ht="13.5" thickBot="1">
      <c r="A355" s="342"/>
      <c r="B355" s="345"/>
      <c r="C355" s="346"/>
      <c r="D355" s="349"/>
      <c r="E355" s="333"/>
      <c r="F355" s="338"/>
      <c r="G355" s="340"/>
      <c r="H355" s="74" t="s">
        <v>24</v>
      </c>
      <c r="I355" s="75"/>
      <c r="J355" s="75">
        <f>J347+J349+J351+J353</f>
        <v>0</v>
      </c>
      <c r="K355" s="75"/>
      <c r="L355" s="75"/>
      <c r="M355" s="76"/>
      <c r="N355" s="66"/>
    </row>
    <row r="356" spans="1:14" ht="12.75">
      <c r="A356" s="401">
        <f>A346+1</f>
        <v>35</v>
      </c>
      <c r="B356" s="350">
        <v>801</v>
      </c>
      <c r="C356" s="350">
        <v>80130</v>
      </c>
      <c r="D356" s="426" t="s">
        <v>113</v>
      </c>
      <c r="E356" s="429" t="s">
        <v>133</v>
      </c>
      <c r="F356" s="432">
        <v>2011</v>
      </c>
      <c r="G356" s="104" t="s">
        <v>15</v>
      </c>
      <c r="H356" s="105" t="s">
        <v>16</v>
      </c>
      <c r="I356" s="84"/>
      <c r="J356" s="84"/>
      <c r="K356" s="84"/>
      <c r="L356" s="84"/>
      <c r="M356" s="85"/>
      <c r="N356" s="66"/>
    </row>
    <row r="357" spans="1:14" ht="12.75">
      <c r="A357" s="402"/>
      <c r="B357" s="351"/>
      <c r="C357" s="351"/>
      <c r="D357" s="427"/>
      <c r="E357" s="430"/>
      <c r="F357" s="422"/>
      <c r="G357" s="420"/>
      <c r="H357" s="106" t="s">
        <v>17</v>
      </c>
      <c r="I357" s="87"/>
      <c r="J357" s="87"/>
      <c r="K357" s="87"/>
      <c r="L357" s="87"/>
      <c r="M357" s="88"/>
      <c r="N357" s="66"/>
    </row>
    <row r="358" spans="1:14" ht="12.75">
      <c r="A358" s="402"/>
      <c r="B358" s="351"/>
      <c r="C358" s="351"/>
      <c r="D358" s="427"/>
      <c r="E358" s="430"/>
      <c r="F358" s="422"/>
      <c r="G358" s="421"/>
      <c r="H358" s="106" t="s">
        <v>85</v>
      </c>
      <c r="I358" s="87"/>
      <c r="J358" s="87"/>
      <c r="K358" s="87"/>
      <c r="L358" s="87"/>
      <c r="M358" s="88"/>
      <c r="N358" s="66"/>
    </row>
    <row r="359" spans="1:14" ht="12.75">
      <c r="A359" s="402"/>
      <c r="B359" s="351"/>
      <c r="C359" s="351"/>
      <c r="D359" s="427"/>
      <c r="E359" s="430"/>
      <c r="F359" s="422"/>
      <c r="G359" s="107" t="s">
        <v>18</v>
      </c>
      <c r="H359" s="106" t="s">
        <v>86</v>
      </c>
      <c r="I359" s="87"/>
      <c r="J359" s="87"/>
      <c r="K359" s="87"/>
      <c r="L359" s="87"/>
      <c r="M359" s="88"/>
      <c r="N359" s="66"/>
    </row>
    <row r="360" spans="1:14" ht="12.75">
      <c r="A360" s="402"/>
      <c r="B360" s="351"/>
      <c r="C360" s="351"/>
      <c r="D360" s="427"/>
      <c r="E360" s="430"/>
      <c r="F360" s="422"/>
      <c r="G360" s="420">
        <f>SUM(I365:M365)</f>
        <v>0</v>
      </c>
      <c r="H360" s="106" t="s">
        <v>87</v>
      </c>
      <c r="I360" s="87"/>
      <c r="J360" s="87">
        <f>64000+4408</f>
        <v>68408</v>
      </c>
      <c r="K360" s="87">
        <v>7064</v>
      </c>
      <c r="L360" s="87">
        <f>K360</f>
        <v>7064</v>
      </c>
      <c r="M360" s="88">
        <f>K360/J360</f>
        <v>0.10326277628347562</v>
      </c>
      <c r="N360" s="66"/>
    </row>
    <row r="361" spans="1:14" ht="12.75">
      <c r="A361" s="402"/>
      <c r="B361" s="351"/>
      <c r="C361" s="351"/>
      <c r="D361" s="427"/>
      <c r="E361" s="430"/>
      <c r="F361" s="422">
        <v>2013</v>
      </c>
      <c r="G361" s="421"/>
      <c r="H361" s="106" t="s">
        <v>88</v>
      </c>
      <c r="I361" s="87"/>
      <c r="J361" s="87"/>
      <c r="K361" s="87"/>
      <c r="L361" s="87"/>
      <c r="M361" s="88"/>
      <c r="N361" s="66"/>
    </row>
    <row r="362" spans="1:14" ht="12.75">
      <c r="A362" s="402"/>
      <c r="B362" s="351"/>
      <c r="C362" s="351"/>
      <c r="D362" s="427"/>
      <c r="E362" s="430"/>
      <c r="F362" s="422"/>
      <c r="G362" s="107" t="s">
        <v>22</v>
      </c>
      <c r="H362" s="106" t="s">
        <v>19</v>
      </c>
      <c r="I362" s="87"/>
      <c r="J362" s="87"/>
      <c r="K362" s="87"/>
      <c r="L362" s="87"/>
      <c r="M362" s="88"/>
      <c r="N362" s="66"/>
    </row>
    <row r="363" spans="1:14" ht="12.75">
      <c r="A363" s="402"/>
      <c r="B363" s="351"/>
      <c r="C363" s="351"/>
      <c r="D363" s="427"/>
      <c r="E363" s="430"/>
      <c r="F363" s="422"/>
      <c r="G363" s="420">
        <f>G357+G360</f>
        <v>0</v>
      </c>
      <c r="H363" s="106" t="s">
        <v>21</v>
      </c>
      <c r="I363" s="87"/>
      <c r="J363" s="87"/>
      <c r="K363" s="87"/>
      <c r="L363" s="87"/>
      <c r="M363" s="88"/>
      <c r="N363" s="66"/>
    </row>
    <row r="364" spans="1:14" ht="12.75">
      <c r="A364" s="402"/>
      <c r="B364" s="351"/>
      <c r="C364" s="351"/>
      <c r="D364" s="427"/>
      <c r="E364" s="430"/>
      <c r="F364" s="422"/>
      <c r="G364" s="424"/>
      <c r="H364" s="106" t="s">
        <v>23</v>
      </c>
      <c r="I364" s="89"/>
      <c r="J364" s="89">
        <f>J356+J358+J360+J362</f>
        <v>68408</v>
      </c>
      <c r="K364" s="89">
        <f>K356+K358+K360+K362</f>
        <v>7064</v>
      </c>
      <c r="L364" s="89">
        <f>L356+L358+L360+L362</f>
        <v>7064</v>
      </c>
      <c r="M364" s="90">
        <f>K364/J364</f>
        <v>0.10326277628347562</v>
      </c>
      <c r="N364" s="66"/>
    </row>
    <row r="365" spans="1:14" ht="13.5" thickBot="1">
      <c r="A365" s="402"/>
      <c r="B365" s="351"/>
      <c r="C365" s="352"/>
      <c r="D365" s="428"/>
      <c r="E365" s="431"/>
      <c r="F365" s="423"/>
      <c r="G365" s="425"/>
      <c r="H365" s="108" t="s">
        <v>24</v>
      </c>
      <c r="I365" s="91"/>
      <c r="J365" s="91">
        <f>J357+J359+J361+J363</f>
        <v>0</v>
      </c>
      <c r="K365" s="91"/>
      <c r="L365" s="91"/>
      <c r="M365" s="92"/>
      <c r="N365" s="66"/>
    </row>
    <row r="366" spans="1:14" ht="12.75">
      <c r="A366" s="341">
        <f>A346+1</f>
        <v>35</v>
      </c>
      <c r="B366" s="344">
        <v>801</v>
      </c>
      <c r="C366" s="344">
        <v>80195</v>
      </c>
      <c r="D366" s="353" t="s">
        <v>134</v>
      </c>
      <c r="E366" s="405" t="s">
        <v>135</v>
      </c>
      <c r="F366" s="334">
        <v>2011</v>
      </c>
      <c r="G366" s="62" t="s">
        <v>15</v>
      </c>
      <c r="H366" s="63" t="s">
        <v>16</v>
      </c>
      <c r="I366" s="64"/>
      <c r="J366" s="64"/>
      <c r="K366" s="64"/>
      <c r="L366" s="64"/>
      <c r="M366" s="65"/>
      <c r="N366" s="66"/>
    </row>
    <row r="367" spans="1:14" ht="12.75">
      <c r="A367" s="342"/>
      <c r="B367" s="345"/>
      <c r="C367" s="345"/>
      <c r="D367" s="354"/>
      <c r="E367" s="406"/>
      <c r="F367" s="335"/>
      <c r="G367" s="336"/>
      <c r="H367" s="67" t="s">
        <v>17</v>
      </c>
      <c r="I367" s="68"/>
      <c r="J367" s="68"/>
      <c r="K367" s="68"/>
      <c r="L367" s="68"/>
      <c r="M367" s="69"/>
      <c r="N367" s="66"/>
    </row>
    <row r="368" spans="1:14" ht="12.75">
      <c r="A368" s="342"/>
      <c r="B368" s="345"/>
      <c r="C368" s="345"/>
      <c r="D368" s="354"/>
      <c r="E368" s="406"/>
      <c r="F368" s="335"/>
      <c r="G368" s="337"/>
      <c r="H368" s="67" t="s">
        <v>85</v>
      </c>
      <c r="I368" s="68"/>
      <c r="J368" s="68">
        <v>1686</v>
      </c>
      <c r="K368" s="68">
        <v>1248</v>
      </c>
      <c r="L368" s="68">
        <f>K368</f>
        <v>1248</v>
      </c>
      <c r="M368" s="69">
        <f>K368/J368</f>
        <v>0.7402135231316725</v>
      </c>
      <c r="N368" s="66"/>
    </row>
    <row r="369" spans="1:14" ht="12.75">
      <c r="A369" s="342"/>
      <c r="B369" s="345"/>
      <c r="C369" s="345"/>
      <c r="D369" s="354"/>
      <c r="E369" s="406"/>
      <c r="F369" s="335"/>
      <c r="G369" s="71" t="s">
        <v>18</v>
      </c>
      <c r="H369" s="67" t="s">
        <v>86</v>
      </c>
      <c r="I369" s="68"/>
      <c r="J369" s="68"/>
      <c r="K369" s="68"/>
      <c r="L369" s="68"/>
      <c r="M369" s="69"/>
      <c r="N369" s="66"/>
    </row>
    <row r="370" spans="1:14" ht="12.75">
      <c r="A370" s="342"/>
      <c r="B370" s="345"/>
      <c r="C370" s="345"/>
      <c r="D370" s="354"/>
      <c r="E370" s="406"/>
      <c r="F370" s="335"/>
      <c r="G370" s="336">
        <f>SUM(I385:M385)</f>
        <v>0</v>
      </c>
      <c r="H370" s="67" t="s">
        <v>87</v>
      </c>
      <c r="I370" s="68"/>
      <c r="J370" s="68">
        <v>9554</v>
      </c>
      <c r="K370" s="68">
        <v>7068</v>
      </c>
      <c r="L370" s="68">
        <f>K370</f>
        <v>7068</v>
      </c>
      <c r="M370" s="69">
        <f>K370/J370</f>
        <v>0.7397948503244715</v>
      </c>
      <c r="N370" s="66"/>
    </row>
    <row r="371" spans="1:14" ht="12.75">
      <c r="A371" s="342"/>
      <c r="B371" s="345"/>
      <c r="C371" s="345"/>
      <c r="D371" s="354"/>
      <c r="E371" s="406"/>
      <c r="F371" s="366">
        <v>2014</v>
      </c>
      <c r="G371" s="337"/>
      <c r="H371" s="67" t="s">
        <v>88</v>
      </c>
      <c r="I371" s="68"/>
      <c r="J371" s="68"/>
      <c r="K371" s="68"/>
      <c r="L371" s="68"/>
      <c r="M371" s="69"/>
      <c r="N371" s="66"/>
    </row>
    <row r="372" spans="1:14" ht="12.75">
      <c r="A372" s="342"/>
      <c r="B372" s="345"/>
      <c r="C372" s="345"/>
      <c r="D372" s="354"/>
      <c r="E372" s="406"/>
      <c r="F372" s="367"/>
      <c r="G372" s="71" t="s">
        <v>22</v>
      </c>
      <c r="H372" s="67" t="s">
        <v>19</v>
      </c>
      <c r="I372" s="68"/>
      <c r="J372" s="68"/>
      <c r="K372" s="68"/>
      <c r="L372" s="68"/>
      <c r="M372" s="69"/>
      <c r="N372" s="66"/>
    </row>
    <row r="373" spans="1:14" ht="12.75">
      <c r="A373" s="342"/>
      <c r="B373" s="345"/>
      <c r="C373" s="345"/>
      <c r="D373" s="354"/>
      <c r="E373" s="406"/>
      <c r="F373" s="367"/>
      <c r="G373" s="356">
        <f>G367+G370</f>
        <v>0</v>
      </c>
      <c r="H373" s="67" t="s">
        <v>21</v>
      </c>
      <c r="I373" s="68"/>
      <c r="J373" s="68"/>
      <c r="K373" s="68"/>
      <c r="L373" s="68"/>
      <c r="M373" s="69"/>
      <c r="N373" s="66"/>
    </row>
    <row r="374" spans="1:14" ht="12.75">
      <c r="A374" s="342"/>
      <c r="B374" s="345"/>
      <c r="C374" s="345"/>
      <c r="D374" s="354"/>
      <c r="E374" s="406"/>
      <c r="F374" s="367"/>
      <c r="G374" s="357"/>
      <c r="H374" s="67" t="s">
        <v>23</v>
      </c>
      <c r="I374" s="72"/>
      <c r="J374" s="72">
        <f>J366+J368+J370+J372</f>
        <v>11240</v>
      </c>
      <c r="K374" s="72">
        <f>K366+K368+K370+K372</f>
        <v>8316</v>
      </c>
      <c r="L374" s="72">
        <f>L366+L368+L370+L372</f>
        <v>8316</v>
      </c>
      <c r="M374" s="73">
        <f>K374/J374</f>
        <v>0.7398576512455516</v>
      </c>
      <c r="N374" s="66"/>
    </row>
    <row r="375" spans="1:14" ht="13.5" thickBot="1">
      <c r="A375" s="342"/>
      <c r="B375" s="345"/>
      <c r="C375" s="346"/>
      <c r="D375" s="355"/>
      <c r="E375" s="403"/>
      <c r="F375" s="368"/>
      <c r="G375" s="358"/>
      <c r="H375" s="74" t="s">
        <v>24</v>
      </c>
      <c r="I375" s="75"/>
      <c r="J375" s="75"/>
      <c r="K375" s="75"/>
      <c r="L375" s="75"/>
      <c r="M375" s="76"/>
      <c r="N375" s="66"/>
    </row>
    <row r="376" spans="1:14" ht="12.75" customHeight="1">
      <c r="A376" s="341">
        <f>A366+1</f>
        <v>36</v>
      </c>
      <c r="B376" s="344">
        <v>853</v>
      </c>
      <c r="C376" s="344">
        <v>85333</v>
      </c>
      <c r="D376" s="347" t="s">
        <v>136</v>
      </c>
      <c r="E376" s="331" t="s">
        <v>84</v>
      </c>
      <c r="F376" s="334">
        <v>2011</v>
      </c>
      <c r="G376" s="62" t="s">
        <v>15</v>
      </c>
      <c r="H376" s="63" t="s">
        <v>16</v>
      </c>
      <c r="I376" s="64"/>
      <c r="J376" s="64">
        <v>22681</v>
      </c>
      <c r="K376" s="64">
        <v>22546</v>
      </c>
      <c r="L376" s="64">
        <f>K376</f>
        <v>22546</v>
      </c>
      <c r="M376" s="65">
        <f>K376/J376</f>
        <v>0.994047881486707</v>
      </c>
      <c r="N376" s="66"/>
    </row>
    <row r="377" spans="1:14" ht="12.75" customHeight="1">
      <c r="A377" s="342"/>
      <c r="B377" s="345"/>
      <c r="C377" s="345"/>
      <c r="D377" s="348"/>
      <c r="E377" s="332"/>
      <c r="F377" s="335"/>
      <c r="G377" s="336"/>
      <c r="H377" s="67" t="s">
        <v>17</v>
      </c>
      <c r="I377" s="68"/>
      <c r="J377" s="68"/>
      <c r="K377" s="68"/>
      <c r="L377" s="68"/>
      <c r="M377" s="69"/>
      <c r="N377" s="66"/>
    </row>
    <row r="378" spans="1:14" ht="12.75" customHeight="1">
      <c r="A378" s="342"/>
      <c r="B378" s="345"/>
      <c r="C378" s="345"/>
      <c r="D378" s="348"/>
      <c r="E378" s="332"/>
      <c r="F378" s="335"/>
      <c r="G378" s="337"/>
      <c r="H378" s="67" t="s">
        <v>85</v>
      </c>
      <c r="I378" s="68"/>
      <c r="J378" s="68"/>
      <c r="K378" s="68"/>
      <c r="L378" s="68"/>
      <c r="M378" s="69"/>
      <c r="N378" s="66"/>
    </row>
    <row r="379" spans="1:14" ht="12.75">
      <c r="A379" s="342"/>
      <c r="B379" s="345"/>
      <c r="C379" s="345"/>
      <c r="D379" s="348"/>
      <c r="E379" s="332"/>
      <c r="F379" s="335"/>
      <c r="G379" s="71" t="s">
        <v>18</v>
      </c>
      <c r="H379" s="67" t="s">
        <v>86</v>
      </c>
      <c r="I379" s="68"/>
      <c r="J379" s="68"/>
      <c r="K379" s="68"/>
      <c r="L379" s="68"/>
      <c r="M379" s="69"/>
      <c r="N379" s="66"/>
    </row>
    <row r="380" spans="1:14" ht="12.75">
      <c r="A380" s="342"/>
      <c r="B380" s="345"/>
      <c r="C380" s="345"/>
      <c r="D380" s="348"/>
      <c r="E380" s="332"/>
      <c r="F380" s="335"/>
      <c r="G380" s="336">
        <f>SUM(I385:M385)</f>
        <v>0</v>
      </c>
      <c r="H380" s="67" t="s">
        <v>87</v>
      </c>
      <c r="I380" s="68"/>
      <c r="J380" s="68">
        <v>128521</v>
      </c>
      <c r="K380" s="68">
        <v>127756</v>
      </c>
      <c r="L380" s="68">
        <f>K380</f>
        <v>127756</v>
      </c>
      <c r="M380" s="69">
        <f>K380/J380</f>
        <v>0.9940476653620809</v>
      </c>
      <c r="N380" s="66"/>
    </row>
    <row r="381" spans="1:14" ht="12.75">
      <c r="A381" s="342"/>
      <c r="B381" s="345"/>
      <c r="C381" s="345"/>
      <c r="D381" s="348"/>
      <c r="E381" s="332"/>
      <c r="F381" s="335">
        <v>2011</v>
      </c>
      <c r="G381" s="337"/>
      <c r="H381" s="67" t="s">
        <v>88</v>
      </c>
      <c r="I381" s="68"/>
      <c r="J381" s="68"/>
      <c r="K381" s="68"/>
      <c r="L381" s="68"/>
      <c r="M381" s="69"/>
      <c r="N381" s="66"/>
    </row>
    <row r="382" spans="1:14" ht="12.75">
      <c r="A382" s="342"/>
      <c r="B382" s="345"/>
      <c r="C382" s="345"/>
      <c r="D382" s="348"/>
      <c r="E382" s="332"/>
      <c r="F382" s="335"/>
      <c r="G382" s="71" t="s">
        <v>22</v>
      </c>
      <c r="H382" s="67" t="s">
        <v>19</v>
      </c>
      <c r="I382" s="68"/>
      <c r="J382" s="68"/>
      <c r="K382" s="68"/>
      <c r="L382" s="68"/>
      <c r="M382" s="69"/>
      <c r="N382" s="66"/>
    </row>
    <row r="383" spans="1:14" ht="12.75">
      <c r="A383" s="342"/>
      <c r="B383" s="345"/>
      <c r="C383" s="345"/>
      <c r="D383" s="348"/>
      <c r="E383" s="332"/>
      <c r="F383" s="335"/>
      <c r="G383" s="336">
        <f>G377+G380</f>
        <v>0</v>
      </c>
      <c r="H383" s="67" t="s">
        <v>21</v>
      </c>
      <c r="I383" s="68"/>
      <c r="J383" s="68"/>
      <c r="K383" s="68"/>
      <c r="L383" s="68"/>
      <c r="M383" s="69"/>
      <c r="N383" s="66"/>
    </row>
    <row r="384" spans="1:14" ht="12.75">
      <c r="A384" s="342"/>
      <c r="B384" s="345"/>
      <c r="C384" s="345"/>
      <c r="D384" s="348"/>
      <c r="E384" s="332"/>
      <c r="F384" s="335"/>
      <c r="G384" s="339"/>
      <c r="H384" s="67" t="s">
        <v>23</v>
      </c>
      <c r="I384" s="72"/>
      <c r="J384" s="72">
        <f>J376+J378+J380+J382</f>
        <v>151202</v>
      </c>
      <c r="K384" s="72">
        <f>K376+K378+K380+K382</f>
        <v>150302</v>
      </c>
      <c r="L384" s="72">
        <f>L376+L378+L380+L382</f>
        <v>150302</v>
      </c>
      <c r="M384" s="73">
        <f>K384/J384</f>
        <v>0.9940476977817754</v>
      </c>
      <c r="N384" s="66"/>
    </row>
    <row r="385" spans="1:14" ht="13.5" thickBot="1">
      <c r="A385" s="342"/>
      <c r="B385" s="346"/>
      <c r="C385" s="346"/>
      <c r="D385" s="349"/>
      <c r="E385" s="333"/>
      <c r="F385" s="338"/>
      <c r="G385" s="340"/>
      <c r="H385" s="74" t="s">
        <v>24</v>
      </c>
      <c r="I385" s="75"/>
      <c r="J385" s="75">
        <f>J377+J379+J381+J383</f>
        <v>0</v>
      </c>
      <c r="K385" s="75"/>
      <c r="L385" s="75"/>
      <c r="M385" s="76"/>
      <c r="N385" s="66"/>
    </row>
    <row r="386" spans="1:14" ht="12.75">
      <c r="A386" s="341">
        <f>A376+1</f>
        <v>37</v>
      </c>
      <c r="B386" s="344">
        <v>853</v>
      </c>
      <c r="C386" s="344">
        <v>85395</v>
      </c>
      <c r="D386" s="347" t="s">
        <v>137</v>
      </c>
      <c r="E386" s="331" t="s">
        <v>138</v>
      </c>
      <c r="F386" s="334">
        <v>2011</v>
      </c>
      <c r="G386" s="62" t="s">
        <v>15</v>
      </c>
      <c r="H386" s="63" t="s">
        <v>16</v>
      </c>
      <c r="I386" s="64"/>
      <c r="J386" s="64">
        <v>404469</v>
      </c>
      <c r="K386" s="64">
        <v>404468</v>
      </c>
      <c r="L386" s="64">
        <f>K386</f>
        <v>404468</v>
      </c>
      <c r="M386" s="65">
        <f>K386/J386</f>
        <v>0.999997527622636</v>
      </c>
      <c r="N386" s="66"/>
    </row>
    <row r="387" spans="1:14" ht="12.75">
      <c r="A387" s="342"/>
      <c r="B387" s="345"/>
      <c r="C387" s="345"/>
      <c r="D387" s="348"/>
      <c r="E387" s="332"/>
      <c r="F387" s="335"/>
      <c r="G387" s="336"/>
      <c r="H387" s="67" t="s">
        <v>17</v>
      </c>
      <c r="I387" s="68"/>
      <c r="J387" s="68"/>
      <c r="K387" s="68"/>
      <c r="L387" s="68"/>
      <c r="M387" s="69"/>
      <c r="N387" s="66"/>
    </row>
    <row r="388" spans="1:14" ht="12.75">
      <c r="A388" s="342"/>
      <c r="B388" s="345"/>
      <c r="C388" s="345"/>
      <c r="D388" s="348"/>
      <c r="E388" s="332"/>
      <c r="F388" s="335"/>
      <c r="G388" s="337"/>
      <c r="H388" s="67" t="s">
        <v>85</v>
      </c>
      <c r="I388" s="68"/>
      <c r="J388" s="68">
        <v>217897</v>
      </c>
      <c r="K388" s="68">
        <v>162129</v>
      </c>
      <c r="L388" s="68">
        <f>K388</f>
        <v>162129</v>
      </c>
      <c r="M388" s="69">
        <f>K388/J388</f>
        <v>0.7440625616690455</v>
      </c>
      <c r="N388" s="66"/>
    </row>
    <row r="389" spans="1:14" ht="12.75">
      <c r="A389" s="342"/>
      <c r="B389" s="345"/>
      <c r="C389" s="345"/>
      <c r="D389" s="348"/>
      <c r="E389" s="332"/>
      <c r="F389" s="335"/>
      <c r="G389" s="71" t="s">
        <v>18</v>
      </c>
      <c r="H389" s="67" t="s">
        <v>86</v>
      </c>
      <c r="I389" s="68"/>
      <c r="J389" s="68"/>
      <c r="K389" s="68"/>
      <c r="L389" s="68"/>
      <c r="M389" s="69"/>
      <c r="N389" s="66"/>
    </row>
    <row r="390" spans="1:14" ht="12.75">
      <c r="A390" s="342"/>
      <c r="B390" s="345"/>
      <c r="C390" s="345"/>
      <c r="D390" s="348"/>
      <c r="E390" s="332"/>
      <c r="F390" s="335"/>
      <c r="G390" s="336">
        <f>SUM(I395:M395)</f>
        <v>0</v>
      </c>
      <c r="H390" s="67" t="s">
        <v>87</v>
      </c>
      <c r="I390" s="68"/>
      <c r="J390" s="68">
        <v>3526034</v>
      </c>
      <c r="K390" s="98">
        <v>2926538</v>
      </c>
      <c r="L390" s="68">
        <f>K390</f>
        <v>2926538</v>
      </c>
      <c r="M390" s="69">
        <f>K390/J390</f>
        <v>0.829980085274277</v>
      </c>
      <c r="N390" s="66"/>
    </row>
    <row r="391" spans="1:14" ht="12.75">
      <c r="A391" s="342"/>
      <c r="B391" s="345"/>
      <c r="C391" s="345"/>
      <c r="D391" s="348"/>
      <c r="E391" s="332"/>
      <c r="F391" s="335">
        <v>2011</v>
      </c>
      <c r="G391" s="337"/>
      <c r="H391" s="67" t="s">
        <v>88</v>
      </c>
      <c r="I391" s="68"/>
      <c r="J391" s="68"/>
      <c r="K391" s="68"/>
      <c r="L391" s="68"/>
      <c r="M391" s="69"/>
      <c r="N391" s="66"/>
    </row>
    <row r="392" spans="1:14" ht="12.75">
      <c r="A392" s="342"/>
      <c r="B392" s="345"/>
      <c r="C392" s="345"/>
      <c r="D392" s="348"/>
      <c r="E392" s="332"/>
      <c r="F392" s="335"/>
      <c r="G392" s="71" t="s">
        <v>22</v>
      </c>
      <c r="H392" s="67" t="s">
        <v>19</v>
      </c>
      <c r="I392" s="68"/>
      <c r="J392" s="68"/>
      <c r="K392" s="68"/>
      <c r="L392" s="68"/>
      <c r="M392" s="69"/>
      <c r="N392" s="66"/>
    </row>
    <row r="393" spans="1:14" ht="12.75">
      <c r="A393" s="342"/>
      <c r="B393" s="345"/>
      <c r="C393" s="345"/>
      <c r="D393" s="348"/>
      <c r="E393" s="332"/>
      <c r="F393" s="335"/>
      <c r="G393" s="336">
        <f>G387+G390</f>
        <v>0</v>
      </c>
      <c r="H393" s="67" t="s">
        <v>21</v>
      </c>
      <c r="I393" s="68"/>
      <c r="J393" s="68"/>
      <c r="K393" s="68"/>
      <c r="L393" s="68"/>
      <c r="M393" s="69"/>
      <c r="N393" s="66"/>
    </row>
    <row r="394" spans="1:14" ht="12.75">
      <c r="A394" s="342"/>
      <c r="B394" s="345"/>
      <c r="C394" s="345"/>
      <c r="D394" s="348"/>
      <c r="E394" s="332"/>
      <c r="F394" s="335"/>
      <c r="G394" s="339"/>
      <c r="H394" s="67" t="s">
        <v>23</v>
      </c>
      <c r="I394" s="72"/>
      <c r="J394" s="72">
        <f>J386+J388+J390+J392</f>
        <v>4148400</v>
      </c>
      <c r="K394" s="72">
        <f>K386+K388+K390+K392</f>
        <v>3493135</v>
      </c>
      <c r="L394" s="72">
        <f>L386+L388+L390+L392</f>
        <v>3493135</v>
      </c>
      <c r="M394" s="73">
        <f>K394/J394</f>
        <v>0.8420439205476811</v>
      </c>
      <c r="N394" s="66"/>
    </row>
    <row r="395" spans="1:14" ht="13.5" thickBot="1">
      <c r="A395" s="342"/>
      <c r="B395" s="346"/>
      <c r="C395" s="345"/>
      <c r="D395" s="349"/>
      <c r="E395" s="333"/>
      <c r="F395" s="338"/>
      <c r="G395" s="340"/>
      <c r="H395" s="74" t="s">
        <v>24</v>
      </c>
      <c r="I395" s="75"/>
      <c r="J395" s="75">
        <f>J387+J389+J391+J393</f>
        <v>0</v>
      </c>
      <c r="K395" s="75"/>
      <c r="L395" s="75"/>
      <c r="M395" s="76"/>
      <c r="N395" s="66"/>
    </row>
    <row r="396" spans="1:14" ht="12.75">
      <c r="A396" s="341">
        <f>A386+1</f>
        <v>38</v>
      </c>
      <c r="B396" s="344">
        <v>853</v>
      </c>
      <c r="C396" s="344">
        <v>85395</v>
      </c>
      <c r="D396" s="353" t="s">
        <v>139</v>
      </c>
      <c r="E396" s="405" t="s">
        <v>135</v>
      </c>
      <c r="F396" s="334">
        <v>2011</v>
      </c>
      <c r="G396" s="62" t="s">
        <v>15</v>
      </c>
      <c r="H396" s="63" t="s">
        <v>16</v>
      </c>
      <c r="I396" s="64"/>
      <c r="J396" s="64"/>
      <c r="K396" s="64"/>
      <c r="L396" s="64"/>
      <c r="M396" s="65"/>
      <c r="N396" s="66"/>
    </row>
    <row r="397" spans="1:14" ht="12.75">
      <c r="A397" s="342"/>
      <c r="B397" s="345"/>
      <c r="C397" s="345"/>
      <c r="D397" s="354"/>
      <c r="E397" s="406"/>
      <c r="F397" s="335"/>
      <c r="G397" s="336"/>
      <c r="H397" s="67" t="s">
        <v>17</v>
      </c>
      <c r="I397" s="68"/>
      <c r="J397" s="68"/>
      <c r="K397" s="68"/>
      <c r="L397" s="68"/>
      <c r="M397" s="69"/>
      <c r="N397" s="66"/>
    </row>
    <row r="398" spans="1:14" ht="12.75">
      <c r="A398" s="342"/>
      <c r="B398" s="345"/>
      <c r="C398" s="345"/>
      <c r="D398" s="354"/>
      <c r="E398" s="406"/>
      <c r="F398" s="335"/>
      <c r="G398" s="337"/>
      <c r="H398" s="67" t="s">
        <v>85</v>
      </c>
      <c r="I398" s="68"/>
      <c r="J398" s="68">
        <v>138501</v>
      </c>
      <c r="K398" s="68">
        <v>60892</v>
      </c>
      <c r="L398" s="68">
        <v>60892</v>
      </c>
      <c r="M398" s="69">
        <f>K398/J398</f>
        <v>0.4396502552328142</v>
      </c>
      <c r="N398" s="66"/>
    </row>
    <row r="399" spans="1:14" ht="12.75">
      <c r="A399" s="342"/>
      <c r="B399" s="345"/>
      <c r="C399" s="345"/>
      <c r="D399" s="354"/>
      <c r="E399" s="406"/>
      <c r="F399" s="335"/>
      <c r="G399" s="71" t="s">
        <v>18</v>
      </c>
      <c r="H399" s="67" t="s">
        <v>86</v>
      </c>
      <c r="I399" s="68"/>
      <c r="J399" s="68"/>
      <c r="K399" s="68"/>
      <c r="L399" s="68"/>
      <c r="M399" s="69"/>
      <c r="N399" s="66"/>
    </row>
    <row r="400" spans="1:14" ht="12.75">
      <c r="A400" s="342"/>
      <c r="B400" s="345"/>
      <c r="C400" s="345"/>
      <c r="D400" s="354"/>
      <c r="E400" s="406"/>
      <c r="F400" s="335"/>
      <c r="G400" s="336">
        <f>SUM(I405:M405)</f>
        <v>0</v>
      </c>
      <c r="H400" s="67" t="s">
        <v>87</v>
      </c>
      <c r="I400" s="68"/>
      <c r="J400" s="68">
        <v>784836</v>
      </c>
      <c r="K400" s="68">
        <v>345050</v>
      </c>
      <c r="L400" s="68">
        <v>345050</v>
      </c>
      <c r="M400" s="69">
        <f>K400/J400</f>
        <v>0.43964598973543517</v>
      </c>
      <c r="N400" s="66"/>
    </row>
    <row r="401" spans="1:14" ht="12.75">
      <c r="A401" s="342"/>
      <c r="B401" s="345"/>
      <c r="C401" s="345"/>
      <c r="D401" s="354"/>
      <c r="E401" s="406"/>
      <c r="F401" s="335">
        <v>2013</v>
      </c>
      <c r="G401" s="337"/>
      <c r="H401" s="67" t="s">
        <v>88</v>
      </c>
      <c r="I401" s="68"/>
      <c r="J401" s="68"/>
      <c r="K401" s="68"/>
      <c r="L401" s="68"/>
      <c r="M401" s="69"/>
      <c r="N401" s="66"/>
    </row>
    <row r="402" spans="1:14" ht="12.75">
      <c r="A402" s="342"/>
      <c r="B402" s="345"/>
      <c r="C402" s="345"/>
      <c r="D402" s="354"/>
      <c r="E402" s="406"/>
      <c r="F402" s="335"/>
      <c r="G402" s="71" t="s">
        <v>22</v>
      </c>
      <c r="H402" s="67" t="s">
        <v>19</v>
      </c>
      <c r="I402" s="68"/>
      <c r="J402" s="68"/>
      <c r="K402" s="68"/>
      <c r="L402" s="68"/>
      <c r="M402" s="69"/>
      <c r="N402" s="66"/>
    </row>
    <row r="403" spans="1:14" ht="12.75">
      <c r="A403" s="342"/>
      <c r="B403" s="345"/>
      <c r="C403" s="345"/>
      <c r="D403" s="354"/>
      <c r="E403" s="406"/>
      <c r="F403" s="335"/>
      <c r="G403" s="336">
        <f>G397+G400</f>
        <v>0</v>
      </c>
      <c r="H403" s="67" t="s">
        <v>21</v>
      </c>
      <c r="I403" s="68"/>
      <c r="J403" s="68"/>
      <c r="K403" s="68"/>
      <c r="L403" s="68"/>
      <c r="M403" s="69"/>
      <c r="N403" s="66"/>
    </row>
    <row r="404" spans="1:14" ht="12.75">
      <c r="A404" s="342"/>
      <c r="B404" s="345"/>
      <c r="C404" s="345"/>
      <c r="D404" s="354"/>
      <c r="E404" s="406"/>
      <c r="F404" s="335"/>
      <c r="G404" s="339"/>
      <c r="H404" s="67" t="s">
        <v>23</v>
      </c>
      <c r="I404" s="72"/>
      <c r="J404" s="72">
        <f>J396+J398+J400+J402</f>
        <v>923337</v>
      </c>
      <c r="K404" s="72">
        <f>K396+K398+K400+K402</f>
        <v>405942</v>
      </c>
      <c r="L404" s="72">
        <f>L396+L398+L400+L402</f>
        <v>405942</v>
      </c>
      <c r="M404" s="73">
        <f>K404/J404</f>
        <v>0.43964662956212086</v>
      </c>
      <c r="N404" s="66"/>
    </row>
    <row r="405" spans="1:14" ht="13.5" thickBot="1">
      <c r="A405" s="342"/>
      <c r="B405" s="346"/>
      <c r="C405" s="345"/>
      <c r="D405" s="355"/>
      <c r="E405" s="403"/>
      <c r="F405" s="338"/>
      <c r="G405" s="340"/>
      <c r="H405" s="74" t="s">
        <v>24</v>
      </c>
      <c r="I405" s="75"/>
      <c r="J405" s="75">
        <f>J397+J399+J401+J403</f>
        <v>0</v>
      </c>
      <c r="K405" s="75"/>
      <c r="L405" s="75"/>
      <c r="M405" s="76"/>
      <c r="N405" s="66"/>
    </row>
    <row r="406" spans="1:14" ht="12.75">
      <c r="A406" s="341">
        <f>A396+1</f>
        <v>39</v>
      </c>
      <c r="B406" s="344">
        <v>854</v>
      </c>
      <c r="C406" s="344">
        <v>85407</v>
      </c>
      <c r="D406" s="347" t="s">
        <v>123</v>
      </c>
      <c r="E406" s="331" t="s">
        <v>140</v>
      </c>
      <c r="F406" s="334">
        <v>2011</v>
      </c>
      <c r="G406" s="62" t="s">
        <v>15</v>
      </c>
      <c r="H406" s="63" t="s">
        <v>16</v>
      </c>
      <c r="I406" s="64"/>
      <c r="J406" s="64"/>
      <c r="K406" s="64"/>
      <c r="L406" s="64"/>
      <c r="M406" s="65"/>
      <c r="N406" s="66"/>
    </row>
    <row r="407" spans="1:14" ht="12.75">
      <c r="A407" s="342"/>
      <c r="B407" s="345"/>
      <c r="C407" s="345"/>
      <c r="D407" s="348"/>
      <c r="E407" s="332"/>
      <c r="F407" s="335"/>
      <c r="G407" s="336"/>
      <c r="H407" s="67" t="s">
        <v>17</v>
      </c>
      <c r="I407" s="68"/>
      <c r="J407" s="68"/>
      <c r="K407" s="68"/>
      <c r="L407" s="68"/>
      <c r="M407" s="69"/>
      <c r="N407" s="66"/>
    </row>
    <row r="408" spans="1:14" ht="12.75">
      <c r="A408" s="342"/>
      <c r="B408" s="345"/>
      <c r="C408" s="345"/>
      <c r="D408" s="348"/>
      <c r="E408" s="332"/>
      <c r="F408" s="335"/>
      <c r="G408" s="337"/>
      <c r="H408" s="67" t="s">
        <v>85</v>
      </c>
      <c r="I408" s="68"/>
      <c r="J408" s="68"/>
      <c r="K408" s="68"/>
      <c r="L408" s="68"/>
      <c r="M408" s="69"/>
      <c r="N408" s="66"/>
    </row>
    <row r="409" spans="1:14" ht="12.75">
      <c r="A409" s="342"/>
      <c r="B409" s="345"/>
      <c r="C409" s="345"/>
      <c r="D409" s="348"/>
      <c r="E409" s="332"/>
      <c r="F409" s="335"/>
      <c r="G409" s="71" t="s">
        <v>18</v>
      </c>
      <c r="H409" s="67" t="s">
        <v>86</v>
      </c>
      <c r="I409" s="68"/>
      <c r="J409" s="68"/>
      <c r="K409" s="68"/>
      <c r="L409" s="68"/>
      <c r="M409" s="69"/>
      <c r="N409" s="66"/>
    </row>
    <row r="410" spans="1:14" ht="12.75">
      <c r="A410" s="342"/>
      <c r="B410" s="345"/>
      <c r="C410" s="345"/>
      <c r="D410" s="348"/>
      <c r="E410" s="332"/>
      <c r="F410" s="335"/>
      <c r="G410" s="336">
        <f>SUM(I415:M415)</f>
        <v>0</v>
      </c>
      <c r="H410" s="67" t="s">
        <v>87</v>
      </c>
      <c r="I410" s="68"/>
      <c r="J410" s="68">
        <v>48015</v>
      </c>
      <c r="K410" s="68">
        <v>48014</v>
      </c>
      <c r="L410" s="68">
        <f>K410</f>
        <v>48014</v>
      </c>
      <c r="M410" s="69">
        <f>K410/J410</f>
        <v>0.9999791731750495</v>
      </c>
      <c r="N410" s="66"/>
    </row>
    <row r="411" spans="1:14" ht="12.75">
      <c r="A411" s="342"/>
      <c r="B411" s="345"/>
      <c r="C411" s="345"/>
      <c r="D411" s="348"/>
      <c r="E411" s="332"/>
      <c r="F411" s="335">
        <v>2011</v>
      </c>
      <c r="G411" s="337"/>
      <c r="H411" s="67" t="s">
        <v>88</v>
      </c>
      <c r="I411" s="68"/>
      <c r="J411" s="68"/>
      <c r="K411" s="68"/>
      <c r="L411" s="68"/>
      <c r="M411" s="69"/>
      <c r="N411" s="66"/>
    </row>
    <row r="412" spans="1:14" ht="12.75">
      <c r="A412" s="342"/>
      <c r="B412" s="345"/>
      <c r="C412" s="345"/>
      <c r="D412" s="348"/>
      <c r="E412" s="332"/>
      <c r="F412" s="335"/>
      <c r="G412" s="71" t="s">
        <v>22</v>
      </c>
      <c r="H412" s="67" t="s">
        <v>19</v>
      </c>
      <c r="I412" s="68"/>
      <c r="J412" s="68"/>
      <c r="K412" s="68"/>
      <c r="L412" s="68"/>
      <c r="M412" s="69"/>
      <c r="N412" s="66"/>
    </row>
    <row r="413" spans="1:14" ht="12.75">
      <c r="A413" s="342"/>
      <c r="B413" s="345"/>
      <c r="C413" s="345"/>
      <c r="D413" s="348"/>
      <c r="E413" s="332"/>
      <c r="F413" s="335"/>
      <c r="G413" s="336">
        <f>G407+G410</f>
        <v>0</v>
      </c>
      <c r="H413" s="67" t="s">
        <v>21</v>
      </c>
      <c r="I413" s="68"/>
      <c r="J413" s="68"/>
      <c r="K413" s="68"/>
      <c r="L413" s="68"/>
      <c r="M413" s="69"/>
      <c r="N413" s="66"/>
    </row>
    <row r="414" spans="1:14" ht="12.75">
      <c r="A414" s="342"/>
      <c r="B414" s="345"/>
      <c r="C414" s="345"/>
      <c r="D414" s="348"/>
      <c r="E414" s="332"/>
      <c r="F414" s="335"/>
      <c r="G414" s="339"/>
      <c r="H414" s="67" t="s">
        <v>23</v>
      </c>
      <c r="I414" s="72"/>
      <c r="J414" s="72">
        <f>J406+J408+J410+J412</f>
        <v>48015</v>
      </c>
      <c r="K414" s="72">
        <f>K406+K408+K410+K412</f>
        <v>48014</v>
      </c>
      <c r="L414" s="72">
        <f>L406+L408+L410+L412</f>
        <v>48014</v>
      </c>
      <c r="M414" s="73">
        <f>K414/J414</f>
        <v>0.9999791731750495</v>
      </c>
      <c r="N414" s="66"/>
    </row>
    <row r="415" spans="1:14" ht="13.5" thickBot="1">
      <c r="A415" s="342"/>
      <c r="B415" s="346"/>
      <c r="C415" s="346"/>
      <c r="D415" s="349"/>
      <c r="E415" s="333"/>
      <c r="F415" s="338"/>
      <c r="G415" s="340"/>
      <c r="H415" s="74" t="s">
        <v>24</v>
      </c>
      <c r="I415" s="75"/>
      <c r="J415" s="75">
        <f>J407+J409+J411+J413</f>
        <v>0</v>
      </c>
      <c r="K415" s="75"/>
      <c r="L415" s="75"/>
      <c r="M415" s="76"/>
      <c r="N415" s="66"/>
    </row>
    <row r="416" spans="1:14" ht="13.5" thickBot="1">
      <c r="A416" s="341">
        <f>A406+1</f>
        <v>40</v>
      </c>
      <c r="B416" s="344">
        <v>900</v>
      </c>
      <c r="C416" s="344">
        <v>90001</v>
      </c>
      <c r="D416" s="360" t="s">
        <v>141</v>
      </c>
      <c r="E416" s="363" t="s">
        <v>142</v>
      </c>
      <c r="F416" s="334">
        <v>2009</v>
      </c>
      <c r="G416" s="62" t="s">
        <v>15</v>
      </c>
      <c r="H416" s="63" t="s">
        <v>16</v>
      </c>
      <c r="I416" s="64"/>
      <c r="J416" s="64"/>
      <c r="K416" s="64"/>
      <c r="L416" s="64"/>
      <c r="M416" s="65"/>
      <c r="N416" s="66"/>
    </row>
    <row r="417" spans="1:14" ht="13.5" thickBot="1">
      <c r="A417" s="342"/>
      <c r="B417" s="345"/>
      <c r="C417" s="345"/>
      <c r="D417" s="361"/>
      <c r="E417" s="363"/>
      <c r="F417" s="335"/>
      <c r="G417" s="336">
        <f>SUM(I424:M424)</f>
        <v>0</v>
      </c>
      <c r="H417" s="67" t="s">
        <v>17</v>
      </c>
      <c r="I417" s="68">
        <v>3330844</v>
      </c>
      <c r="J417" s="68">
        <f>2609540-2087632</f>
        <v>521908</v>
      </c>
      <c r="K417" s="68">
        <v>505084</v>
      </c>
      <c r="L417" s="68">
        <f>I417+K417</f>
        <v>3835928</v>
      </c>
      <c r="M417" s="69">
        <f>K417/J417</f>
        <v>0.9677644335783319</v>
      </c>
      <c r="N417" s="66"/>
    </row>
    <row r="418" spans="1:14" ht="13.5" thickBot="1">
      <c r="A418" s="342"/>
      <c r="B418" s="345"/>
      <c r="C418" s="345"/>
      <c r="D418" s="361"/>
      <c r="E418" s="363"/>
      <c r="F418" s="335"/>
      <c r="G418" s="337"/>
      <c r="H418" s="67" t="s">
        <v>85</v>
      </c>
      <c r="I418" s="68"/>
      <c r="J418" s="68"/>
      <c r="K418" s="68"/>
      <c r="L418" s="68"/>
      <c r="M418" s="69"/>
      <c r="N418" s="66"/>
    </row>
    <row r="419" spans="1:14" ht="13.5" thickBot="1">
      <c r="A419" s="342"/>
      <c r="B419" s="345"/>
      <c r="C419" s="345"/>
      <c r="D419" s="361"/>
      <c r="E419" s="363"/>
      <c r="F419" s="335"/>
      <c r="G419" s="71" t="s">
        <v>18</v>
      </c>
      <c r="H419" s="67" t="s">
        <v>86</v>
      </c>
      <c r="I419" s="68"/>
      <c r="J419" s="68"/>
      <c r="K419" s="68"/>
      <c r="L419" s="68"/>
      <c r="M419" s="69"/>
      <c r="N419" s="66"/>
    </row>
    <row r="420" spans="1:14" ht="13.5" thickBot="1">
      <c r="A420" s="342"/>
      <c r="B420" s="345"/>
      <c r="C420" s="345"/>
      <c r="D420" s="361"/>
      <c r="E420" s="363"/>
      <c r="F420" s="335"/>
      <c r="G420" s="336"/>
      <c r="H420" s="67" t="s">
        <v>87</v>
      </c>
      <c r="I420" s="68"/>
      <c r="J420" s="68"/>
      <c r="K420" s="68"/>
      <c r="L420" s="68"/>
      <c r="M420" s="69"/>
      <c r="N420" s="66"/>
    </row>
    <row r="421" spans="1:14" ht="13.5" thickBot="1">
      <c r="A421" s="342"/>
      <c r="B421" s="345"/>
      <c r="C421" s="345"/>
      <c r="D421" s="361"/>
      <c r="E421" s="363"/>
      <c r="F421" s="335">
        <v>2012</v>
      </c>
      <c r="G421" s="337"/>
      <c r="H421" s="67" t="s">
        <v>88</v>
      </c>
      <c r="I421" s="68">
        <v>1755037</v>
      </c>
      <c r="J421" s="68">
        <f>1390460-1112368</f>
        <v>278092</v>
      </c>
      <c r="K421" s="68">
        <v>269128</v>
      </c>
      <c r="L421" s="68">
        <f>I421+K421</f>
        <v>2024165</v>
      </c>
      <c r="M421" s="69">
        <f>K421/J421</f>
        <v>0.9677660630295011</v>
      </c>
      <c r="N421" s="66"/>
    </row>
    <row r="422" spans="1:14" ht="13.5" thickBot="1">
      <c r="A422" s="342"/>
      <c r="B422" s="345"/>
      <c r="C422" s="345"/>
      <c r="D422" s="361"/>
      <c r="E422" s="363"/>
      <c r="F422" s="335"/>
      <c r="G422" s="71" t="s">
        <v>22</v>
      </c>
      <c r="H422" s="67" t="s">
        <v>19</v>
      </c>
      <c r="I422" s="68"/>
      <c r="J422" s="68"/>
      <c r="K422" s="68"/>
      <c r="L422" s="68"/>
      <c r="M422" s="69"/>
      <c r="N422" s="66"/>
    </row>
    <row r="423" spans="1:14" ht="13.5" thickBot="1">
      <c r="A423" s="342"/>
      <c r="B423" s="345"/>
      <c r="C423" s="345"/>
      <c r="D423" s="361"/>
      <c r="E423" s="363"/>
      <c r="F423" s="335"/>
      <c r="G423" s="336">
        <f>G417+G420</f>
        <v>0</v>
      </c>
      <c r="H423" s="67" t="s">
        <v>21</v>
      </c>
      <c r="I423" s="68"/>
      <c r="J423" s="68"/>
      <c r="K423" s="68"/>
      <c r="L423" s="68"/>
      <c r="M423" s="69"/>
      <c r="N423" s="66"/>
    </row>
    <row r="424" spans="1:14" ht="13.5" thickBot="1">
      <c r="A424" s="342"/>
      <c r="B424" s="345"/>
      <c r="C424" s="345"/>
      <c r="D424" s="361"/>
      <c r="E424" s="363"/>
      <c r="F424" s="335"/>
      <c r="G424" s="339"/>
      <c r="H424" s="67" t="s">
        <v>23</v>
      </c>
      <c r="I424" s="72"/>
      <c r="J424" s="72">
        <f>J416+J418+J420+J422</f>
        <v>0</v>
      </c>
      <c r="K424" s="72"/>
      <c r="L424" s="72"/>
      <c r="M424" s="73"/>
      <c r="N424" s="66"/>
    </row>
    <row r="425" spans="1:14" ht="13.5" thickBot="1">
      <c r="A425" s="342"/>
      <c r="B425" s="346"/>
      <c r="C425" s="346"/>
      <c r="D425" s="362"/>
      <c r="E425" s="363"/>
      <c r="F425" s="338"/>
      <c r="G425" s="340"/>
      <c r="H425" s="74" t="s">
        <v>24</v>
      </c>
      <c r="I425" s="75">
        <f>I417+I419+I421+I423</f>
        <v>5085881</v>
      </c>
      <c r="J425" s="75">
        <f>J417+J419+J421+J423</f>
        <v>800000</v>
      </c>
      <c r="K425" s="75">
        <f>K417+K419+K421+K423</f>
        <v>774212</v>
      </c>
      <c r="L425" s="75">
        <f>L417+L419+L421+L423</f>
        <v>5860093</v>
      </c>
      <c r="M425" s="76">
        <f>K425/J425</f>
        <v>0.967765</v>
      </c>
      <c r="N425" s="66"/>
    </row>
    <row r="426" spans="1:14" ht="12.75" customHeight="1" thickBot="1">
      <c r="A426" s="341">
        <f>A416+1</f>
        <v>41</v>
      </c>
      <c r="B426" s="344">
        <v>900</v>
      </c>
      <c r="C426" s="344">
        <v>90004</v>
      </c>
      <c r="D426" s="347" t="s">
        <v>143</v>
      </c>
      <c r="E426" s="363" t="s">
        <v>142</v>
      </c>
      <c r="F426" s="334">
        <v>2011</v>
      </c>
      <c r="G426" s="62" t="s">
        <v>15</v>
      </c>
      <c r="H426" s="63" t="s">
        <v>16</v>
      </c>
      <c r="I426" s="64"/>
      <c r="J426" s="64"/>
      <c r="K426" s="64"/>
      <c r="L426" s="64"/>
      <c r="M426" s="65"/>
      <c r="N426" s="66"/>
    </row>
    <row r="427" spans="1:14" ht="13.5" thickBot="1">
      <c r="A427" s="342"/>
      <c r="B427" s="345"/>
      <c r="C427" s="345"/>
      <c r="D427" s="348"/>
      <c r="E427" s="363"/>
      <c r="F427" s="335"/>
      <c r="G427" s="336">
        <f>SUM(I434:M434)</f>
        <v>0</v>
      </c>
      <c r="H427" s="67" t="s">
        <v>17</v>
      </c>
      <c r="I427" s="68"/>
      <c r="J427" s="68">
        <v>8025</v>
      </c>
      <c r="K427" s="68">
        <v>8025</v>
      </c>
      <c r="L427" s="68">
        <f>K427</f>
        <v>8025</v>
      </c>
      <c r="M427" s="69">
        <f>K427/J427</f>
        <v>1</v>
      </c>
      <c r="N427" s="66"/>
    </row>
    <row r="428" spans="1:14" ht="13.5" thickBot="1">
      <c r="A428" s="342"/>
      <c r="B428" s="345"/>
      <c r="C428" s="345"/>
      <c r="D428" s="348"/>
      <c r="E428" s="363"/>
      <c r="F428" s="335"/>
      <c r="G428" s="337"/>
      <c r="H428" s="67" t="s">
        <v>85</v>
      </c>
      <c r="I428" s="68"/>
      <c r="J428" s="68"/>
      <c r="K428" s="68"/>
      <c r="L428" s="68"/>
      <c r="M428" s="69"/>
      <c r="N428" s="66"/>
    </row>
    <row r="429" spans="1:14" ht="13.5" thickBot="1">
      <c r="A429" s="342"/>
      <c r="B429" s="345"/>
      <c r="C429" s="345"/>
      <c r="D429" s="348"/>
      <c r="E429" s="363"/>
      <c r="F429" s="335"/>
      <c r="G429" s="71" t="s">
        <v>18</v>
      </c>
      <c r="H429" s="67" t="s">
        <v>86</v>
      </c>
      <c r="I429" s="68"/>
      <c r="J429" s="68"/>
      <c r="K429" s="68"/>
      <c r="L429" s="68"/>
      <c r="M429" s="69"/>
      <c r="N429" s="66"/>
    </row>
    <row r="430" spans="1:14" ht="13.5" thickBot="1">
      <c r="A430" s="342"/>
      <c r="B430" s="345"/>
      <c r="C430" s="345"/>
      <c r="D430" s="348"/>
      <c r="E430" s="363"/>
      <c r="F430" s="335"/>
      <c r="G430" s="336"/>
      <c r="H430" s="67" t="s">
        <v>87</v>
      </c>
      <c r="I430" s="68"/>
      <c r="J430" s="68"/>
      <c r="K430" s="68"/>
      <c r="L430" s="68"/>
      <c r="M430" s="69"/>
      <c r="N430" s="66"/>
    </row>
    <row r="431" spans="1:14" ht="13.5" thickBot="1">
      <c r="A431" s="342"/>
      <c r="B431" s="345"/>
      <c r="C431" s="345"/>
      <c r="D431" s="348"/>
      <c r="E431" s="363"/>
      <c r="F431" s="335">
        <v>2011</v>
      </c>
      <c r="G431" s="337"/>
      <c r="H431" s="67" t="s">
        <v>88</v>
      </c>
      <c r="I431" s="68"/>
      <c r="J431" s="68">
        <v>45480</v>
      </c>
      <c r="K431" s="68">
        <v>45480</v>
      </c>
      <c r="L431" s="68">
        <f>K431</f>
        <v>45480</v>
      </c>
      <c r="M431" s="69">
        <f>K431/J431</f>
        <v>1</v>
      </c>
      <c r="N431" s="66"/>
    </row>
    <row r="432" spans="1:14" ht="13.5" thickBot="1">
      <c r="A432" s="342"/>
      <c r="B432" s="345"/>
      <c r="C432" s="345"/>
      <c r="D432" s="348"/>
      <c r="E432" s="363"/>
      <c r="F432" s="335"/>
      <c r="G432" s="71" t="s">
        <v>22</v>
      </c>
      <c r="H432" s="67" t="s">
        <v>19</v>
      </c>
      <c r="I432" s="68"/>
      <c r="J432" s="68"/>
      <c r="K432" s="68"/>
      <c r="L432" s="68"/>
      <c r="M432" s="69"/>
      <c r="N432" s="66"/>
    </row>
    <row r="433" spans="1:14" ht="13.5" thickBot="1">
      <c r="A433" s="342"/>
      <c r="B433" s="345"/>
      <c r="C433" s="345"/>
      <c r="D433" s="348"/>
      <c r="E433" s="363"/>
      <c r="F433" s="335"/>
      <c r="G433" s="336">
        <f>G427+G430</f>
        <v>0</v>
      </c>
      <c r="H433" s="67" t="s">
        <v>21</v>
      </c>
      <c r="I433" s="68"/>
      <c r="J433" s="68"/>
      <c r="K433" s="68"/>
      <c r="L433" s="68"/>
      <c r="M433" s="69"/>
      <c r="N433" s="66"/>
    </row>
    <row r="434" spans="1:14" ht="13.5" thickBot="1">
      <c r="A434" s="342"/>
      <c r="B434" s="345"/>
      <c r="C434" s="345"/>
      <c r="D434" s="348"/>
      <c r="E434" s="363"/>
      <c r="F434" s="335"/>
      <c r="G434" s="339"/>
      <c r="H434" s="67" t="s">
        <v>23</v>
      </c>
      <c r="I434" s="72"/>
      <c r="J434" s="72">
        <f>J426+J428+J430+J432</f>
        <v>0</v>
      </c>
      <c r="K434" s="72"/>
      <c r="L434" s="72"/>
      <c r="M434" s="73"/>
      <c r="N434" s="66"/>
    </row>
    <row r="435" spans="1:14" ht="13.5" thickBot="1">
      <c r="A435" s="342"/>
      <c r="B435" s="346"/>
      <c r="C435" s="346"/>
      <c r="D435" s="349"/>
      <c r="E435" s="363"/>
      <c r="F435" s="338"/>
      <c r="G435" s="340"/>
      <c r="H435" s="74" t="s">
        <v>24</v>
      </c>
      <c r="I435" s="75"/>
      <c r="J435" s="75">
        <f>J427+J429+J431+J433</f>
        <v>53505</v>
      </c>
      <c r="K435" s="75">
        <f>K427+K429+K431+K433</f>
        <v>53505</v>
      </c>
      <c r="L435" s="75">
        <f>L427+L429+L431+L433</f>
        <v>53505</v>
      </c>
      <c r="M435" s="76">
        <f>K435/J435</f>
        <v>1</v>
      </c>
      <c r="N435" s="66"/>
    </row>
    <row r="436" spans="1:14" ht="12.75" customHeight="1" thickBot="1">
      <c r="A436" s="418">
        <f>A426+1</f>
        <v>42</v>
      </c>
      <c r="B436" s="415">
        <v>900</v>
      </c>
      <c r="C436" s="415">
        <v>90095</v>
      </c>
      <c r="D436" s="360" t="s">
        <v>144</v>
      </c>
      <c r="E436" s="407" t="s">
        <v>145</v>
      </c>
      <c r="F436" s="414">
        <v>2009</v>
      </c>
      <c r="G436" s="109" t="s">
        <v>15</v>
      </c>
      <c r="H436" s="110" t="s">
        <v>16</v>
      </c>
      <c r="I436" s="111"/>
      <c r="J436" s="111"/>
      <c r="K436" s="111"/>
      <c r="L436" s="112"/>
      <c r="M436" s="113"/>
      <c r="N436" s="66"/>
    </row>
    <row r="437" spans="1:14" ht="13.5" thickBot="1">
      <c r="A437" s="419"/>
      <c r="B437" s="416"/>
      <c r="C437" s="416"/>
      <c r="D437" s="361"/>
      <c r="E437" s="407"/>
      <c r="F437" s="410"/>
      <c r="G437" s="408">
        <f>SUM(I444:M444)</f>
        <v>0</v>
      </c>
      <c r="H437" s="114" t="s">
        <v>17</v>
      </c>
      <c r="I437" s="98">
        <v>1846382</v>
      </c>
      <c r="J437" s="98">
        <f>1288452+447934</f>
        <v>1736386</v>
      </c>
      <c r="K437" s="98">
        <v>1736385</v>
      </c>
      <c r="L437" s="98">
        <f>I437+K437</f>
        <v>3582767</v>
      </c>
      <c r="M437" s="115">
        <f>K437/J437</f>
        <v>0.9999994240911871</v>
      </c>
      <c r="N437" s="66"/>
    </row>
    <row r="438" spans="1:14" ht="13.5" thickBot="1">
      <c r="A438" s="419"/>
      <c r="B438" s="416"/>
      <c r="C438" s="416"/>
      <c r="D438" s="361"/>
      <c r="E438" s="407"/>
      <c r="F438" s="410"/>
      <c r="G438" s="409"/>
      <c r="H438" s="114" t="s">
        <v>85</v>
      </c>
      <c r="I438" s="98"/>
      <c r="J438" s="98"/>
      <c r="K438" s="98"/>
      <c r="L438" s="98"/>
      <c r="M438" s="115"/>
      <c r="N438" s="116"/>
    </row>
    <row r="439" spans="1:14" ht="13.5" thickBot="1">
      <c r="A439" s="419"/>
      <c r="B439" s="416"/>
      <c r="C439" s="416"/>
      <c r="D439" s="361"/>
      <c r="E439" s="407"/>
      <c r="F439" s="410"/>
      <c r="G439" s="117" t="s">
        <v>18</v>
      </c>
      <c r="H439" s="114" t="s">
        <v>86</v>
      </c>
      <c r="I439" s="98"/>
      <c r="J439" s="98"/>
      <c r="K439" s="98"/>
      <c r="L439" s="98"/>
      <c r="M439" s="115"/>
      <c r="N439" s="116"/>
    </row>
    <row r="440" spans="1:14" ht="13.5" thickBot="1">
      <c r="A440" s="419"/>
      <c r="B440" s="416"/>
      <c r="C440" s="416"/>
      <c r="D440" s="361"/>
      <c r="E440" s="407"/>
      <c r="F440" s="410"/>
      <c r="G440" s="408"/>
      <c r="H440" s="114" t="s">
        <v>87</v>
      </c>
      <c r="I440" s="98"/>
      <c r="J440" s="98"/>
      <c r="K440" s="98"/>
      <c r="L440" s="98"/>
      <c r="M440" s="115"/>
      <c r="N440" s="66"/>
    </row>
    <row r="441" spans="1:15" ht="13.5" thickBot="1">
      <c r="A441" s="419"/>
      <c r="B441" s="416"/>
      <c r="C441" s="416"/>
      <c r="D441" s="361"/>
      <c r="E441" s="407"/>
      <c r="F441" s="410">
        <v>2011</v>
      </c>
      <c r="G441" s="409"/>
      <c r="H441" s="114" t="s">
        <v>88</v>
      </c>
      <c r="I441" s="98">
        <v>3164638</v>
      </c>
      <c r="J441" s="98">
        <v>3865355</v>
      </c>
      <c r="K441" s="98">
        <v>3865354</v>
      </c>
      <c r="L441" s="98">
        <f>I441+K441</f>
        <v>7029992</v>
      </c>
      <c r="M441" s="115">
        <f>K441/J441</f>
        <v>0.9999997412915502</v>
      </c>
      <c r="N441" s="66"/>
      <c r="O441" s="66"/>
    </row>
    <row r="442" spans="1:14" ht="13.5" thickBot="1">
      <c r="A442" s="419"/>
      <c r="B442" s="416"/>
      <c r="C442" s="416"/>
      <c r="D442" s="361"/>
      <c r="E442" s="407"/>
      <c r="F442" s="410"/>
      <c r="G442" s="117" t="s">
        <v>22</v>
      </c>
      <c r="H442" s="114" t="s">
        <v>19</v>
      </c>
      <c r="I442" s="98"/>
      <c r="J442" s="98"/>
      <c r="K442" s="98"/>
      <c r="L442" s="98"/>
      <c r="M442" s="115"/>
      <c r="N442" s="66"/>
    </row>
    <row r="443" spans="1:14" ht="13.5" thickBot="1">
      <c r="A443" s="419"/>
      <c r="B443" s="416"/>
      <c r="C443" s="416"/>
      <c r="D443" s="361"/>
      <c r="E443" s="407"/>
      <c r="F443" s="410"/>
      <c r="G443" s="408">
        <f>G437+G440</f>
        <v>0</v>
      </c>
      <c r="H443" s="114" t="s">
        <v>21</v>
      </c>
      <c r="I443" s="98"/>
      <c r="J443" s="98"/>
      <c r="K443" s="98"/>
      <c r="L443" s="98"/>
      <c r="M443" s="115"/>
      <c r="N443" s="66"/>
    </row>
    <row r="444" spans="1:14" ht="13.5" thickBot="1">
      <c r="A444" s="419"/>
      <c r="B444" s="416"/>
      <c r="C444" s="416"/>
      <c r="D444" s="361"/>
      <c r="E444" s="407"/>
      <c r="F444" s="410"/>
      <c r="G444" s="412"/>
      <c r="H444" s="114" t="s">
        <v>23</v>
      </c>
      <c r="I444" s="118"/>
      <c r="J444" s="118"/>
      <c r="K444" s="118"/>
      <c r="L444" s="118"/>
      <c r="M444" s="119"/>
      <c r="N444" s="66"/>
    </row>
    <row r="445" spans="1:14" ht="13.5" thickBot="1">
      <c r="A445" s="419"/>
      <c r="B445" s="417"/>
      <c r="C445" s="416"/>
      <c r="D445" s="362"/>
      <c r="E445" s="407"/>
      <c r="F445" s="411"/>
      <c r="G445" s="413"/>
      <c r="H445" s="120" t="s">
        <v>24</v>
      </c>
      <c r="I445" s="121">
        <f>I437+I441</f>
        <v>5011020</v>
      </c>
      <c r="J445" s="121">
        <f>J437+J441</f>
        <v>5601741</v>
      </c>
      <c r="K445" s="121">
        <f>K437+K441</f>
        <v>5601739</v>
      </c>
      <c r="L445" s="121">
        <f>L437+L441</f>
        <v>10612759</v>
      </c>
      <c r="M445" s="122">
        <f>K445/J445</f>
        <v>0.9999996429681415</v>
      </c>
      <c r="N445" s="66"/>
    </row>
    <row r="446" spans="1:14" ht="12.75" customHeight="1" thickBot="1">
      <c r="A446" s="341">
        <v>43</v>
      </c>
      <c r="B446" s="344">
        <v>900</v>
      </c>
      <c r="C446" s="344">
        <v>90095</v>
      </c>
      <c r="D446" s="347" t="s">
        <v>146</v>
      </c>
      <c r="E446" s="363" t="s">
        <v>142</v>
      </c>
      <c r="F446" s="334">
        <v>2010</v>
      </c>
      <c r="G446" s="62" t="s">
        <v>15</v>
      </c>
      <c r="H446" s="63" t="s">
        <v>16</v>
      </c>
      <c r="I446" s="64"/>
      <c r="J446" s="64"/>
      <c r="K446" s="64"/>
      <c r="L446" s="64"/>
      <c r="M446" s="65"/>
      <c r="N446" s="66"/>
    </row>
    <row r="447" spans="1:14" ht="13.5" thickBot="1">
      <c r="A447" s="342"/>
      <c r="B447" s="345"/>
      <c r="C447" s="345"/>
      <c r="D447" s="348"/>
      <c r="E447" s="363"/>
      <c r="F447" s="335"/>
      <c r="G447" s="336">
        <f>SUM(I454:M454)</f>
        <v>0</v>
      </c>
      <c r="H447" s="67" t="s">
        <v>17</v>
      </c>
      <c r="I447" s="68"/>
      <c r="J447" s="68">
        <v>15884</v>
      </c>
      <c r="K447" s="68">
        <v>5290</v>
      </c>
      <c r="L447" s="68">
        <f>K447</f>
        <v>5290</v>
      </c>
      <c r="M447" s="69">
        <f>K447/J447</f>
        <v>0.3330395366406447</v>
      </c>
      <c r="N447" s="66"/>
    </row>
    <row r="448" spans="1:14" ht="13.5" thickBot="1">
      <c r="A448" s="342"/>
      <c r="B448" s="345"/>
      <c r="C448" s="345"/>
      <c r="D448" s="348"/>
      <c r="E448" s="363"/>
      <c r="F448" s="335"/>
      <c r="G448" s="337"/>
      <c r="H448" s="67" t="s">
        <v>85</v>
      </c>
      <c r="I448" s="68"/>
      <c r="J448" s="68"/>
      <c r="K448" s="68"/>
      <c r="L448" s="68"/>
      <c r="M448" s="69"/>
      <c r="N448" s="66"/>
    </row>
    <row r="449" spans="1:14" ht="13.5" thickBot="1">
      <c r="A449" s="342"/>
      <c r="B449" s="345"/>
      <c r="C449" s="345"/>
      <c r="D449" s="348"/>
      <c r="E449" s="363"/>
      <c r="F449" s="335"/>
      <c r="G449" s="71" t="s">
        <v>18</v>
      </c>
      <c r="H449" s="67" t="s">
        <v>86</v>
      </c>
      <c r="I449" s="68"/>
      <c r="J449" s="68">
        <v>18050</v>
      </c>
      <c r="K449" s="68">
        <v>5750</v>
      </c>
      <c r="L449" s="68">
        <f>K449</f>
        <v>5750</v>
      </c>
      <c r="M449" s="69">
        <f>K449/J449</f>
        <v>0.3185595567867036</v>
      </c>
      <c r="N449" s="66"/>
    </row>
    <row r="450" spans="1:14" ht="13.5" thickBot="1">
      <c r="A450" s="342"/>
      <c r="B450" s="345"/>
      <c r="C450" s="345"/>
      <c r="D450" s="348"/>
      <c r="E450" s="363"/>
      <c r="F450" s="335"/>
      <c r="G450" s="336"/>
      <c r="H450" s="67" t="s">
        <v>87</v>
      </c>
      <c r="I450" s="68"/>
      <c r="J450" s="68"/>
      <c r="K450" s="68"/>
      <c r="L450" s="68"/>
      <c r="M450" s="69"/>
      <c r="N450" s="66"/>
    </row>
    <row r="451" spans="1:14" ht="13.5" thickBot="1">
      <c r="A451" s="342"/>
      <c r="B451" s="345"/>
      <c r="C451" s="345"/>
      <c r="D451" s="348"/>
      <c r="E451" s="363"/>
      <c r="F451" s="335">
        <v>2012</v>
      </c>
      <c r="G451" s="337"/>
      <c r="H451" s="67" t="s">
        <v>88</v>
      </c>
      <c r="I451" s="68"/>
      <c r="J451" s="68">
        <v>54150</v>
      </c>
      <c r="K451" s="68">
        <v>17250</v>
      </c>
      <c r="L451" s="68">
        <f>K451</f>
        <v>17250</v>
      </c>
      <c r="M451" s="69">
        <f>K451/J451</f>
        <v>0.3185595567867036</v>
      </c>
      <c r="N451" s="66"/>
    </row>
    <row r="452" spans="1:14" ht="13.5" thickBot="1">
      <c r="A452" s="342"/>
      <c r="B452" s="345"/>
      <c r="C452" s="345"/>
      <c r="D452" s="348"/>
      <c r="E452" s="363"/>
      <c r="F452" s="335"/>
      <c r="G452" s="71" t="s">
        <v>22</v>
      </c>
      <c r="H452" s="67" t="s">
        <v>19</v>
      </c>
      <c r="I452" s="68"/>
      <c r="J452" s="68"/>
      <c r="K452" s="68"/>
      <c r="L452" s="68"/>
      <c r="M452" s="69"/>
      <c r="N452" s="66"/>
    </row>
    <row r="453" spans="1:14" ht="13.5" thickBot="1">
      <c r="A453" s="342"/>
      <c r="B453" s="345"/>
      <c r="C453" s="345"/>
      <c r="D453" s="348"/>
      <c r="E453" s="363"/>
      <c r="F453" s="335"/>
      <c r="G453" s="336">
        <f>G447+G450</f>
        <v>0</v>
      </c>
      <c r="H453" s="67" t="s">
        <v>21</v>
      </c>
      <c r="I453" s="68"/>
      <c r="J453" s="68"/>
      <c r="K453" s="68"/>
      <c r="L453" s="68"/>
      <c r="M453" s="69"/>
      <c r="N453" s="66"/>
    </row>
    <row r="454" spans="1:14" ht="13.5" thickBot="1">
      <c r="A454" s="342"/>
      <c r="B454" s="345"/>
      <c r="C454" s="345"/>
      <c r="D454" s="348"/>
      <c r="E454" s="363"/>
      <c r="F454" s="335"/>
      <c r="G454" s="339"/>
      <c r="H454" s="67" t="s">
        <v>23</v>
      </c>
      <c r="I454" s="72"/>
      <c r="J454" s="72">
        <f>J446+J448+J450+J452</f>
        <v>0</v>
      </c>
      <c r="K454" s="72"/>
      <c r="L454" s="72"/>
      <c r="M454" s="73"/>
      <c r="N454" s="66"/>
    </row>
    <row r="455" spans="1:14" ht="13.5" thickBot="1">
      <c r="A455" s="342"/>
      <c r="B455" s="346"/>
      <c r="C455" s="346"/>
      <c r="D455" s="349"/>
      <c r="E455" s="363"/>
      <c r="F455" s="338"/>
      <c r="G455" s="340"/>
      <c r="H455" s="74" t="s">
        <v>24</v>
      </c>
      <c r="I455" s="75"/>
      <c r="J455" s="75">
        <f>J447+J449+J451+J453</f>
        <v>88084</v>
      </c>
      <c r="K455" s="75">
        <f>K447+K449+K451+K453</f>
        <v>28290</v>
      </c>
      <c r="L455" s="75">
        <f>L447+L449+L451+L453</f>
        <v>28290</v>
      </c>
      <c r="M455" s="76">
        <f>K455/J455</f>
        <v>0.3211707006947913</v>
      </c>
      <c r="N455" s="66"/>
    </row>
    <row r="456" spans="1:14" ht="8.25" customHeight="1">
      <c r="A456" s="123"/>
      <c r="B456" s="123"/>
      <c r="C456" s="123"/>
      <c r="D456" s="124"/>
      <c r="E456" s="125"/>
      <c r="F456" s="126"/>
      <c r="G456" s="127"/>
      <c r="H456" s="128"/>
      <c r="I456" s="129"/>
      <c r="J456" s="129"/>
      <c r="K456" s="129"/>
      <c r="L456" s="129"/>
      <c r="M456" s="130"/>
      <c r="N456" s="66"/>
    </row>
    <row r="457" spans="1:14" ht="12.75" hidden="1">
      <c r="A457" s="123"/>
      <c r="B457" s="123"/>
      <c r="C457" s="123"/>
      <c r="D457" s="124"/>
      <c r="E457" s="125"/>
      <c r="F457" s="126"/>
      <c r="G457" s="127"/>
      <c r="H457" s="128"/>
      <c r="I457" s="129"/>
      <c r="J457" s="129"/>
      <c r="K457" s="129"/>
      <c r="L457" s="129"/>
      <c r="M457" s="130"/>
      <c r="N457" s="66"/>
    </row>
    <row r="458" spans="7:14" ht="12.75">
      <c r="G458" s="131" t="s">
        <v>147</v>
      </c>
      <c r="H458" s="132"/>
      <c r="I458" s="133">
        <f aca="true" t="shared" si="7" ref="I458:L459">I6+I16+I26+I36+I46+I56+I66+I76+I86+I96+I106+I116+I126+I136+I146+I156+I166+I176+I186+I196+I206+I216+I226+I236+I246+I256+I266+I276+I286+I296+I306+I316+I326+I336+I346+I356+I366+I376+I386+I396+I406+I416+I426+I436+I446</f>
        <v>2613460</v>
      </c>
      <c r="J458" s="133">
        <f t="shared" si="7"/>
        <v>4998954</v>
      </c>
      <c r="K458" s="133">
        <f t="shared" si="7"/>
        <v>3139999</v>
      </c>
      <c r="L458" s="133">
        <f t="shared" si="7"/>
        <v>5753459</v>
      </c>
      <c r="M458" s="134">
        <f>K458/J458</f>
        <v>0.628131205048096</v>
      </c>
      <c r="N458" s="66"/>
    </row>
    <row r="459" spans="7:14" ht="12.75">
      <c r="G459" s="131" t="s">
        <v>148</v>
      </c>
      <c r="H459" s="132"/>
      <c r="I459" s="133">
        <f t="shared" si="7"/>
        <v>29797467</v>
      </c>
      <c r="J459" s="133">
        <f t="shared" si="7"/>
        <v>11907041</v>
      </c>
      <c r="K459" s="133">
        <f t="shared" si="7"/>
        <v>8656200</v>
      </c>
      <c r="L459" s="133">
        <f t="shared" si="7"/>
        <v>38453667</v>
      </c>
      <c r="M459" s="134">
        <f>K459/J459</f>
        <v>0.7269816237300266</v>
      </c>
      <c r="N459" s="66"/>
    </row>
    <row r="460" spans="7:14" ht="12.75">
      <c r="G460" s="135" t="s">
        <v>149</v>
      </c>
      <c r="H460" s="136"/>
      <c r="I460" s="137">
        <f>I458+I459</f>
        <v>32410927</v>
      </c>
      <c r="J460" s="137">
        <f>J458+J459</f>
        <v>16905995</v>
      </c>
      <c r="K460" s="137">
        <f>K458+K459</f>
        <v>11796199</v>
      </c>
      <c r="L460" s="137">
        <f>L458+L459</f>
        <v>44207126</v>
      </c>
      <c r="M460" s="138"/>
      <c r="N460" s="66"/>
    </row>
    <row r="461" spans="7:14" ht="12.75" customHeight="1" hidden="1">
      <c r="G461" s="131" t="s">
        <v>150</v>
      </c>
      <c r="H461" s="132"/>
      <c r="I461" s="139"/>
      <c r="J461" s="139"/>
      <c r="K461" s="139"/>
      <c r="L461" s="139"/>
      <c r="M461" s="134"/>
      <c r="N461" s="66"/>
    </row>
    <row r="462" spans="7:14" ht="18.75" customHeight="1">
      <c r="G462" s="131" t="s">
        <v>150</v>
      </c>
      <c r="H462" s="131"/>
      <c r="I462" s="133">
        <f aca="true" t="shared" si="8" ref="I462:L463">I10+I20+I30+I40+I50+I60+I70+I80+I90+I100+I110+I120+I130+I140+I150+I160+I170+I180+I190+I200+I210+I220+I230+I240+I250+I260+I270+I280+I290+I300+I310+I320+I330+I340+I350+I360+I370+I380+I390+I400+I410+I420+I430+I440+I450</f>
        <v>3495943</v>
      </c>
      <c r="J462" s="133">
        <f t="shared" si="8"/>
        <v>9518853</v>
      </c>
      <c r="K462" s="133">
        <f t="shared" si="8"/>
        <v>6319359</v>
      </c>
      <c r="L462" s="133">
        <f t="shared" si="8"/>
        <v>9815302</v>
      </c>
      <c r="M462" s="134">
        <f>K462/J462</f>
        <v>0.6638782004512519</v>
      </c>
      <c r="N462" s="66"/>
    </row>
    <row r="463" spans="7:14" ht="12.75">
      <c r="G463" s="131" t="s">
        <v>151</v>
      </c>
      <c r="H463" s="131"/>
      <c r="I463" s="133">
        <f t="shared" si="8"/>
        <v>53797328</v>
      </c>
      <c r="J463" s="133">
        <f t="shared" si="8"/>
        <v>39655766</v>
      </c>
      <c r="K463" s="133">
        <f t="shared" si="8"/>
        <v>34638443</v>
      </c>
      <c r="L463" s="133">
        <f t="shared" si="8"/>
        <v>88435771</v>
      </c>
      <c r="M463" s="134">
        <f>K463/J463</f>
        <v>0.8734780964765628</v>
      </c>
      <c r="N463" s="66"/>
    </row>
    <row r="464" spans="7:14" ht="12.75">
      <c r="G464" s="364" t="s">
        <v>152</v>
      </c>
      <c r="H464" s="365"/>
      <c r="I464" s="137">
        <f>I462+I463</f>
        <v>57293271</v>
      </c>
      <c r="J464" s="137">
        <f>J462+J463</f>
        <v>49174619</v>
      </c>
      <c r="K464" s="137">
        <f>K462+K463</f>
        <v>40957802</v>
      </c>
      <c r="L464" s="137">
        <f>L462+L463</f>
        <v>98251073</v>
      </c>
      <c r="M464" s="138"/>
      <c r="N464" s="66"/>
    </row>
    <row r="465" spans="7:14" ht="12.75" customHeight="1" hidden="1">
      <c r="G465" s="131" t="s">
        <v>153</v>
      </c>
      <c r="H465" s="132"/>
      <c r="I465" s="139"/>
      <c r="J465" s="139"/>
      <c r="K465" s="139"/>
      <c r="L465" s="139"/>
      <c r="M465" s="134"/>
      <c r="N465" s="66"/>
    </row>
    <row r="466" spans="7:14" ht="19.5" customHeight="1">
      <c r="G466" s="131" t="s">
        <v>154</v>
      </c>
      <c r="H466" s="131"/>
      <c r="I466" s="133">
        <f aca="true" t="shared" si="9" ref="I466:L467">I8+I18+I28+I38+I48+I58+I68+I78+I88+I98+I108+I118+I128+I138+I148+I158+I168+I178+I188+I198+I208+I218+I228+I238+I248+I258+I268+I278+I288+I298+I308+I318+I328+I338+I348+I358+I368+I378+I388+I398+I408+I418+I428+I438+I448</f>
        <v>298601</v>
      </c>
      <c r="J466" s="133">
        <f t="shared" si="9"/>
        <v>419534</v>
      </c>
      <c r="K466" s="133">
        <f t="shared" si="9"/>
        <v>282340</v>
      </c>
      <c r="L466" s="133">
        <f t="shared" si="9"/>
        <v>580941</v>
      </c>
      <c r="M466" s="134">
        <f>K466/J466</f>
        <v>0.6729847878836995</v>
      </c>
      <c r="N466" s="66"/>
    </row>
    <row r="467" spans="7:14" ht="12.75">
      <c r="G467" s="131" t="s">
        <v>153</v>
      </c>
      <c r="H467" s="140"/>
      <c r="I467" s="133">
        <f t="shared" si="9"/>
        <v>1308097</v>
      </c>
      <c r="J467" s="133">
        <f t="shared" si="9"/>
        <v>3077980</v>
      </c>
      <c r="K467" s="133">
        <f t="shared" si="9"/>
        <v>2844679</v>
      </c>
      <c r="L467" s="133">
        <f t="shared" si="9"/>
        <v>4152776</v>
      </c>
      <c r="M467" s="134">
        <f>K467/J467</f>
        <v>0.9242032111969538</v>
      </c>
      <c r="N467" s="66"/>
    </row>
    <row r="468" spans="7:14" ht="12.75">
      <c r="G468" s="364" t="s">
        <v>155</v>
      </c>
      <c r="H468" s="365"/>
      <c r="I468" s="137">
        <f>I466+I467</f>
        <v>1606698</v>
      </c>
      <c r="J468" s="137">
        <f>J466+J467</f>
        <v>3497514</v>
      </c>
      <c r="K468" s="137">
        <f>K466+K467</f>
        <v>3127019</v>
      </c>
      <c r="L468" s="137">
        <f>L466+L467</f>
        <v>4733717</v>
      </c>
      <c r="M468" s="138"/>
      <c r="N468" s="66"/>
    </row>
    <row r="469" spans="7:14" ht="17.25" customHeight="1">
      <c r="G469" s="369" t="s">
        <v>156</v>
      </c>
      <c r="H469" s="370"/>
      <c r="I469" s="133">
        <f aca="true" t="shared" si="10" ref="I469:M471">I458+I462+I466</f>
        <v>6408004</v>
      </c>
      <c r="J469" s="133">
        <f t="shared" si="10"/>
        <v>14937341</v>
      </c>
      <c r="K469" s="133">
        <f t="shared" si="10"/>
        <v>9741698</v>
      </c>
      <c r="L469" s="133">
        <f t="shared" si="10"/>
        <v>16149702</v>
      </c>
      <c r="M469" s="134">
        <f>K469/J469</f>
        <v>0.6521708247806621</v>
      </c>
      <c r="N469" s="141"/>
    </row>
    <row r="470" spans="7:14" ht="12.75">
      <c r="G470" s="131" t="s">
        <v>157</v>
      </c>
      <c r="H470" s="131"/>
      <c r="I470" s="133">
        <f t="shared" si="10"/>
        <v>84902892</v>
      </c>
      <c r="J470" s="133">
        <f t="shared" si="10"/>
        <v>54640787</v>
      </c>
      <c r="K470" s="133">
        <f t="shared" si="10"/>
        <v>46139322</v>
      </c>
      <c r="L470" s="133">
        <f t="shared" si="10"/>
        <v>131042214</v>
      </c>
      <c r="M470" s="134">
        <f>K470/J470</f>
        <v>0.8444117395307648</v>
      </c>
      <c r="N470" s="141"/>
    </row>
    <row r="471" spans="7:14" ht="12.75">
      <c r="G471" s="364" t="s">
        <v>158</v>
      </c>
      <c r="H471" s="365"/>
      <c r="I471" s="137">
        <f t="shared" si="10"/>
        <v>91310896</v>
      </c>
      <c r="J471" s="137">
        <f t="shared" si="10"/>
        <v>69578128</v>
      </c>
      <c r="K471" s="137">
        <f t="shared" si="10"/>
        <v>55881020</v>
      </c>
      <c r="L471" s="137">
        <f t="shared" si="10"/>
        <v>147191916</v>
      </c>
      <c r="M471" s="138">
        <f t="shared" si="10"/>
        <v>0</v>
      </c>
      <c r="N471" s="66"/>
    </row>
    <row r="472" spans="9:13" ht="12.75">
      <c r="I472" s="142"/>
      <c r="J472" s="142"/>
      <c r="K472" s="142"/>
      <c r="L472" s="142"/>
      <c r="M472" s="142"/>
    </row>
    <row r="473" spans="9:13" ht="12.75">
      <c r="I473" s="142"/>
      <c r="J473" s="142"/>
      <c r="K473" s="142"/>
      <c r="L473" s="142"/>
      <c r="M473" s="142"/>
    </row>
    <row r="474" spans="5:13" ht="12.75">
      <c r="E474" s="143"/>
      <c r="H474" s="66"/>
      <c r="I474" s="142"/>
      <c r="J474" s="142"/>
      <c r="K474" s="142"/>
      <c r="L474" s="142"/>
      <c r="M474" s="142"/>
    </row>
    <row r="475" spans="9:13" ht="12.75">
      <c r="I475" s="142"/>
      <c r="J475" s="142"/>
      <c r="K475" s="142"/>
      <c r="L475" s="142"/>
      <c r="M475" s="142"/>
    </row>
    <row r="476" spans="9:13" ht="12.75">
      <c r="I476" s="129"/>
      <c r="J476" s="129"/>
      <c r="K476" s="129"/>
      <c r="L476" s="129"/>
      <c r="M476" s="129"/>
    </row>
    <row r="477" spans="9:13" ht="16.5" customHeight="1">
      <c r="I477" s="144"/>
      <c r="J477" s="129"/>
      <c r="K477" s="129"/>
      <c r="L477" s="129"/>
      <c r="M477" s="129"/>
    </row>
    <row r="478" spans="1:13" ht="12.75">
      <c r="A478" s="330"/>
      <c r="B478" s="330"/>
      <c r="C478" s="330"/>
      <c r="D478" s="330"/>
      <c r="I478" s="142"/>
      <c r="J478" s="142"/>
      <c r="K478" s="142"/>
      <c r="L478" s="142"/>
      <c r="M478" s="142"/>
    </row>
    <row r="479" spans="9:13" ht="12.75">
      <c r="I479" s="142"/>
      <c r="J479" s="142"/>
      <c r="K479" s="142"/>
      <c r="L479" s="142"/>
      <c r="M479" s="142"/>
    </row>
    <row r="480" spans="9:13" ht="12.75">
      <c r="I480" s="142"/>
      <c r="J480" s="142"/>
      <c r="K480" s="142"/>
      <c r="L480" s="142"/>
      <c r="M480" s="142"/>
    </row>
    <row r="481" spans="9:13" ht="12.75">
      <c r="I481" s="142"/>
      <c r="J481" s="142"/>
      <c r="K481" s="142"/>
      <c r="L481" s="142"/>
      <c r="M481" s="142"/>
    </row>
    <row r="482" spans="9:13" ht="12.75">
      <c r="I482" s="142"/>
      <c r="J482" s="142"/>
      <c r="K482" s="142"/>
      <c r="L482" s="142"/>
      <c r="M482" s="142"/>
    </row>
    <row r="483" spans="9:13" ht="12.75">
      <c r="I483" s="142"/>
      <c r="J483" s="142"/>
      <c r="K483" s="142"/>
      <c r="L483" s="142"/>
      <c r="M483" s="142"/>
    </row>
    <row r="484" spans="9:13" ht="12.75">
      <c r="I484" s="142"/>
      <c r="J484" s="142"/>
      <c r="K484" s="142"/>
      <c r="L484" s="142"/>
      <c r="M484" s="142"/>
    </row>
    <row r="485" spans="9:13" ht="12.75">
      <c r="I485" s="142"/>
      <c r="J485" s="142"/>
      <c r="K485" s="142"/>
      <c r="L485" s="142"/>
      <c r="M485" s="142"/>
    </row>
    <row r="486" spans="9:13" ht="12.75">
      <c r="I486" s="129"/>
      <c r="J486" s="129"/>
      <c r="K486" s="129"/>
      <c r="L486" s="129"/>
      <c r="M486" s="129"/>
    </row>
    <row r="487" spans="9:13" ht="12.75">
      <c r="I487" s="129"/>
      <c r="J487" s="129"/>
      <c r="K487" s="129"/>
      <c r="L487" s="129"/>
      <c r="M487" s="129"/>
    </row>
    <row r="488" spans="9:13" ht="12.75">
      <c r="I488" s="142"/>
      <c r="J488" s="142"/>
      <c r="K488" s="142"/>
      <c r="L488" s="142"/>
      <c r="M488" s="142"/>
    </row>
    <row r="489" spans="9:13" ht="12.75">
      <c r="I489" s="142"/>
      <c r="J489" s="142"/>
      <c r="K489" s="142"/>
      <c r="L489" s="142"/>
      <c r="M489" s="142"/>
    </row>
    <row r="490" spans="9:13" ht="12.75">
      <c r="I490" s="142"/>
      <c r="J490" s="142"/>
      <c r="K490" s="142"/>
      <c r="L490" s="142"/>
      <c r="M490" s="142"/>
    </row>
    <row r="491" spans="9:13" ht="12.75">
      <c r="I491" s="142"/>
      <c r="J491" s="142"/>
      <c r="K491" s="142"/>
      <c r="L491" s="142"/>
      <c r="M491" s="142"/>
    </row>
    <row r="492" spans="9:13" ht="12.75">
      <c r="I492" s="142"/>
      <c r="J492" s="142"/>
      <c r="K492" s="142"/>
      <c r="L492" s="142"/>
      <c r="M492" s="142"/>
    </row>
    <row r="493" spans="9:13" ht="12.75">
      <c r="I493" s="142"/>
      <c r="J493" s="142"/>
      <c r="K493" s="142"/>
      <c r="L493" s="142"/>
      <c r="M493" s="142"/>
    </row>
    <row r="494" spans="9:13" ht="12.75">
      <c r="I494" s="142"/>
      <c r="J494" s="142"/>
      <c r="K494" s="142"/>
      <c r="L494" s="142"/>
      <c r="M494" s="142"/>
    </row>
    <row r="495" spans="9:13" ht="12.75">
      <c r="I495" s="142"/>
      <c r="J495" s="142"/>
      <c r="K495" s="142"/>
      <c r="L495" s="142"/>
      <c r="M495" s="142"/>
    </row>
    <row r="496" spans="9:13" ht="12.75">
      <c r="I496" s="129"/>
      <c r="J496" s="129"/>
      <c r="K496" s="129"/>
      <c r="L496" s="129"/>
      <c r="M496" s="129"/>
    </row>
    <row r="497" spans="9:13" ht="12.75">
      <c r="I497" s="129"/>
      <c r="J497" s="129"/>
      <c r="K497" s="129"/>
      <c r="L497" s="129"/>
      <c r="M497" s="129"/>
    </row>
    <row r="498" spans="9:13" ht="12.75">
      <c r="I498" s="142"/>
      <c r="J498" s="142"/>
      <c r="K498" s="142"/>
      <c r="L498" s="142"/>
      <c r="M498" s="142"/>
    </row>
    <row r="499" spans="9:13" ht="12.75">
      <c r="I499" s="142"/>
      <c r="J499" s="142"/>
      <c r="K499" s="142"/>
      <c r="L499" s="142"/>
      <c r="M499" s="142"/>
    </row>
    <row r="500" spans="9:13" ht="12.75">
      <c r="I500" s="142"/>
      <c r="J500" s="142"/>
      <c r="K500" s="142"/>
      <c r="L500" s="142"/>
      <c r="M500" s="142"/>
    </row>
    <row r="501" spans="9:13" ht="12.75">
      <c r="I501" s="142"/>
      <c r="J501" s="142"/>
      <c r="K501" s="142"/>
      <c r="L501" s="142"/>
      <c r="M501" s="142"/>
    </row>
    <row r="502" spans="9:13" ht="12.75">
      <c r="I502" s="142"/>
      <c r="J502" s="142"/>
      <c r="K502" s="142"/>
      <c r="L502" s="142"/>
      <c r="M502" s="142"/>
    </row>
    <row r="503" spans="9:13" ht="12.75">
      <c r="I503" s="142"/>
      <c r="J503" s="142"/>
      <c r="K503" s="142"/>
      <c r="L503" s="142"/>
      <c r="M503" s="142"/>
    </row>
    <row r="504" spans="9:13" ht="12.75">
      <c r="I504" s="142"/>
      <c r="J504" s="142"/>
      <c r="K504" s="142"/>
      <c r="L504" s="142"/>
      <c r="M504" s="142"/>
    </row>
    <row r="505" spans="9:13" ht="12.75">
      <c r="I505" s="142"/>
      <c r="J505" s="142"/>
      <c r="K505" s="142"/>
      <c r="L505" s="142"/>
      <c r="M505" s="142"/>
    </row>
    <row r="506" spans="9:13" ht="12.75">
      <c r="I506" s="129"/>
      <c r="J506" s="129"/>
      <c r="K506" s="129"/>
      <c r="L506" s="129"/>
      <c r="M506" s="129"/>
    </row>
    <row r="507" spans="9:13" ht="12.75">
      <c r="I507" s="129"/>
      <c r="J507" s="129"/>
      <c r="K507" s="129"/>
      <c r="L507" s="129"/>
      <c r="M507" s="129"/>
    </row>
    <row r="508" spans="9:13" ht="12.75">
      <c r="I508" s="142"/>
      <c r="J508" s="142"/>
      <c r="K508" s="142"/>
      <c r="L508" s="142"/>
      <c r="M508" s="142"/>
    </row>
    <row r="509" spans="9:13" ht="12.75">
      <c r="I509" s="142"/>
      <c r="J509" s="142"/>
      <c r="K509" s="142"/>
      <c r="L509" s="142"/>
      <c r="M509" s="142"/>
    </row>
    <row r="510" spans="9:13" ht="12.75">
      <c r="I510" s="142"/>
      <c r="J510" s="142"/>
      <c r="K510" s="142"/>
      <c r="L510" s="142"/>
      <c r="M510" s="142"/>
    </row>
    <row r="511" spans="9:13" ht="12.75">
      <c r="I511" s="142"/>
      <c r="J511" s="142"/>
      <c r="K511" s="142"/>
      <c r="L511" s="142"/>
      <c r="M511" s="142"/>
    </row>
    <row r="512" spans="9:13" ht="12.75">
      <c r="I512" s="142"/>
      <c r="J512" s="142"/>
      <c r="K512" s="142"/>
      <c r="L512" s="142"/>
      <c r="M512" s="142"/>
    </row>
    <row r="513" spans="9:13" ht="12.75">
      <c r="I513" s="142"/>
      <c r="J513" s="142"/>
      <c r="K513" s="142"/>
      <c r="L513" s="142"/>
      <c r="M513" s="142"/>
    </row>
    <row r="514" spans="9:13" ht="12.75">
      <c r="I514" s="142"/>
      <c r="J514" s="142"/>
      <c r="K514" s="142"/>
      <c r="L514" s="142"/>
      <c r="M514" s="142"/>
    </row>
    <row r="515" spans="9:13" ht="12.75">
      <c r="I515" s="142"/>
      <c r="J515" s="142"/>
      <c r="K515" s="142"/>
      <c r="L515" s="142"/>
      <c r="M515" s="142"/>
    </row>
    <row r="516" spans="9:13" ht="12.75">
      <c r="I516" s="129"/>
      <c r="J516" s="129"/>
      <c r="K516" s="129"/>
      <c r="L516" s="129"/>
      <c r="M516" s="129"/>
    </row>
    <row r="517" spans="9:13" ht="12.75">
      <c r="I517" s="129"/>
      <c r="J517" s="129"/>
      <c r="K517" s="129"/>
      <c r="L517" s="129"/>
      <c r="M517" s="129"/>
    </row>
    <row r="518" spans="9:13" ht="12.75">
      <c r="I518" s="142"/>
      <c r="J518" s="142"/>
      <c r="K518" s="142"/>
      <c r="L518" s="142"/>
      <c r="M518" s="142"/>
    </row>
    <row r="519" spans="9:13" ht="12.75">
      <c r="I519" s="142"/>
      <c r="J519" s="142"/>
      <c r="K519" s="142"/>
      <c r="L519" s="142"/>
      <c r="M519" s="142"/>
    </row>
    <row r="520" spans="9:13" ht="12.75">
      <c r="I520" s="142"/>
      <c r="J520" s="142"/>
      <c r="K520" s="142"/>
      <c r="L520" s="142"/>
      <c r="M520" s="142"/>
    </row>
    <row r="521" spans="9:13" ht="12.75">
      <c r="I521" s="142"/>
      <c r="J521" s="142"/>
      <c r="K521" s="142"/>
      <c r="L521" s="142"/>
      <c r="M521" s="142"/>
    </row>
    <row r="522" spans="9:13" ht="12.75">
      <c r="I522" s="142"/>
      <c r="J522" s="142"/>
      <c r="K522" s="142"/>
      <c r="L522" s="142"/>
      <c r="M522" s="142"/>
    </row>
    <row r="523" spans="9:13" ht="12.75">
      <c r="I523" s="142"/>
      <c r="J523" s="142"/>
      <c r="K523" s="142"/>
      <c r="L523" s="142"/>
      <c r="M523" s="142"/>
    </row>
    <row r="524" spans="9:13" ht="12.75">
      <c r="I524" s="142"/>
      <c r="J524" s="142"/>
      <c r="K524" s="142"/>
      <c r="L524" s="142"/>
      <c r="M524" s="142"/>
    </row>
    <row r="525" spans="9:13" ht="12.75">
      <c r="I525" s="142"/>
      <c r="J525" s="142"/>
      <c r="K525" s="142"/>
      <c r="L525" s="142"/>
      <c r="M525" s="142"/>
    </row>
    <row r="526" spans="9:13" ht="12.75">
      <c r="I526" s="129"/>
      <c r="J526" s="129"/>
      <c r="K526" s="129"/>
      <c r="L526" s="129"/>
      <c r="M526" s="129"/>
    </row>
    <row r="527" spans="9:13" ht="12.75">
      <c r="I527" s="129"/>
      <c r="J527" s="129"/>
      <c r="K527" s="129"/>
      <c r="L527" s="129"/>
      <c r="M527" s="129"/>
    </row>
    <row r="528" spans="9:13" ht="12.75">
      <c r="I528" s="142"/>
      <c r="J528" s="142"/>
      <c r="K528" s="142"/>
      <c r="L528" s="142"/>
      <c r="M528" s="142"/>
    </row>
    <row r="529" spans="9:13" ht="12.75">
      <c r="I529" s="142"/>
      <c r="J529" s="142"/>
      <c r="K529" s="142"/>
      <c r="L529" s="142"/>
      <c r="M529" s="142"/>
    </row>
    <row r="530" spans="9:13" ht="12.75">
      <c r="I530" s="142"/>
      <c r="J530" s="142"/>
      <c r="K530" s="142"/>
      <c r="L530" s="142"/>
      <c r="M530" s="142"/>
    </row>
    <row r="531" spans="9:13" ht="12.75">
      <c r="I531" s="142"/>
      <c r="J531" s="142"/>
      <c r="K531" s="142"/>
      <c r="L531" s="142"/>
      <c r="M531" s="142"/>
    </row>
    <row r="532" spans="9:13" ht="12.75">
      <c r="I532" s="142"/>
      <c r="J532" s="142"/>
      <c r="K532" s="142"/>
      <c r="L532" s="142"/>
      <c r="M532" s="142"/>
    </row>
    <row r="533" spans="9:13" ht="12.75">
      <c r="I533" s="142"/>
      <c r="J533" s="142"/>
      <c r="K533" s="142"/>
      <c r="L533" s="142"/>
      <c r="M533" s="142"/>
    </row>
    <row r="534" spans="9:13" ht="12.75">
      <c r="I534" s="142"/>
      <c r="J534" s="142"/>
      <c r="K534" s="142"/>
      <c r="L534" s="142"/>
      <c r="M534" s="142"/>
    </row>
    <row r="535" spans="9:13" ht="12.75">
      <c r="I535" s="142"/>
      <c r="J535" s="142"/>
      <c r="K535" s="142"/>
      <c r="L535" s="142"/>
      <c r="M535" s="142"/>
    </row>
    <row r="536" spans="9:13" ht="12.75">
      <c r="I536" s="129"/>
      <c r="J536" s="129"/>
      <c r="K536" s="129"/>
      <c r="L536" s="129"/>
      <c r="M536" s="129"/>
    </row>
    <row r="537" spans="9:13" ht="12.75">
      <c r="I537" s="129"/>
      <c r="J537" s="129"/>
      <c r="K537" s="129"/>
      <c r="L537" s="129"/>
      <c r="M537" s="129"/>
    </row>
    <row r="538" spans="9:13" ht="12.75">
      <c r="I538" s="142"/>
      <c r="J538" s="142"/>
      <c r="K538" s="142"/>
      <c r="L538" s="142"/>
      <c r="M538" s="142"/>
    </row>
    <row r="539" spans="9:13" ht="12.75">
      <c r="I539" s="142"/>
      <c r="J539" s="142"/>
      <c r="K539" s="142"/>
      <c r="L539" s="142"/>
      <c r="M539" s="142"/>
    </row>
    <row r="540" spans="9:13" ht="12.75">
      <c r="I540" s="142"/>
      <c r="J540" s="142"/>
      <c r="K540" s="142"/>
      <c r="L540" s="142"/>
      <c r="M540" s="142"/>
    </row>
    <row r="541" spans="9:13" ht="12.75">
      <c r="I541" s="142"/>
      <c r="J541" s="142"/>
      <c r="K541" s="142"/>
      <c r="L541" s="142"/>
      <c r="M541" s="142"/>
    </row>
    <row r="542" spans="9:13" ht="12.75">
      <c r="I542" s="142"/>
      <c r="J542" s="142"/>
      <c r="K542" s="142"/>
      <c r="L542" s="142"/>
      <c r="M542" s="142"/>
    </row>
    <row r="543" spans="9:13" ht="12.75">
      <c r="I543" s="142"/>
      <c r="J543" s="142"/>
      <c r="K543" s="142"/>
      <c r="L543" s="142"/>
      <c r="M543" s="142"/>
    </row>
    <row r="544" spans="9:13" ht="12.75">
      <c r="I544" s="142"/>
      <c r="J544" s="142"/>
      <c r="K544" s="142"/>
      <c r="L544" s="142"/>
      <c r="M544" s="142"/>
    </row>
    <row r="545" spans="9:13" ht="12.75">
      <c r="I545" s="142"/>
      <c r="J545" s="142"/>
      <c r="K545" s="142"/>
      <c r="L545" s="142"/>
      <c r="M545" s="142"/>
    </row>
    <row r="546" spans="9:13" ht="12.75">
      <c r="I546" s="129"/>
      <c r="J546" s="129"/>
      <c r="K546" s="129"/>
      <c r="L546" s="129"/>
      <c r="M546" s="129"/>
    </row>
    <row r="547" spans="9:13" ht="12.75">
      <c r="I547" s="129"/>
      <c r="J547" s="129"/>
      <c r="K547" s="129"/>
      <c r="L547" s="129"/>
      <c r="M547" s="129"/>
    </row>
    <row r="548" spans="9:13" ht="12.75">
      <c r="I548" s="142"/>
      <c r="J548" s="142"/>
      <c r="K548" s="142"/>
      <c r="L548" s="142"/>
      <c r="M548" s="142"/>
    </row>
    <row r="549" spans="9:13" ht="12.75">
      <c r="I549" s="142"/>
      <c r="J549" s="142"/>
      <c r="K549" s="142"/>
      <c r="L549" s="142"/>
      <c r="M549" s="142"/>
    </row>
    <row r="550" spans="9:13" ht="12.75">
      <c r="I550" s="142"/>
      <c r="J550" s="142"/>
      <c r="K550" s="142"/>
      <c r="L550" s="142"/>
      <c r="M550" s="142"/>
    </row>
    <row r="551" spans="9:13" ht="12.75">
      <c r="I551" s="142"/>
      <c r="J551" s="142"/>
      <c r="K551" s="142"/>
      <c r="L551" s="142"/>
      <c r="M551" s="142"/>
    </row>
    <row r="552" spans="9:13" ht="12.75">
      <c r="I552" s="142"/>
      <c r="J552" s="142"/>
      <c r="K552" s="142"/>
      <c r="L552" s="142"/>
      <c r="M552" s="142"/>
    </row>
    <row r="553" spans="9:13" ht="12.75">
      <c r="I553" s="142"/>
      <c r="J553" s="142"/>
      <c r="K553" s="142"/>
      <c r="L553" s="142"/>
      <c r="M553" s="142"/>
    </row>
    <row r="554" spans="9:13" ht="12.75">
      <c r="I554" s="142"/>
      <c r="J554" s="142"/>
      <c r="K554" s="142"/>
      <c r="L554" s="142"/>
      <c r="M554" s="142"/>
    </row>
    <row r="555" spans="9:13" ht="12.75">
      <c r="I555" s="142"/>
      <c r="J555" s="142"/>
      <c r="K555" s="142"/>
      <c r="L555" s="142"/>
      <c r="M555" s="142"/>
    </row>
    <row r="556" spans="9:13" ht="12.75">
      <c r="I556" s="129"/>
      <c r="J556" s="129"/>
      <c r="K556" s="129"/>
      <c r="L556" s="129"/>
      <c r="M556" s="129"/>
    </row>
    <row r="557" spans="9:13" ht="12.75">
      <c r="I557" s="129"/>
      <c r="J557" s="129"/>
      <c r="K557" s="129"/>
      <c r="L557" s="129"/>
      <c r="M557" s="129"/>
    </row>
    <row r="558" spans="9:13" ht="12.75">
      <c r="I558" s="142"/>
      <c r="J558" s="142"/>
      <c r="K558" s="142"/>
      <c r="L558" s="142"/>
      <c r="M558" s="142"/>
    </row>
    <row r="559" spans="9:13" ht="12.75">
      <c r="I559" s="142"/>
      <c r="J559" s="142"/>
      <c r="K559" s="142"/>
      <c r="L559" s="142"/>
      <c r="M559" s="142"/>
    </row>
    <row r="560" spans="9:13" ht="12.75">
      <c r="I560" s="142"/>
      <c r="J560" s="142"/>
      <c r="K560" s="142"/>
      <c r="L560" s="142"/>
      <c r="M560" s="142"/>
    </row>
    <row r="561" spans="9:13" ht="12.75">
      <c r="I561" s="142"/>
      <c r="J561" s="142"/>
      <c r="K561" s="142"/>
      <c r="L561" s="142"/>
      <c r="M561" s="142"/>
    </row>
    <row r="562" spans="9:13" ht="12.75">
      <c r="I562" s="142"/>
      <c r="J562" s="142"/>
      <c r="K562" s="142"/>
      <c r="L562" s="142"/>
      <c r="M562" s="142"/>
    </row>
    <row r="563" spans="9:13" ht="12.75">
      <c r="I563" s="142"/>
      <c r="J563" s="142"/>
      <c r="K563" s="142"/>
      <c r="L563" s="142"/>
      <c r="M563" s="142"/>
    </row>
    <row r="564" spans="9:13" ht="12.75">
      <c r="I564" s="142"/>
      <c r="J564" s="142"/>
      <c r="K564" s="142"/>
      <c r="L564" s="142"/>
      <c r="M564" s="142"/>
    </row>
    <row r="565" spans="9:13" ht="12.75">
      <c r="I565" s="142"/>
      <c r="J565" s="142"/>
      <c r="K565" s="142"/>
      <c r="L565" s="142"/>
      <c r="M565" s="142"/>
    </row>
    <row r="566" spans="9:13" ht="12.75">
      <c r="I566" s="129"/>
      <c r="J566" s="129"/>
      <c r="K566" s="129"/>
      <c r="L566" s="129"/>
      <c r="M566" s="129"/>
    </row>
    <row r="567" spans="9:13" ht="12.75">
      <c r="I567" s="129"/>
      <c r="J567" s="129"/>
      <c r="K567" s="129"/>
      <c r="L567" s="129"/>
      <c r="M567" s="129"/>
    </row>
    <row r="568" spans="9:13" ht="12.75">
      <c r="I568" s="142"/>
      <c r="J568" s="142"/>
      <c r="K568" s="142"/>
      <c r="L568" s="142"/>
      <c r="M568" s="142"/>
    </row>
    <row r="569" spans="9:13" ht="12.75">
      <c r="I569" s="142"/>
      <c r="J569" s="142"/>
      <c r="K569" s="142"/>
      <c r="L569" s="142"/>
      <c r="M569" s="142"/>
    </row>
    <row r="570" spans="9:13" ht="12.75">
      <c r="I570" s="142"/>
      <c r="J570" s="142"/>
      <c r="K570" s="142"/>
      <c r="L570" s="142"/>
      <c r="M570" s="142"/>
    </row>
    <row r="571" spans="9:13" ht="12.75">
      <c r="I571" s="142"/>
      <c r="J571" s="142"/>
      <c r="K571" s="142"/>
      <c r="L571" s="142"/>
      <c r="M571" s="142"/>
    </row>
    <row r="572" spans="9:13" ht="12.75">
      <c r="I572" s="142"/>
      <c r="J572" s="142"/>
      <c r="K572" s="142"/>
      <c r="L572" s="142"/>
      <c r="M572" s="142"/>
    </row>
    <row r="573" spans="9:13" ht="12.75">
      <c r="I573" s="142"/>
      <c r="J573" s="142"/>
      <c r="K573" s="142"/>
      <c r="L573" s="142"/>
      <c r="M573" s="142"/>
    </row>
    <row r="574" spans="9:13" ht="12.75">
      <c r="I574" s="142"/>
      <c r="J574" s="142"/>
      <c r="K574" s="142"/>
      <c r="L574" s="142"/>
      <c r="M574" s="142"/>
    </row>
    <row r="575" spans="9:13" ht="12.75">
      <c r="I575" s="142"/>
      <c r="J575" s="142"/>
      <c r="K575" s="142"/>
      <c r="L575" s="142"/>
      <c r="M575" s="142"/>
    </row>
    <row r="576" spans="9:13" ht="12.75">
      <c r="I576" s="129"/>
      <c r="J576" s="129"/>
      <c r="K576" s="129"/>
      <c r="L576" s="129"/>
      <c r="M576" s="129"/>
    </row>
    <row r="577" spans="9:13" ht="12.75">
      <c r="I577" s="129"/>
      <c r="J577" s="129"/>
      <c r="K577" s="129"/>
      <c r="L577" s="129"/>
      <c r="M577" s="129"/>
    </row>
    <row r="578" spans="9:13" ht="12.75">
      <c r="I578" s="142"/>
      <c r="J578" s="142"/>
      <c r="K578" s="142"/>
      <c r="L578" s="142"/>
      <c r="M578" s="142"/>
    </row>
    <row r="579" spans="9:13" ht="12.75">
      <c r="I579" s="142"/>
      <c r="J579" s="142"/>
      <c r="K579" s="142"/>
      <c r="L579" s="142"/>
      <c r="M579" s="142"/>
    </row>
    <row r="580" spans="9:13" ht="12.75">
      <c r="I580" s="142"/>
      <c r="J580" s="142"/>
      <c r="K580" s="142"/>
      <c r="L580" s="142"/>
      <c r="M580" s="142"/>
    </row>
    <row r="581" spans="9:13" ht="12.75">
      <c r="I581" s="142"/>
      <c r="J581" s="142"/>
      <c r="K581" s="142"/>
      <c r="L581" s="142"/>
      <c r="M581" s="142"/>
    </row>
    <row r="582" spans="9:13" ht="12.75">
      <c r="I582" s="142"/>
      <c r="J582" s="142"/>
      <c r="K582" s="142"/>
      <c r="L582" s="142"/>
      <c r="M582" s="142"/>
    </row>
    <row r="583" spans="9:13" ht="12.75">
      <c r="I583" s="142"/>
      <c r="J583" s="142"/>
      <c r="K583" s="142"/>
      <c r="L583" s="142"/>
      <c r="M583" s="142"/>
    </row>
    <row r="584" spans="9:13" ht="12.75">
      <c r="I584" s="142"/>
      <c r="J584" s="142"/>
      <c r="K584" s="142"/>
      <c r="L584" s="142"/>
      <c r="M584" s="142"/>
    </row>
    <row r="585" spans="9:13" ht="12.75">
      <c r="I585" s="142"/>
      <c r="J585" s="142"/>
      <c r="K585" s="142"/>
      <c r="L585" s="142"/>
      <c r="M585" s="142"/>
    </row>
    <row r="586" spans="9:13" ht="12.75">
      <c r="I586" s="129"/>
      <c r="J586" s="129"/>
      <c r="K586" s="129"/>
      <c r="L586" s="129"/>
      <c r="M586" s="129"/>
    </row>
    <row r="587" spans="9:13" ht="12.75">
      <c r="I587" s="129"/>
      <c r="J587" s="129"/>
      <c r="K587" s="129"/>
      <c r="L587" s="129"/>
      <c r="M587" s="129"/>
    </row>
    <row r="588" spans="9:13" ht="12.75">
      <c r="I588" s="142"/>
      <c r="J588" s="142"/>
      <c r="K588" s="142"/>
      <c r="L588" s="142"/>
      <c r="M588" s="142"/>
    </row>
    <row r="589" spans="9:13" ht="12.75">
      <c r="I589" s="142"/>
      <c r="J589" s="142"/>
      <c r="K589" s="142"/>
      <c r="L589" s="142"/>
      <c r="M589" s="142"/>
    </row>
    <row r="590" spans="9:13" ht="12.75">
      <c r="I590" s="142"/>
      <c r="J590" s="142"/>
      <c r="K590" s="142"/>
      <c r="L590" s="142"/>
      <c r="M590" s="142"/>
    </row>
    <row r="591" spans="9:13" ht="12.75">
      <c r="I591" s="142"/>
      <c r="J591" s="142"/>
      <c r="K591" s="142"/>
      <c r="L591" s="142"/>
      <c r="M591" s="142"/>
    </row>
    <row r="592" spans="9:13" ht="12.75">
      <c r="I592" s="142"/>
      <c r="J592" s="142"/>
      <c r="K592" s="142"/>
      <c r="L592" s="142"/>
      <c r="M592" s="142"/>
    </row>
    <row r="593" spans="9:13" ht="12.75">
      <c r="I593" s="142"/>
      <c r="J593" s="142"/>
      <c r="K593" s="142"/>
      <c r="L593" s="142"/>
      <c r="M593" s="142"/>
    </row>
    <row r="594" spans="9:13" ht="12.75">
      <c r="I594" s="142"/>
      <c r="J594" s="142"/>
      <c r="K594" s="142"/>
      <c r="L594" s="142"/>
      <c r="M594" s="142"/>
    </row>
    <row r="595" spans="9:13" ht="12.75">
      <c r="I595" s="142"/>
      <c r="J595" s="142"/>
      <c r="K595" s="142"/>
      <c r="L595" s="142"/>
      <c r="M595" s="142"/>
    </row>
    <row r="596" spans="9:13" ht="12.75">
      <c r="I596" s="129"/>
      <c r="J596" s="129"/>
      <c r="K596" s="129"/>
      <c r="L596" s="129"/>
      <c r="M596" s="129"/>
    </row>
    <row r="597" spans="9:13" ht="12.75">
      <c r="I597" s="129"/>
      <c r="J597" s="129"/>
      <c r="K597" s="129"/>
      <c r="L597" s="129"/>
      <c r="M597" s="129"/>
    </row>
    <row r="598" spans="9:13" ht="12.75">
      <c r="I598" s="142"/>
      <c r="J598" s="142"/>
      <c r="K598" s="142"/>
      <c r="L598" s="142"/>
      <c r="M598" s="142"/>
    </row>
    <row r="599" spans="9:13" ht="12.75">
      <c r="I599" s="142"/>
      <c r="J599" s="142"/>
      <c r="K599" s="142"/>
      <c r="L599" s="142"/>
      <c r="M599" s="142"/>
    </row>
    <row r="600" spans="9:13" ht="12.75">
      <c r="I600" s="142"/>
      <c r="J600" s="142"/>
      <c r="K600" s="142"/>
      <c r="L600" s="142"/>
      <c r="M600" s="142"/>
    </row>
    <row r="601" spans="9:13" ht="12.75">
      <c r="I601" s="142"/>
      <c r="J601" s="142"/>
      <c r="K601" s="142"/>
      <c r="L601" s="142"/>
      <c r="M601" s="142"/>
    </row>
    <row r="602" spans="9:13" ht="12.75">
      <c r="I602" s="142"/>
      <c r="J602" s="142"/>
      <c r="K602" s="142"/>
      <c r="L602" s="142"/>
      <c r="M602" s="142"/>
    </row>
    <row r="603" spans="9:13" ht="12.75">
      <c r="I603" s="142"/>
      <c r="J603" s="142"/>
      <c r="K603" s="142"/>
      <c r="L603" s="142"/>
      <c r="M603" s="142"/>
    </row>
    <row r="604" spans="9:13" ht="12.75">
      <c r="I604" s="142"/>
      <c r="J604" s="142"/>
      <c r="K604" s="142"/>
      <c r="L604" s="142"/>
      <c r="M604" s="142"/>
    </row>
    <row r="605" spans="9:13" ht="12.75">
      <c r="I605" s="142"/>
      <c r="J605" s="142"/>
      <c r="K605" s="142"/>
      <c r="L605" s="142"/>
      <c r="M605" s="142"/>
    </row>
    <row r="606" spans="9:13" ht="12.75">
      <c r="I606" s="129"/>
      <c r="J606" s="129"/>
      <c r="K606" s="129"/>
      <c r="L606" s="129"/>
      <c r="M606" s="129"/>
    </row>
    <row r="607" spans="9:13" ht="12.75">
      <c r="I607" s="129"/>
      <c r="J607" s="129"/>
      <c r="K607" s="129"/>
      <c r="L607" s="129"/>
      <c r="M607" s="129"/>
    </row>
  </sheetData>
  <mergeCells count="471">
    <mergeCell ref="E166:E175"/>
    <mergeCell ref="D176:D185"/>
    <mergeCell ref="C166:C175"/>
    <mergeCell ref="D166:D175"/>
    <mergeCell ref="B286:B295"/>
    <mergeCell ref="F286:F290"/>
    <mergeCell ref="M3:M4"/>
    <mergeCell ref="J3:J4"/>
    <mergeCell ref="E176:E185"/>
    <mergeCell ref="F176:F180"/>
    <mergeCell ref="G177:G178"/>
    <mergeCell ref="G180:G181"/>
    <mergeCell ref="F181:F185"/>
    <mergeCell ref="F171:F175"/>
    <mergeCell ref="A306:A315"/>
    <mergeCell ref="B306:B315"/>
    <mergeCell ref="C306:C315"/>
    <mergeCell ref="D306:D315"/>
    <mergeCell ref="G330:G331"/>
    <mergeCell ref="F331:F335"/>
    <mergeCell ref="G333:G335"/>
    <mergeCell ref="G280:G281"/>
    <mergeCell ref="F326:F330"/>
    <mergeCell ref="G327:G328"/>
    <mergeCell ref="F316:F320"/>
    <mergeCell ref="F281:F285"/>
    <mergeCell ref="G283:G285"/>
    <mergeCell ref="G320:G321"/>
    <mergeCell ref="F361:F365"/>
    <mergeCell ref="G363:G365"/>
    <mergeCell ref="D356:D365"/>
    <mergeCell ref="E356:E365"/>
    <mergeCell ref="F356:F360"/>
    <mergeCell ref="G357:G358"/>
    <mergeCell ref="D16:D25"/>
    <mergeCell ref="E16:E25"/>
    <mergeCell ref="F16:F20"/>
    <mergeCell ref="G17:G18"/>
    <mergeCell ref="G20:G21"/>
    <mergeCell ref="F21:F25"/>
    <mergeCell ref="G23:G25"/>
    <mergeCell ref="A16:A25"/>
    <mergeCell ref="B16:B25"/>
    <mergeCell ref="C16:C25"/>
    <mergeCell ref="A236:A245"/>
    <mergeCell ref="B236:B245"/>
    <mergeCell ref="C236:C245"/>
    <mergeCell ref="A176:A185"/>
    <mergeCell ref="C226:C235"/>
    <mergeCell ref="B176:B185"/>
    <mergeCell ref="B156:B165"/>
    <mergeCell ref="B266:B275"/>
    <mergeCell ref="B106:B115"/>
    <mergeCell ref="C106:C115"/>
    <mergeCell ref="C116:C125"/>
    <mergeCell ref="B126:B135"/>
    <mergeCell ref="C246:C255"/>
    <mergeCell ref="C256:C265"/>
    <mergeCell ref="C266:C275"/>
    <mergeCell ref="C156:C165"/>
    <mergeCell ref="C176:C185"/>
    <mergeCell ref="C46:C55"/>
    <mergeCell ref="C56:C65"/>
    <mergeCell ref="C66:C75"/>
    <mergeCell ref="B46:B55"/>
    <mergeCell ref="B56:B65"/>
    <mergeCell ref="B66:B75"/>
    <mergeCell ref="B26:B35"/>
    <mergeCell ref="B36:B45"/>
    <mergeCell ref="C26:C35"/>
    <mergeCell ref="C36:C45"/>
    <mergeCell ref="B3:B4"/>
    <mergeCell ref="C3:C4"/>
    <mergeCell ref="B6:B15"/>
    <mergeCell ref="C6:C15"/>
    <mergeCell ref="A426:A435"/>
    <mergeCell ref="A436:A445"/>
    <mergeCell ref="B326:B335"/>
    <mergeCell ref="B196:B205"/>
    <mergeCell ref="B226:B235"/>
    <mergeCell ref="B246:B255"/>
    <mergeCell ref="B256:B265"/>
    <mergeCell ref="A396:A405"/>
    <mergeCell ref="B316:B325"/>
    <mergeCell ref="A386:A395"/>
    <mergeCell ref="A446:A455"/>
    <mergeCell ref="D446:D455"/>
    <mergeCell ref="E446:E455"/>
    <mergeCell ref="F446:F450"/>
    <mergeCell ref="F451:F455"/>
    <mergeCell ref="B446:B455"/>
    <mergeCell ref="C446:C455"/>
    <mergeCell ref="C436:C445"/>
    <mergeCell ref="G453:G455"/>
    <mergeCell ref="B426:B435"/>
    <mergeCell ref="C426:C435"/>
    <mergeCell ref="B436:B445"/>
    <mergeCell ref="D426:D435"/>
    <mergeCell ref="D436:D445"/>
    <mergeCell ref="E436:E445"/>
    <mergeCell ref="E426:E435"/>
    <mergeCell ref="G437:G438"/>
    <mergeCell ref="G440:G441"/>
    <mergeCell ref="F441:F445"/>
    <mergeCell ref="G443:G445"/>
    <mergeCell ref="F436:F440"/>
    <mergeCell ref="F426:F430"/>
    <mergeCell ref="G427:G428"/>
    <mergeCell ref="D396:D405"/>
    <mergeCell ref="E396:E405"/>
    <mergeCell ref="C186:C190"/>
    <mergeCell ref="C191:C195"/>
    <mergeCell ref="C196:C205"/>
    <mergeCell ref="C276:C285"/>
    <mergeCell ref="D316:D325"/>
    <mergeCell ref="E316:E325"/>
    <mergeCell ref="E256:E265"/>
    <mergeCell ref="D296:D305"/>
    <mergeCell ref="E386:E395"/>
    <mergeCell ref="A326:A335"/>
    <mergeCell ref="B356:B365"/>
    <mergeCell ref="A336:A345"/>
    <mergeCell ref="D336:D345"/>
    <mergeCell ref="E336:E345"/>
    <mergeCell ref="D326:D335"/>
    <mergeCell ref="E326:E335"/>
    <mergeCell ref="E366:E375"/>
    <mergeCell ref="A66:A75"/>
    <mergeCell ref="D66:D75"/>
    <mergeCell ref="A276:A285"/>
    <mergeCell ref="D276:D285"/>
    <mergeCell ref="B186:B190"/>
    <mergeCell ref="B191:B195"/>
    <mergeCell ref="B86:B95"/>
    <mergeCell ref="B96:B105"/>
    <mergeCell ref="C86:C95"/>
    <mergeCell ref="C96:C105"/>
    <mergeCell ref="F41:F45"/>
    <mergeCell ref="G43:G45"/>
    <mergeCell ref="F36:F40"/>
    <mergeCell ref="A46:A55"/>
    <mergeCell ref="D46:D55"/>
    <mergeCell ref="E46:E55"/>
    <mergeCell ref="F46:F50"/>
    <mergeCell ref="G47:G48"/>
    <mergeCell ref="G50:G51"/>
    <mergeCell ref="F51:F55"/>
    <mergeCell ref="G37:G38"/>
    <mergeCell ref="G40:G41"/>
    <mergeCell ref="G53:G55"/>
    <mergeCell ref="G183:G185"/>
    <mergeCell ref="G167:G168"/>
    <mergeCell ref="G170:G171"/>
    <mergeCell ref="G173:G175"/>
    <mergeCell ref="G77:G78"/>
    <mergeCell ref="G57:G58"/>
    <mergeCell ref="G60:G61"/>
    <mergeCell ref="E76:E85"/>
    <mergeCell ref="F81:F85"/>
    <mergeCell ref="G83:G85"/>
    <mergeCell ref="G80:G81"/>
    <mergeCell ref="A356:A365"/>
    <mergeCell ref="G277:G278"/>
    <mergeCell ref="G267:G268"/>
    <mergeCell ref="G270:G271"/>
    <mergeCell ref="G290:G291"/>
    <mergeCell ref="G307:G308"/>
    <mergeCell ref="G310:G311"/>
    <mergeCell ref="G273:G275"/>
    <mergeCell ref="C316:C325"/>
    <mergeCell ref="A316:A325"/>
    <mergeCell ref="E306:E315"/>
    <mergeCell ref="G293:G295"/>
    <mergeCell ref="F306:F310"/>
    <mergeCell ref="G313:G315"/>
    <mergeCell ref="E286:E295"/>
    <mergeCell ref="F301:F305"/>
    <mergeCell ref="G303:G305"/>
    <mergeCell ref="G287:G288"/>
    <mergeCell ref="G297:G298"/>
    <mergeCell ref="G300:G301"/>
    <mergeCell ref="F276:F280"/>
    <mergeCell ref="E276:E285"/>
    <mergeCell ref="B276:B285"/>
    <mergeCell ref="A256:A265"/>
    <mergeCell ref="D256:D265"/>
    <mergeCell ref="A266:A275"/>
    <mergeCell ref="D266:D275"/>
    <mergeCell ref="E266:E275"/>
    <mergeCell ref="F266:F270"/>
    <mergeCell ref="F271:F275"/>
    <mergeCell ref="G240:G241"/>
    <mergeCell ref="F241:F245"/>
    <mergeCell ref="G243:G245"/>
    <mergeCell ref="A246:A255"/>
    <mergeCell ref="D246:D255"/>
    <mergeCell ref="E246:E255"/>
    <mergeCell ref="D236:D245"/>
    <mergeCell ref="E236:E245"/>
    <mergeCell ref="F236:F240"/>
    <mergeCell ref="G237:G238"/>
    <mergeCell ref="G247:G248"/>
    <mergeCell ref="G250:G251"/>
    <mergeCell ref="F251:F255"/>
    <mergeCell ref="G253:G255"/>
    <mergeCell ref="D36:D45"/>
    <mergeCell ref="E36:E45"/>
    <mergeCell ref="F56:F60"/>
    <mergeCell ref="G257:G258"/>
    <mergeCell ref="F246:F250"/>
    <mergeCell ref="E66:E75"/>
    <mergeCell ref="G67:G68"/>
    <mergeCell ref="G70:G71"/>
    <mergeCell ref="F71:F75"/>
    <mergeCell ref="G73:G75"/>
    <mergeCell ref="F26:F30"/>
    <mergeCell ref="G27:G28"/>
    <mergeCell ref="G30:G31"/>
    <mergeCell ref="F31:F35"/>
    <mergeCell ref="G33:G35"/>
    <mergeCell ref="G230:G231"/>
    <mergeCell ref="F231:F235"/>
    <mergeCell ref="G233:G235"/>
    <mergeCell ref="F196:F200"/>
    <mergeCell ref="G207:G208"/>
    <mergeCell ref="G210:G211"/>
    <mergeCell ref="F211:F215"/>
    <mergeCell ref="G213:G215"/>
    <mergeCell ref="F226:F230"/>
    <mergeCell ref="G227:G228"/>
    <mergeCell ref="A226:A235"/>
    <mergeCell ref="D226:D235"/>
    <mergeCell ref="E226:E235"/>
    <mergeCell ref="G197:G198"/>
    <mergeCell ref="G200:G201"/>
    <mergeCell ref="F201:F205"/>
    <mergeCell ref="G203:G205"/>
    <mergeCell ref="A196:A205"/>
    <mergeCell ref="D196:D205"/>
    <mergeCell ref="E196:E205"/>
    <mergeCell ref="G63:G65"/>
    <mergeCell ref="G157:G158"/>
    <mergeCell ref="G160:G161"/>
    <mergeCell ref="F161:F165"/>
    <mergeCell ref="G163:G165"/>
    <mergeCell ref="F66:F70"/>
    <mergeCell ref="G100:G101"/>
    <mergeCell ref="F101:F105"/>
    <mergeCell ref="G103:G105"/>
    <mergeCell ref="F76:F80"/>
    <mergeCell ref="G187:G188"/>
    <mergeCell ref="G190:G191"/>
    <mergeCell ref="F191:F195"/>
    <mergeCell ref="G193:G195"/>
    <mergeCell ref="F186:F190"/>
    <mergeCell ref="D146:D155"/>
    <mergeCell ref="A126:A135"/>
    <mergeCell ref="D126:D135"/>
    <mergeCell ref="A106:A115"/>
    <mergeCell ref="D106:D115"/>
    <mergeCell ref="A186:A195"/>
    <mergeCell ref="D186:D195"/>
    <mergeCell ref="E186:E195"/>
    <mergeCell ref="F156:F160"/>
    <mergeCell ref="A156:A165"/>
    <mergeCell ref="D156:D165"/>
    <mergeCell ref="E156:E165"/>
    <mergeCell ref="A166:A175"/>
    <mergeCell ref="B166:B175"/>
    <mergeCell ref="F166:F170"/>
    <mergeCell ref="E146:E155"/>
    <mergeCell ref="F136:F140"/>
    <mergeCell ref="A136:A145"/>
    <mergeCell ref="D136:D145"/>
    <mergeCell ref="B136:B145"/>
    <mergeCell ref="B146:B155"/>
    <mergeCell ref="C136:C145"/>
    <mergeCell ref="C146:C155"/>
    <mergeCell ref="E136:E145"/>
    <mergeCell ref="A146:A155"/>
    <mergeCell ref="G147:G148"/>
    <mergeCell ref="G150:G151"/>
    <mergeCell ref="F151:F155"/>
    <mergeCell ref="G153:G155"/>
    <mergeCell ref="F146:F150"/>
    <mergeCell ref="F6:F10"/>
    <mergeCell ref="G7:G8"/>
    <mergeCell ref="G10:G11"/>
    <mergeCell ref="F11:F15"/>
    <mergeCell ref="G13:G15"/>
    <mergeCell ref="G127:G128"/>
    <mergeCell ref="G130:G131"/>
    <mergeCell ref="F131:F135"/>
    <mergeCell ref="G133:G135"/>
    <mergeCell ref="G137:G138"/>
    <mergeCell ref="G140:G141"/>
    <mergeCell ref="F141:F145"/>
    <mergeCell ref="G143:G145"/>
    <mergeCell ref="G97:G98"/>
    <mergeCell ref="E126:E135"/>
    <mergeCell ref="F116:F120"/>
    <mergeCell ref="A116:A125"/>
    <mergeCell ref="D116:D125"/>
    <mergeCell ref="E116:E125"/>
    <mergeCell ref="C126:C135"/>
    <mergeCell ref="F121:F125"/>
    <mergeCell ref="B116:B125"/>
    <mergeCell ref="F126:F130"/>
    <mergeCell ref="G123:G125"/>
    <mergeCell ref="G107:G108"/>
    <mergeCell ref="G110:G111"/>
    <mergeCell ref="F111:F115"/>
    <mergeCell ref="G113:G115"/>
    <mergeCell ref="G117:G118"/>
    <mergeCell ref="G120:G121"/>
    <mergeCell ref="A56:A65"/>
    <mergeCell ref="B76:B85"/>
    <mergeCell ref="C76:C85"/>
    <mergeCell ref="F106:F110"/>
    <mergeCell ref="F96:F100"/>
    <mergeCell ref="A76:A85"/>
    <mergeCell ref="D76:D85"/>
    <mergeCell ref="A86:A95"/>
    <mergeCell ref="D86:D95"/>
    <mergeCell ref="F61:F65"/>
    <mergeCell ref="G87:G88"/>
    <mergeCell ref="G90:G91"/>
    <mergeCell ref="F91:F95"/>
    <mergeCell ref="G93:G95"/>
    <mergeCell ref="F86:F90"/>
    <mergeCell ref="E106:E115"/>
    <mergeCell ref="A96:A105"/>
    <mergeCell ref="D96:D105"/>
    <mergeCell ref="E96:E105"/>
    <mergeCell ref="E86:E95"/>
    <mergeCell ref="A6:A15"/>
    <mergeCell ref="D6:D15"/>
    <mergeCell ref="E6:E15"/>
    <mergeCell ref="A26:A35"/>
    <mergeCell ref="D26:D35"/>
    <mergeCell ref="E26:E35"/>
    <mergeCell ref="D56:D65"/>
    <mergeCell ref="A36:A45"/>
    <mergeCell ref="E56:E65"/>
    <mergeCell ref="A2:M2"/>
    <mergeCell ref="A3:A4"/>
    <mergeCell ref="D3:D4"/>
    <mergeCell ref="E3:E4"/>
    <mergeCell ref="F3:F4"/>
    <mergeCell ref="G3:G4"/>
    <mergeCell ref="H3:H4"/>
    <mergeCell ref="I3:I4"/>
    <mergeCell ref="K3:K4"/>
    <mergeCell ref="L3:L4"/>
    <mergeCell ref="G468:H468"/>
    <mergeCell ref="G471:H471"/>
    <mergeCell ref="G469:H469"/>
    <mergeCell ref="G410:G411"/>
    <mergeCell ref="G413:G415"/>
    <mergeCell ref="G417:G418"/>
    <mergeCell ref="G420:G421"/>
    <mergeCell ref="G447:G448"/>
    <mergeCell ref="G450:G451"/>
    <mergeCell ref="G464:H464"/>
    <mergeCell ref="G387:G388"/>
    <mergeCell ref="G390:G391"/>
    <mergeCell ref="F391:F395"/>
    <mergeCell ref="G393:G395"/>
    <mergeCell ref="F386:F390"/>
    <mergeCell ref="G407:G408"/>
    <mergeCell ref="F411:F415"/>
    <mergeCell ref="F406:F410"/>
    <mergeCell ref="A416:A425"/>
    <mergeCell ref="D416:D425"/>
    <mergeCell ref="E416:E425"/>
    <mergeCell ref="B406:B415"/>
    <mergeCell ref="C416:C425"/>
    <mergeCell ref="B416:B425"/>
    <mergeCell ref="C406:C415"/>
    <mergeCell ref="A406:A415"/>
    <mergeCell ref="D406:D415"/>
    <mergeCell ref="E406:E415"/>
    <mergeCell ref="A376:A385"/>
    <mergeCell ref="D376:D385"/>
    <mergeCell ref="E376:E385"/>
    <mergeCell ref="F376:F380"/>
    <mergeCell ref="B376:B385"/>
    <mergeCell ref="F381:F385"/>
    <mergeCell ref="B386:B395"/>
    <mergeCell ref="B396:B405"/>
    <mergeCell ref="G260:G261"/>
    <mergeCell ref="F261:F265"/>
    <mergeCell ref="G263:G265"/>
    <mergeCell ref="G377:G378"/>
    <mergeCell ref="F256:F260"/>
    <mergeCell ref="F291:F295"/>
    <mergeCell ref="F311:F315"/>
    <mergeCell ref="F321:F325"/>
    <mergeCell ref="F421:F425"/>
    <mergeCell ref="G423:G425"/>
    <mergeCell ref="F416:F420"/>
    <mergeCell ref="G323:G325"/>
    <mergeCell ref="G380:G381"/>
    <mergeCell ref="G383:G385"/>
    <mergeCell ref="G367:G368"/>
    <mergeCell ref="G370:G371"/>
    <mergeCell ref="G373:G375"/>
    <mergeCell ref="F336:F340"/>
    <mergeCell ref="G430:G431"/>
    <mergeCell ref="F431:F435"/>
    <mergeCell ref="G433:G435"/>
    <mergeCell ref="D286:D295"/>
    <mergeCell ref="D366:D375"/>
    <mergeCell ref="E296:E305"/>
    <mergeCell ref="F296:F300"/>
    <mergeCell ref="G397:G398"/>
    <mergeCell ref="G400:G401"/>
    <mergeCell ref="F401:F405"/>
    <mergeCell ref="C286:C295"/>
    <mergeCell ref="D346:D355"/>
    <mergeCell ref="C386:C395"/>
    <mergeCell ref="C396:C405"/>
    <mergeCell ref="C366:C375"/>
    <mergeCell ref="C326:C335"/>
    <mergeCell ref="C336:C345"/>
    <mergeCell ref="C356:C365"/>
    <mergeCell ref="C346:C355"/>
    <mergeCell ref="D386:D395"/>
    <mergeCell ref="A286:A295"/>
    <mergeCell ref="C376:C385"/>
    <mergeCell ref="A366:A375"/>
    <mergeCell ref="B336:B345"/>
    <mergeCell ref="A346:A355"/>
    <mergeCell ref="B346:B355"/>
    <mergeCell ref="B366:B375"/>
    <mergeCell ref="A296:A305"/>
    <mergeCell ref="B296:B305"/>
    <mergeCell ref="C296:C305"/>
    <mergeCell ref="G403:G405"/>
    <mergeCell ref="F396:F400"/>
    <mergeCell ref="G317:G318"/>
    <mergeCell ref="G337:G338"/>
    <mergeCell ref="G340:G341"/>
    <mergeCell ref="F341:F345"/>
    <mergeCell ref="G343:G345"/>
    <mergeCell ref="F366:F370"/>
    <mergeCell ref="F371:F375"/>
    <mergeCell ref="G360:G361"/>
    <mergeCell ref="E346:E355"/>
    <mergeCell ref="F346:F350"/>
    <mergeCell ref="G347:G348"/>
    <mergeCell ref="G350:G351"/>
    <mergeCell ref="F351:F355"/>
    <mergeCell ref="G353:G355"/>
    <mergeCell ref="D216:D225"/>
    <mergeCell ref="E206:E215"/>
    <mergeCell ref="F206:F210"/>
    <mergeCell ref="A206:A215"/>
    <mergeCell ref="B206:B215"/>
    <mergeCell ref="C206:C215"/>
    <mergeCell ref="D206:D215"/>
    <mergeCell ref="A478:D478"/>
    <mergeCell ref="E216:E225"/>
    <mergeCell ref="F216:F220"/>
    <mergeCell ref="G217:G218"/>
    <mergeCell ref="G220:G221"/>
    <mergeCell ref="F221:F225"/>
    <mergeCell ref="G223:G225"/>
    <mergeCell ref="A216:A225"/>
    <mergeCell ref="B216:B225"/>
    <mergeCell ref="C216:C225"/>
  </mergeCells>
  <printOptions/>
  <pageMargins left="1.11" right="0.2362204724409449" top="0.8661417322834646" bottom="0.5511811023622047" header="0.15748031496062992" footer="0.15748031496062992"/>
  <pageSetup horizontalDpi="600" verticalDpi="600" orientation="landscape" paperSize="9" scale="75" r:id="rId3"/>
  <rowBreaks count="11" manualBreakCount="11">
    <brk id="45" max="255" man="1"/>
    <brk id="85" max="255" man="1"/>
    <brk id="125" max="255" man="1"/>
    <brk id="165" max="20" man="1"/>
    <brk id="205" max="20" man="1"/>
    <brk id="245" max="20" man="1"/>
    <brk id="285" max="20" man="1"/>
    <brk id="325" max="20" man="1"/>
    <brk id="365" max="20" man="1"/>
    <brk id="405" max="20" man="1"/>
    <brk id="445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59"/>
  <sheetViews>
    <sheetView tabSelected="1" zoomScaleSheetLayoutView="100" workbookViewId="0" topLeftCell="A1">
      <pane xSplit="8" ySplit="4" topLeftCell="I213" activePane="bottomRight" state="frozen"/>
      <selection pane="topLeft" activeCell="A1" sqref="A1"/>
      <selection pane="topRight" activeCell="I1" sqref="I1"/>
      <selection pane="bottomLeft" activeCell="A5" sqref="A5"/>
      <selection pane="bottomRight" activeCell="N232" sqref="N232"/>
    </sheetView>
  </sheetViews>
  <sheetFormatPr defaultColWidth="9.00390625" defaultRowHeight="12.75"/>
  <cols>
    <col min="1" max="1" width="3.25390625" style="145" customWidth="1"/>
    <col min="2" max="2" width="33.75390625" style="145" customWidth="1"/>
    <col min="3" max="3" width="10.125" style="146" customWidth="1"/>
    <col min="4" max="4" width="13.875" style="146" customWidth="1"/>
    <col min="5" max="5" width="9.125" style="146" customWidth="1"/>
    <col min="6" max="6" width="10.375" style="145" customWidth="1"/>
    <col min="7" max="7" width="13.875" style="145" customWidth="1"/>
    <col min="8" max="8" width="10.00390625" style="147" customWidth="1"/>
    <col min="9" max="9" width="9.25390625" style="147" customWidth="1"/>
    <col min="10" max="11" width="10.125" style="147" customWidth="1"/>
    <col min="12" max="12" width="8.625" style="147" customWidth="1"/>
    <col min="13" max="16384" width="9.125" style="147" customWidth="1"/>
  </cols>
  <sheetData>
    <row r="1" ht="12.75">
      <c r="L1" s="4" t="s">
        <v>159</v>
      </c>
    </row>
    <row r="2" spans="1:16" ht="30" customHeight="1" thickBot="1">
      <c r="A2" s="492" t="s">
        <v>160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148"/>
      <c r="N2" s="148"/>
      <c r="O2" s="148"/>
      <c r="P2" s="148"/>
    </row>
    <row r="3" spans="1:23" ht="22.5" customHeight="1" thickBot="1">
      <c r="A3" s="493" t="s">
        <v>1</v>
      </c>
      <c r="B3" s="495" t="s">
        <v>2</v>
      </c>
      <c r="C3" s="499" t="s">
        <v>3</v>
      </c>
      <c r="D3" s="499" t="s">
        <v>4</v>
      </c>
      <c r="E3" s="499" t="s">
        <v>5</v>
      </c>
      <c r="F3" s="495" t="s">
        <v>6</v>
      </c>
      <c r="G3" s="495" t="s">
        <v>7</v>
      </c>
      <c r="H3" s="497" t="s">
        <v>8</v>
      </c>
      <c r="I3" s="501" t="s">
        <v>9</v>
      </c>
      <c r="J3" s="497" t="s">
        <v>10</v>
      </c>
      <c r="K3" s="497" t="s">
        <v>11</v>
      </c>
      <c r="L3" s="497" t="s">
        <v>12</v>
      </c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</row>
    <row r="4" spans="1:23" ht="19.5" customHeight="1" thickBot="1">
      <c r="A4" s="494"/>
      <c r="B4" s="496"/>
      <c r="C4" s="500"/>
      <c r="D4" s="500"/>
      <c r="E4" s="500"/>
      <c r="F4" s="494"/>
      <c r="G4" s="496"/>
      <c r="H4" s="498"/>
      <c r="I4" s="502"/>
      <c r="J4" s="498"/>
      <c r="K4" s="498"/>
      <c r="L4" s="498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</row>
    <row r="5" spans="1:23" s="156" customFormat="1" ht="16.5" customHeight="1" thickBot="1">
      <c r="A5" s="150">
        <v>1</v>
      </c>
      <c r="B5" s="151">
        <v>2</v>
      </c>
      <c r="C5" s="150">
        <v>3</v>
      </c>
      <c r="D5" s="150">
        <v>4</v>
      </c>
      <c r="E5" s="150">
        <v>5</v>
      </c>
      <c r="F5" s="150">
        <v>6</v>
      </c>
      <c r="G5" s="151">
        <v>7</v>
      </c>
      <c r="H5" s="152">
        <v>8</v>
      </c>
      <c r="I5" s="153">
        <v>9</v>
      </c>
      <c r="J5" s="152">
        <v>10</v>
      </c>
      <c r="K5" s="152">
        <v>11</v>
      </c>
      <c r="L5" s="154">
        <v>12</v>
      </c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</row>
    <row r="6" spans="1:23" s="164" customFormat="1" ht="12.75">
      <c r="A6" s="442">
        <v>1</v>
      </c>
      <c r="B6" s="462" t="s">
        <v>161</v>
      </c>
      <c r="C6" s="463">
        <v>40002</v>
      </c>
      <c r="D6" s="465" t="s">
        <v>162</v>
      </c>
      <c r="E6" s="456">
        <v>2011</v>
      </c>
      <c r="F6" s="157" t="s">
        <v>15</v>
      </c>
      <c r="G6" s="158" t="s">
        <v>163</v>
      </c>
      <c r="H6" s="159"/>
      <c r="I6" s="160"/>
      <c r="J6" s="161"/>
      <c r="K6" s="161"/>
      <c r="L6" s="162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</row>
    <row r="7" spans="1:23" s="164" customFormat="1" ht="12.75">
      <c r="A7" s="442"/>
      <c r="B7" s="462"/>
      <c r="C7" s="463"/>
      <c r="D7" s="465"/>
      <c r="E7" s="456"/>
      <c r="F7" s="458">
        <f>SUM(H12:L12)</f>
        <v>0</v>
      </c>
      <c r="G7" s="166" t="s">
        <v>164</v>
      </c>
      <c r="H7" s="167">
        <v>0</v>
      </c>
      <c r="I7" s="168">
        <f>5000000-3700000</f>
        <v>1300000</v>
      </c>
      <c r="J7" s="169">
        <v>0</v>
      </c>
      <c r="K7" s="169">
        <v>0</v>
      </c>
      <c r="L7" s="170">
        <f>K7/F13</f>
        <v>0</v>
      </c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</row>
    <row r="8" spans="1:23" s="164" customFormat="1" ht="12.75">
      <c r="A8" s="442"/>
      <c r="B8" s="462"/>
      <c r="C8" s="463"/>
      <c r="D8" s="465"/>
      <c r="E8" s="456"/>
      <c r="F8" s="459"/>
      <c r="G8" s="166" t="s">
        <v>85</v>
      </c>
      <c r="H8" s="167"/>
      <c r="I8" s="168"/>
      <c r="J8" s="169"/>
      <c r="K8" s="169"/>
      <c r="L8" s="170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</row>
    <row r="9" spans="1:23" s="164" customFormat="1" ht="12.75">
      <c r="A9" s="442"/>
      <c r="B9" s="462"/>
      <c r="C9" s="463"/>
      <c r="D9" s="465"/>
      <c r="E9" s="457"/>
      <c r="F9" s="171" t="s">
        <v>18</v>
      </c>
      <c r="G9" s="166" t="s">
        <v>86</v>
      </c>
      <c r="H9" s="167"/>
      <c r="I9" s="168"/>
      <c r="J9" s="169"/>
      <c r="K9" s="169"/>
      <c r="L9" s="170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</row>
    <row r="10" spans="1:23" s="164" customFormat="1" ht="12.75">
      <c r="A10" s="442"/>
      <c r="B10" s="462"/>
      <c r="C10" s="463"/>
      <c r="D10" s="465"/>
      <c r="E10" s="460">
        <v>2012</v>
      </c>
      <c r="F10" s="458">
        <v>1300000</v>
      </c>
      <c r="G10" s="166" t="s">
        <v>19</v>
      </c>
      <c r="H10" s="167"/>
      <c r="I10" s="168"/>
      <c r="J10" s="169"/>
      <c r="K10" s="169"/>
      <c r="L10" s="170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</row>
    <row r="11" spans="1:23" s="164" customFormat="1" ht="12.75">
      <c r="A11" s="442"/>
      <c r="B11" s="462"/>
      <c r="C11" s="463"/>
      <c r="D11" s="465"/>
      <c r="E11" s="456"/>
      <c r="F11" s="459"/>
      <c r="G11" s="166" t="s">
        <v>21</v>
      </c>
      <c r="H11" s="167"/>
      <c r="I11" s="168"/>
      <c r="J11" s="169"/>
      <c r="K11" s="169"/>
      <c r="L11" s="170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</row>
    <row r="12" spans="1:23" s="164" customFormat="1" ht="12.75">
      <c r="A12" s="442"/>
      <c r="B12" s="462"/>
      <c r="C12" s="463"/>
      <c r="D12" s="465"/>
      <c r="E12" s="456"/>
      <c r="F12" s="171" t="s">
        <v>22</v>
      </c>
      <c r="G12" s="166" t="s">
        <v>23</v>
      </c>
      <c r="H12" s="172">
        <f aca="true" t="shared" si="0" ref="H12:J13">H6+H8+H10</f>
        <v>0</v>
      </c>
      <c r="I12" s="173">
        <f t="shared" si="0"/>
        <v>0</v>
      </c>
      <c r="J12" s="174">
        <f t="shared" si="0"/>
        <v>0</v>
      </c>
      <c r="K12" s="174">
        <f>K6+K8+K10</f>
        <v>0</v>
      </c>
      <c r="L12" s="175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</row>
    <row r="13" spans="1:23" s="164" customFormat="1" ht="13.5" thickBot="1">
      <c r="A13" s="442"/>
      <c r="B13" s="462"/>
      <c r="C13" s="463"/>
      <c r="D13" s="465"/>
      <c r="E13" s="456"/>
      <c r="F13" s="176">
        <f>F7+F10</f>
        <v>1300000</v>
      </c>
      <c r="G13" s="177" t="s">
        <v>24</v>
      </c>
      <c r="H13" s="178">
        <f t="shared" si="0"/>
        <v>0</v>
      </c>
      <c r="I13" s="179">
        <f t="shared" si="0"/>
        <v>1300000</v>
      </c>
      <c r="J13" s="180">
        <f t="shared" si="0"/>
        <v>0</v>
      </c>
      <c r="K13" s="180">
        <f>K7+K9+K11</f>
        <v>0</v>
      </c>
      <c r="L13" s="181">
        <f>L7</f>
        <v>0</v>
      </c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</row>
    <row r="14" spans="1:23" s="164" customFormat="1" ht="12.75">
      <c r="A14" s="441">
        <v>2</v>
      </c>
      <c r="B14" s="466" t="s">
        <v>165</v>
      </c>
      <c r="C14" s="468">
        <v>60004</v>
      </c>
      <c r="D14" s="464" t="s">
        <v>162</v>
      </c>
      <c r="E14" s="455">
        <v>2008</v>
      </c>
      <c r="F14" s="182" t="s">
        <v>15</v>
      </c>
      <c r="G14" s="183" t="s">
        <v>16</v>
      </c>
      <c r="H14" s="184"/>
      <c r="I14" s="185"/>
      <c r="J14" s="186"/>
      <c r="K14" s="186"/>
      <c r="L14" s="187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</row>
    <row r="15" spans="1:23" s="164" customFormat="1" ht="12.75">
      <c r="A15" s="442"/>
      <c r="B15" s="462"/>
      <c r="C15" s="463"/>
      <c r="D15" s="465"/>
      <c r="E15" s="456"/>
      <c r="F15" s="458">
        <f>SUM(H20:L20)</f>
        <v>0</v>
      </c>
      <c r="G15" s="166" t="s">
        <v>17</v>
      </c>
      <c r="H15" s="167">
        <v>3890748</v>
      </c>
      <c r="I15" s="168">
        <f>945000+50000</f>
        <v>995000</v>
      </c>
      <c r="J15" s="169">
        <v>891835</v>
      </c>
      <c r="K15" s="169">
        <f>SUM(H15,J15)</f>
        <v>4782583</v>
      </c>
      <c r="L15" s="188">
        <f>K15/F21</f>
        <v>0.9258258436145163</v>
      </c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</row>
    <row r="16" spans="1:23" s="164" customFormat="1" ht="12.75">
      <c r="A16" s="442"/>
      <c r="B16" s="462"/>
      <c r="C16" s="463"/>
      <c r="D16" s="465"/>
      <c r="E16" s="456"/>
      <c r="F16" s="459"/>
      <c r="G16" s="166" t="s">
        <v>85</v>
      </c>
      <c r="H16" s="167"/>
      <c r="I16" s="168"/>
      <c r="J16" s="169"/>
      <c r="K16" s="169"/>
      <c r="L16" s="188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</row>
    <row r="17" spans="1:12" s="164" customFormat="1" ht="12.75">
      <c r="A17" s="442"/>
      <c r="B17" s="462"/>
      <c r="C17" s="463"/>
      <c r="D17" s="465"/>
      <c r="E17" s="457"/>
      <c r="F17" s="171" t="s">
        <v>18</v>
      </c>
      <c r="G17" s="166" t="s">
        <v>86</v>
      </c>
      <c r="H17" s="167"/>
      <c r="I17" s="168"/>
      <c r="J17" s="169"/>
      <c r="K17" s="169"/>
      <c r="L17" s="188"/>
    </row>
    <row r="18" spans="1:12" s="164" customFormat="1" ht="12.75">
      <c r="A18" s="442"/>
      <c r="B18" s="462"/>
      <c r="C18" s="463"/>
      <c r="D18" s="465"/>
      <c r="E18" s="460">
        <v>2011</v>
      </c>
      <c r="F18" s="458">
        <v>5165748</v>
      </c>
      <c r="G18" s="166" t="s">
        <v>19</v>
      </c>
      <c r="H18" s="167"/>
      <c r="I18" s="168"/>
      <c r="J18" s="169"/>
      <c r="K18" s="169"/>
      <c r="L18" s="188"/>
    </row>
    <row r="19" spans="1:12" s="164" customFormat="1" ht="12.75">
      <c r="A19" s="442"/>
      <c r="B19" s="462"/>
      <c r="C19" s="463"/>
      <c r="D19" s="465"/>
      <c r="E19" s="456"/>
      <c r="F19" s="459"/>
      <c r="G19" s="166" t="s">
        <v>21</v>
      </c>
      <c r="H19" s="167"/>
      <c r="I19" s="168"/>
      <c r="J19" s="169"/>
      <c r="K19" s="169"/>
      <c r="L19" s="188"/>
    </row>
    <row r="20" spans="1:12" s="164" customFormat="1" ht="12.75">
      <c r="A20" s="442"/>
      <c r="B20" s="462"/>
      <c r="C20" s="463"/>
      <c r="D20" s="465"/>
      <c r="E20" s="456"/>
      <c r="F20" s="171" t="s">
        <v>22</v>
      </c>
      <c r="G20" s="166" t="s">
        <v>23</v>
      </c>
      <c r="H20" s="172">
        <f aca="true" t="shared" si="1" ref="H20:J21">H14+H16+H18</f>
        <v>0</v>
      </c>
      <c r="I20" s="173">
        <f t="shared" si="1"/>
        <v>0</v>
      </c>
      <c r="J20" s="174">
        <f t="shared" si="1"/>
        <v>0</v>
      </c>
      <c r="K20" s="174">
        <f>K14+K16+K18</f>
        <v>0</v>
      </c>
      <c r="L20" s="189"/>
    </row>
    <row r="21" spans="1:12" s="164" customFormat="1" ht="13.5" thickBot="1">
      <c r="A21" s="443"/>
      <c r="B21" s="467"/>
      <c r="C21" s="469"/>
      <c r="D21" s="465"/>
      <c r="E21" s="461"/>
      <c r="F21" s="176">
        <f>F15+F18</f>
        <v>5165748</v>
      </c>
      <c r="G21" s="190" t="s">
        <v>24</v>
      </c>
      <c r="H21" s="178">
        <f t="shared" si="1"/>
        <v>3890748</v>
      </c>
      <c r="I21" s="191">
        <f t="shared" si="1"/>
        <v>995000</v>
      </c>
      <c r="J21" s="192">
        <f t="shared" si="1"/>
        <v>891835</v>
      </c>
      <c r="K21" s="192">
        <f>K15+K17+K19</f>
        <v>4782583</v>
      </c>
      <c r="L21" s="193">
        <f>L15</f>
        <v>0.9258258436145163</v>
      </c>
    </row>
    <row r="22" spans="1:12" s="164" customFormat="1" ht="12.75" customHeight="1">
      <c r="A22" s="442">
        <v>3</v>
      </c>
      <c r="B22" s="466" t="s">
        <v>166</v>
      </c>
      <c r="C22" s="468">
        <v>60004</v>
      </c>
      <c r="D22" s="464" t="s">
        <v>162</v>
      </c>
      <c r="E22" s="456">
        <v>2011</v>
      </c>
      <c r="F22" s="182" t="s">
        <v>15</v>
      </c>
      <c r="G22" s="183" t="s">
        <v>16</v>
      </c>
      <c r="H22" s="184"/>
      <c r="I22" s="185"/>
      <c r="J22" s="186"/>
      <c r="K22" s="186"/>
      <c r="L22" s="187"/>
    </row>
    <row r="23" spans="1:12" s="164" customFormat="1" ht="12.75">
      <c r="A23" s="442"/>
      <c r="B23" s="462"/>
      <c r="C23" s="463"/>
      <c r="D23" s="465"/>
      <c r="E23" s="456"/>
      <c r="F23" s="458">
        <f>SUM(H28:L28)</f>
        <v>0</v>
      </c>
      <c r="G23" s="166" t="s">
        <v>17</v>
      </c>
      <c r="H23" s="167"/>
      <c r="I23" s="168">
        <f>760000-600000</f>
        <v>160000</v>
      </c>
      <c r="J23" s="169">
        <v>83414</v>
      </c>
      <c r="K23" s="169">
        <f>SUM(H23,J23)</f>
        <v>83414</v>
      </c>
      <c r="L23" s="188">
        <f>K23/F29</f>
        <v>0.0020770418326693228</v>
      </c>
    </row>
    <row r="24" spans="1:12" s="164" customFormat="1" ht="12.75">
      <c r="A24" s="442"/>
      <c r="B24" s="462"/>
      <c r="C24" s="463"/>
      <c r="D24" s="465"/>
      <c r="E24" s="456"/>
      <c r="F24" s="459"/>
      <c r="G24" s="166" t="s">
        <v>85</v>
      </c>
      <c r="H24" s="167"/>
      <c r="I24" s="168"/>
      <c r="J24" s="169"/>
      <c r="K24" s="169"/>
      <c r="L24" s="188"/>
    </row>
    <row r="25" spans="1:12" s="164" customFormat="1" ht="12.75">
      <c r="A25" s="442"/>
      <c r="B25" s="462"/>
      <c r="C25" s="463"/>
      <c r="D25" s="465"/>
      <c r="E25" s="457"/>
      <c r="F25" s="171" t="s">
        <v>18</v>
      </c>
      <c r="G25" s="166" t="s">
        <v>86</v>
      </c>
      <c r="H25" s="167"/>
      <c r="I25" s="168"/>
      <c r="J25" s="169"/>
      <c r="K25" s="169"/>
      <c r="L25" s="188"/>
    </row>
    <row r="26" spans="1:12" s="164" customFormat="1" ht="12.75">
      <c r="A26" s="442"/>
      <c r="B26" s="462"/>
      <c r="C26" s="463"/>
      <c r="D26" s="465"/>
      <c r="E26" s="460">
        <v>2015</v>
      </c>
      <c r="F26" s="458">
        <v>40160000</v>
      </c>
      <c r="G26" s="166" t="s">
        <v>19</v>
      </c>
      <c r="H26" s="167"/>
      <c r="I26" s="168"/>
      <c r="J26" s="169"/>
      <c r="K26" s="169"/>
      <c r="L26" s="188"/>
    </row>
    <row r="27" spans="1:12" s="164" customFormat="1" ht="12.75">
      <c r="A27" s="442"/>
      <c r="B27" s="462"/>
      <c r="C27" s="463"/>
      <c r="D27" s="465"/>
      <c r="E27" s="456"/>
      <c r="F27" s="459"/>
      <c r="G27" s="166" t="s">
        <v>21</v>
      </c>
      <c r="H27" s="167"/>
      <c r="I27" s="168"/>
      <c r="J27" s="169"/>
      <c r="K27" s="169"/>
      <c r="L27" s="188"/>
    </row>
    <row r="28" spans="1:12" s="164" customFormat="1" ht="12.75">
      <c r="A28" s="442"/>
      <c r="B28" s="462"/>
      <c r="C28" s="463"/>
      <c r="D28" s="465"/>
      <c r="E28" s="456"/>
      <c r="F28" s="171" t="s">
        <v>22</v>
      </c>
      <c r="G28" s="166" t="s">
        <v>23</v>
      </c>
      <c r="H28" s="172">
        <f aca="true" t="shared" si="2" ref="H28:K29">H22+H24+H26</f>
        <v>0</v>
      </c>
      <c r="I28" s="173">
        <f t="shared" si="2"/>
        <v>0</v>
      </c>
      <c r="J28" s="174">
        <f t="shared" si="2"/>
        <v>0</v>
      </c>
      <c r="K28" s="174">
        <f t="shared" si="2"/>
        <v>0</v>
      </c>
      <c r="L28" s="189"/>
    </row>
    <row r="29" spans="1:12" s="164" customFormat="1" ht="13.5" thickBot="1">
      <c r="A29" s="442"/>
      <c r="B29" s="467"/>
      <c r="C29" s="469"/>
      <c r="D29" s="465"/>
      <c r="E29" s="461"/>
      <c r="F29" s="176">
        <f>F23+F26</f>
        <v>40160000</v>
      </c>
      <c r="G29" s="190" t="s">
        <v>24</v>
      </c>
      <c r="H29" s="178">
        <f t="shared" si="2"/>
        <v>0</v>
      </c>
      <c r="I29" s="191">
        <f t="shared" si="2"/>
        <v>160000</v>
      </c>
      <c r="J29" s="192">
        <f t="shared" si="2"/>
        <v>83414</v>
      </c>
      <c r="K29" s="192">
        <f t="shared" si="2"/>
        <v>83414</v>
      </c>
      <c r="L29" s="193">
        <f>L23</f>
        <v>0.0020770418326693228</v>
      </c>
    </row>
    <row r="30" spans="1:12" s="164" customFormat="1" ht="12.75" customHeight="1">
      <c r="A30" s="441">
        <v>4</v>
      </c>
      <c r="B30" s="466" t="s">
        <v>167</v>
      </c>
      <c r="C30" s="468">
        <v>60015</v>
      </c>
      <c r="D30" s="464" t="s">
        <v>162</v>
      </c>
      <c r="E30" s="455">
        <v>2010</v>
      </c>
      <c r="F30" s="182" t="s">
        <v>15</v>
      </c>
      <c r="G30" s="183" t="s">
        <v>16</v>
      </c>
      <c r="H30" s="184"/>
      <c r="I30" s="185"/>
      <c r="J30" s="186"/>
      <c r="K30" s="186"/>
      <c r="L30" s="187"/>
    </row>
    <row r="31" spans="1:12" s="164" customFormat="1" ht="12.75">
      <c r="A31" s="442"/>
      <c r="B31" s="462"/>
      <c r="C31" s="463"/>
      <c r="D31" s="465"/>
      <c r="E31" s="456"/>
      <c r="F31" s="458">
        <f>SUM(H36:L36)</f>
        <v>0</v>
      </c>
      <c r="G31" s="166" t="s">
        <v>17</v>
      </c>
      <c r="H31" s="167">
        <v>4540</v>
      </c>
      <c r="I31" s="168">
        <f>2300000-1500000</f>
        <v>800000</v>
      </c>
      <c r="J31" s="169">
        <v>430158</v>
      </c>
      <c r="K31" s="169">
        <f>SUM(H31,J31)</f>
        <v>434698</v>
      </c>
      <c r="L31" s="188">
        <f>K31/F37</f>
        <v>0.16099925925925926</v>
      </c>
    </row>
    <row r="32" spans="1:12" s="164" customFormat="1" ht="12.75">
      <c r="A32" s="442"/>
      <c r="B32" s="462"/>
      <c r="C32" s="463"/>
      <c r="D32" s="465"/>
      <c r="E32" s="456"/>
      <c r="F32" s="459"/>
      <c r="G32" s="166" t="s">
        <v>85</v>
      </c>
      <c r="H32" s="167"/>
      <c r="I32" s="168"/>
      <c r="J32" s="169"/>
      <c r="K32" s="169"/>
      <c r="L32" s="188"/>
    </row>
    <row r="33" spans="1:12" s="164" customFormat="1" ht="12.75">
      <c r="A33" s="442"/>
      <c r="B33" s="462"/>
      <c r="C33" s="463"/>
      <c r="D33" s="465"/>
      <c r="E33" s="457"/>
      <c r="F33" s="171" t="s">
        <v>18</v>
      </c>
      <c r="G33" s="166" t="s">
        <v>86</v>
      </c>
      <c r="H33" s="167"/>
      <c r="I33" s="168"/>
      <c r="J33" s="169"/>
      <c r="K33" s="169"/>
      <c r="L33" s="188"/>
    </row>
    <row r="34" spans="1:12" s="164" customFormat="1" ht="12.75">
      <c r="A34" s="442"/>
      <c r="B34" s="462"/>
      <c r="C34" s="463"/>
      <c r="D34" s="465"/>
      <c r="E34" s="460">
        <v>2012</v>
      </c>
      <c r="F34" s="458">
        <v>2700000</v>
      </c>
      <c r="G34" s="166" t="s">
        <v>19</v>
      </c>
      <c r="H34" s="167"/>
      <c r="I34" s="168"/>
      <c r="J34" s="169"/>
      <c r="K34" s="169"/>
      <c r="L34" s="188"/>
    </row>
    <row r="35" spans="1:12" s="164" customFormat="1" ht="12.75">
      <c r="A35" s="442"/>
      <c r="B35" s="462"/>
      <c r="C35" s="463"/>
      <c r="D35" s="465"/>
      <c r="E35" s="456"/>
      <c r="F35" s="459"/>
      <c r="G35" s="166" t="s">
        <v>21</v>
      </c>
      <c r="H35" s="167"/>
      <c r="I35" s="168"/>
      <c r="J35" s="169"/>
      <c r="K35" s="169"/>
      <c r="L35" s="188"/>
    </row>
    <row r="36" spans="1:12" s="164" customFormat="1" ht="12.75">
      <c r="A36" s="442"/>
      <c r="B36" s="462"/>
      <c r="C36" s="463"/>
      <c r="D36" s="465"/>
      <c r="E36" s="456"/>
      <c r="F36" s="171" t="s">
        <v>22</v>
      </c>
      <c r="G36" s="166" t="s">
        <v>23</v>
      </c>
      <c r="H36" s="172">
        <f aca="true" t="shared" si="3" ref="H36:K37">H30+H32+H34</f>
        <v>0</v>
      </c>
      <c r="I36" s="173">
        <f t="shared" si="3"/>
        <v>0</v>
      </c>
      <c r="J36" s="174">
        <f t="shared" si="3"/>
        <v>0</v>
      </c>
      <c r="K36" s="174">
        <f t="shared" si="3"/>
        <v>0</v>
      </c>
      <c r="L36" s="189"/>
    </row>
    <row r="37" spans="1:12" s="164" customFormat="1" ht="13.5" thickBot="1">
      <c r="A37" s="443"/>
      <c r="B37" s="467"/>
      <c r="C37" s="469"/>
      <c r="D37" s="470"/>
      <c r="E37" s="461"/>
      <c r="F37" s="176">
        <f>F31+F34</f>
        <v>2700000</v>
      </c>
      <c r="G37" s="190" t="s">
        <v>24</v>
      </c>
      <c r="H37" s="178">
        <f t="shared" si="3"/>
        <v>4540</v>
      </c>
      <c r="I37" s="191">
        <f t="shared" si="3"/>
        <v>800000</v>
      </c>
      <c r="J37" s="192">
        <f t="shared" si="3"/>
        <v>430158</v>
      </c>
      <c r="K37" s="192">
        <f t="shared" si="3"/>
        <v>434698</v>
      </c>
      <c r="L37" s="193">
        <f>L31</f>
        <v>0.16099925925925926</v>
      </c>
    </row>
    <row r="38" spans="1:12" s="164" customFormat="1" ht="12.75" customHeight="1">
      <c r="A38" s="441">
        <v>5</v>
      </c>
      <c r="B38" s="466" t="s">
        <v>168</v>
      </c>
      <c r="C38" s="468">
        <v>60015</v>
      </c>
      <c r="D38" s="464" t="s">
        <v>162</v>
      </c>
      <c r="E38" s="455">
        <v>2010</v>
      </c>
      <c r="F38" s="182" t="s">
        <v>15</v>
      </c>
      <c r="G38" s="183" t="s">
        <v>16</v>
      </c>
      <c r="H38" s="184"/>
      <c r="I38" s="185"/>
      <c r="J38" s="186"/>
      <c r="K38" s="186"/>
      <c r="L38" s="187"/>
    </row>
    <row r="39" spans="1:12" s="164" customFormat="1" ht="12.75">
      <c r="A39" s="442"/>
      <c r="B39" s="462"/>
      <c r="C39" s="463"/>
      <c r="D39" s="465"/>
      <c r="E39" s="456"/>
      <c r="F39" s="458">
        <f>SUM(H44:L44)</f>
        <v>0</v>
      </c>
      <c r="G39" s="166" t="s">
        <v>17</v>
      </c>
      <c r="H39" s="167">
        <v>500000</v>
      </c>
      <c r="I39" s="168">
        <f>2500000+450000-500000</f>
        <v>2450000</v>
      </c>
      <c r="J39" s="169">
        <v>2082967</v>
      </c>
      <c r="K39" s="169">
        <f>SUM(H39,J39)</f>
        <v>2582967</v>
      </c>
      <c r="L39" s="188">
        <f>K39/F45</f>
        <v>0.31120084337349396</v>
      </c>
    </row>
    <row r="40" spans="1:12" s="164" customFormat="1" ht="12.75">
      <c r="A40" s="442"/>
      <c r="B40" s="462"/>
      <c r="C40" s="463"/>
      <c r="D40" s="465"/>
      <c r="E40" s="456"/>
      <c r="F40" s="459"/>
      <c r="G40" s="166" t="s">
        <v>85</v>
      </c>
      <c r="H40" s="167"/>
      <c r="I40" s="168"/>
      <c r="J40" s="169"/>
      <c r="K40" s="169"/>
      <c r="L40" s="188"/>
    </row>
    <row r="41" spans="1:12" s="164" customFormat="1" ht="12.75">
      <c r="A41" s="442"/>
      <c r="B41" s="462"/>
      <c r="C41" s="463"/>
      <c r="D41" s="465"/>
      <c r="E41" s="457"/>
      <c r="F41" s="171" t="s">
        <v>18</v>
      </c>
      <c r="G41" s="166" t="s">
        <v>86</v>
      </c>
      <c r="H41" s="167"/>
      <c r="I41" s="168"/>
      <c r="J41" s="169"/>
      <c r="K41" s="169"/>
      <c r="L41" s="188"/>
    </row>
    <row r="42" spans="1:12" s="164" customFormat="1" ht="12.75">
      <c r="A42" s="442"/>
      <c r="B42" s="462"/>
      <c r="C42" s="463"/>
      <c r="D42" s="465"/>
      <c r="E42" s="460">
        <v>2013</v>
      </c>
      <c r="F42" s="458">
        <v>8300000</v>
      </c>
      <c r="G42" s="166" t="s">
        <v>19</v>
      </c>
      <c r="H42" s="167"/>
      <c r="I42" s="168"/>
      <c r="J42" s="169"/>
      <c r="K42" s="169"/>
      <c r="L42" s="188"/>
    </row>
    <row r="43" spans="1:12" s="164" customFormat="1" ht="12.75">
      <c r="A43" s="442"/>
      <c r="B43" s="462"/>
      <c r="C43" s="463"/>
      <c r="D43" s="465"/>
      <c r="E43" s="456"/>
      <c r="F43" s="459"/>
      <c r="G43" s="166" t="s">
        <v>21</v>
      </c>
      <c r="H43" s="167"/>
      <c r="I43" s="168"/>
      <c r="J43" s="169"/>
      <c r="K43" s="169"/>
      <c r="L43" s="188"/>
    </row>
    <row r="44" spans="1:12" s="164" customFormat="1" ht="12.75">
      <c r="A44" s="442"/>
      <c r="B44" s="462"/>
      <c r="C44" s="463"/>
      <c r="D44" s="465"/>
      <c r="E44" s="456"/>
      <c r="F44" s="171" t="s">
        <v>22</v>
      </c>
      <c r="G44" s="166" t="s">
        <v>23</v>
      </c>
      <c r="H44" s="172">
        <f aca="true" t="shared" si="4" ref="H44:K45">H38+H40+H42</f>
        <v>0</v>
      </c>
      <c r="I44" s="173">
        <f t="shared" si="4"/>
        <v>0</v>
      </c>
      <c r="J44" s="174">
        <f t="shared" si="4"/>
        <v>0</v>
      </c>
      <c r="K44" s="174">
        <f t="shared" si="4"/>
        <v>0</v>
      </c>
      <c r="L44" s="189"/>
    </row>
    <row r="45" spans="1:12" s="164" customFormat="1" ht="13.5" thickBot="1">
      <c r="A45" s="443"/>
      <c r="B45" s="467"/>
      <c r="C45" s="469"/>
      <c r="D45" s="470"/>
      <c r="E45" s="461"/>
      <c r="F45" s="176">
        <f>F39+F42</f>
        <v>8300000</v>
      </c>
      <c r="G45" s="190" t="s">
        <v>24</v>
      </c>
      <c r="H45" s="178">
        <f t="shared" si="4"/>
        <v>500000</v>
      </c>
      <c r="I45" s="191">
        <f t="shared" si="4"/>
        <v>2450000</v>
      </c>
      <c r="J45" s="192">
        <f t="shared" si="4"/>
        <v>2082967</v>
      </c>
      <c r="K45" s="192">
        <f t="shared" si="4"/>
        <v>2582967</v>
      </c>
      <c r="L45" s="193">
        <f>L39</f>
        <v>0.31120084337349396</v>
      </c>
    </row>
    <row r="46" spans="1:12" s="164" customFormat="1" ht="12.75" customHeight="1" hidden="1">
      <c r="A46" s="441">
        <v>6</v>
      </c>
      <c r="B46" s="466"/>
      <c r="C46" s="468"/>
      <c r="D46" s="464"/>
      <c r="E46" s="455"/>
      <c r="F46" s="182" t="s">
        <v>15</v>
      </c>
      <c r="G46" s="183" t="s">
        <v>16</v>
      </c>
      <c r="H46" s="194"/>
      <c r="I46" s="195"/>
      <c r="J46" s="196"/>
      <c r="K46" s="196"/>
      <c r="L46" s="197"/>
    </row>
    <row r="47" spans="1:12" s="164" customFormat="1" ht="12.75" customHeight="1" hidden="1">
      <c r="A47" s="442"/>
      <c r="B47" s="462"/>
      <c r="C47" s="463"/>
      <c r="D47" s="465"/>
      <c r="E47" s="456"/>
      <c r="F47" s="165">
        <v>0</v>
      </c>
      <c r="G47" s="166" t="s">
        <v>17</v>
      </c>
      <c r="H47" s="198"/>
      <c r="I47" s="199"/>
      <c r="J47" s="200"/>
      <c r="K47" s="200"/>
      <c r="L47" s="201"/>
    </row>
    <row r="48" spans="1:12" s="164" customFormat="1" ht="12.75" customHeight="1" hidden="1">
      <c r="A48" s="442"/>
      <c r="B48" s="462"/>
      <c r="C48" s="463"/>
      <c r="D48" s="465"/>
      <c r="E48" s="457"/>
      <c r="F48" s="171" t="s">
        <v>18</v>
      </c>
      <c r="G48" s="166" t="s">
        <v>86</v>
      </c>
      <c r="H48" s="198"/>
      <c r="I48" s="199"/>
      <c r="J48" s="200"/>
      <c r="K48" s="200"/>
      <c r="L48" s="201"/>
    </row>
    <row r="49" spans="1:12" s="164" customFormat="1" ht="12.75" customHeight="1" hidden="1">
      <c r="A49" s="442"/>
      <c r="B49" s="462"/>
      <c r="C49" s="463"/>
      <c r="D49" s="465"/>
      <c r="E49" s="460"/>
      <c r="F49" s="458">
        <f>SUM(H52:L52)</f>
        <v>0</v>
      </c>
      <c r="G49" s="166" t="s">
        <v>19</v>
      </c>
      <c r="H49" s="198"/>
      <c r="I49" s="199"/>
      <c r="J49" s="200"/>
      <c r="K49" s="200"/>
      <c r="L49" s="201"/>
    </row>
    <row r="50" spans="1:12" s="164" customFormat="1" ht="12.75" customHeight="1" hidden="1">
      <c r="A50" s="442"/>
      <c r="B50" s="462"/>
      <c r="C50" s="463"/>
      <c r="D50" s="465"/>
      <c r="E50" s="456"/>
      <c r="F50" s="489"/>
      <c r="G50" s="166" t="s">
        <v>21</v>
      </c>
      <c r="H50" s="198"/>
      <c r="I50" s="199"/>
      <c r="J50" s="200"/>
      <c r="K50" s="200"/>
      <c r="L50" s="201"/>
    </row>
    <row r="51" spans="1:12" s="164" customFormat="1" ht="12.75" customHeight="1" hidden="1">
      <c r="A51" s="442"/>
      <c r="B51" s="462"/>
      <c r="C51" s="463"/>
      <c r="D51" s="465"/>
      <c r="E51" s="456"/>
      <c r="F51" s="171" t="s">
        <v>22</v>
      </c>
      <c r="G51" s="166" t="s">
        <v>23</v>
      </c>
      <c r="H51" s="202"/>
      <c r="I51" s="203"/>
      <c r="J51" s="204"/>
      <c r="K51" s="204"/>
      <c r="L51" s="205"/>
    </row>
    <row r="52" spans="1:12" s="164" customFormat="1" ht="13.5" customHeight="1" hidden="1" thickBot="1">
      <c r="A52" s="443"/>
      <c r="B52" s="467"/>
      <c r="C52" s="469"/>
      <c r="D52" s="470"/>
      <c r="E52" s="461"/>
      <c r="F52" s="176">
        <f>F47+F49</f>
        <v>0</v>
      </c>
      <c r="G52" s="190" t="s">
        <v>24</v>
      </c>
      <c r="H52" s="206"/>
      <c r="I52" s="207"/>
      <c r="J52" s="208"/>
      <c r="K52" s="208"/>
      <c r="L52" s="209"/>
    </row>
    <row r="53" spans="1:12" s="164" customFormat="1" ht="12.75" customHeight="1">
      <c r="A53" s="441">
        <v>6</v>
      </c>
      <c r="B53" s="466" t="s">
        <v>169</v>
      </c>
      <c r="C53" s="468">
        <v>60015</v>
      </c>
      <c r="D53" s="464" t="s">
        <v>162</v>
      </c>
      <c r="E53" s="455">
        <v>2010</v>
      </c>
      <c r="F53" s="182" t="s">
        <v>15</v>
      </c>
      <c r="G53" s="183" t="s">
        <v>16</v>
      </c>
      <c r="H53" s="184"/>
      <c r="I53" s="185"/>
      <c r="J53" s="186"/>
      <c r="K53" s="186"/>
      <c r="L53" s="187"/>
    </row>
    <row r="54" spans="1:12" s="164" customFormat="1" ht="12.75">
      <c r="A54" s="442"/>
      <c r="B54" s="462"/>
      <c r="C54" s="463"/>
      <c r="D54" s="465"/>
      <c r="E54" s="456"/>
      <c r="F54" s="458">
        <f>SUM(H59:L59)</f>
        <v>0</v>
      </c>
      <c r="G54" s="166" t="s">
        <v>17</v>
      </c>
      <c r="H54" s="167">
        <v>4612313</v>
      </c>
      <c r="I54" s="168">
        <f>30000000+12000000-10100000-1500000</f>
        <v>30400000</v>
      </c>
      <c r="J54" s="169">
        <v>29703501</v>
      </c>
      <c r="K54" s="169">
        <f>SUM(H54,J54)</f>
        <v>34315814</v>
      </c>
      <c r="L54" s="188">
        <f>K54/F60</f>
        <v>0.2631580828220859</v>
      </c>
    </row>
    <row r="55" spans="1:12" s="164" customFormat="1" ht="12.75">
      <c r="A55" s="442"/>
      <c r="B55" s="462"/>
      <c r="C55" s="463"/>
      <c r="D55" s="465"/>
      <c r="E55" s="456"/>
      <c r="F55" s="459"/>
      <c r="G55" s="166" t="s">
        <v>85</v>
      </c>
      <c r="H55" s="167"/>
      <c r="I55" s="168"/>
      <c r="J55" s="169"/>
      <c r="K55" s="169"/>
      <c r="L55" s="188"/>
    </row>
    <row r="56" spans="1:12" s="164" customFormat="1" ht="12.75">
      <c r="A56" s="442"/>
      <c r="B56" s="462"/>
      <c r="C56" s="463"/>
      <c r="D56" s="465"/>
      <c r="E56" s="457"/>
      <c r="F56" s="171" t="s">
        <v>18</v>
      </c>
      <c r="G56" s="166" t="s">
        <v>86</v>
      </c>
      <c r="H56" s="167"/>
      <c r="I56" s="168"/>
      <c r="J56" s="169"/>
      <c r="K56" s="169"/>
      <c r="L56" s="188"/>
    </row>
    <row r="57" spans="1:12" s="164" customFormat="1" ht="12.75">
      <c r="A57" s="442"/>
      <c r="B57" s="462"/>
      <c r="C57" s="463"/>
      <c r="D57" s="465"/>
      <c r="E57" s="460">
        <v>2015</v>
      </c>
      <c r="F57" s="458">
        <v>130400000</v>
      </c>
      <c r="G57" s="166" t="s">
        <v>19</v>
      </c>
      <c r="H57" s="167"/>
      <c r="I57" s="168"/>
      <c r="J57" s="169"/>
      <c r="K57" s="169"/>
      <c r="L57" s="188"/>
    </row>
    <row r="58" spans="1:12" s="164" customFormat="1" ht="12.75">
      <c r="A58" s="442"/>
      <c r="B58" s="462"/>
      <c r="C58" s="463"/>
      <c r="D58" s="465"/>
      <c r="E58" s="456"/>
      <c r="F58" s="459"/>
      <c r="G58" s="166" t="s">
        <v>21</v>
      </c>
      <c r="H58" s="167"/>
      <c r="I58" s="168"/>
      <c r="J58" s="169"/>
      <c r="K58" s="169"/>
      <c r="L58" s="188"/>
    </row>
    <row r="59" spans="1:12" s="164" customFormat="1" ht="12.75">
      <c r="A59" s="442"/>
      <c r="B59" s="462"/>
      <c r="C59" s="463"/>
      <c r="D59" s="465"/>
      <c r="E59" s="456"/>
      <c r="F59" s="171" t="s">
        <v>22</v>
      </c>
      <c r="G59" s="166" t="s">
        <v>23</v>
      </c>
      <c r="H59" s="172">
        <f aca="true" t="shared" si="5" ref="H59:K60">H53+H55+H57</f>
        <v>0</v>
      </c>
      <c r="I59" s="173">
        <f t="shared" si="5"/>
        <v>0</v>
      </c>
      <c r="J59" s="174">
        <f t="shared" si="5"/>
        <v>0</v>
      </c>
      <c r="K59" s="174">
        <f t="shared" si="5"/>
        <v>0</v>
      </c>
      <c r="L59" s="189"/>
    </row>
    <row r="60" spans="1:12" s="164" customFormat="1" ht="13.5" thickBot="1">
      <c r="A60" s="443"/>
      <c r="B60" s="467"/>
      <c r="C60" s="469"/>
      <c r="D60" s="465"/>
      <c r="E60" s="461"/>
      <c r="F60" s="176">
        <f>F54+F57</f>
        <v>130400000</v>
      </c>
      <c r="G60" s="190" t="s">
        <v>24</v>
      </c>
      <c r="H60" s="178">
        <f t="shared" si="5"/>
        <v>4612313</v>
      </c>
      <c r="I60" s="191">
        <f t="shared" si="5"/>
        <v>30400000</v>
      </c>
      <c r="J60" s="192">
        <f t="shared" si="5"/>
        <v>29703501</v>
      </c>
      <c r="K60" s="192">
        <f t="shared" si="5"/>
        <v>34315814</v>
      </c>
      <c r="L60" s="193">
        <f>L54</f>
        <v>0.2631580828220859</v>
      </c>
    </row>
    <row r="61" spans="1:12" s="164" customFormat="1" ht="12.75" customHeight="1">
      <c r="A61" s="441">
        <v>7</v>
      </c>
      <c r="B61" s="466" t="s">
        <v>170</v>
      </c>
      <c r="C61" s="468">
        <v>60015</v>
      </c>
      <c r="D61" s="464" t="s">
        <v>162</v>
      </c>
      <c r="E61" s="456">
        <v>2009</v>
      </c>
      <c r="F61" s="182" t="s">
        <v>15</v>
      </c>
      <c r="G61" s="158" t="s">
        <v>16</v>
      </c>
      <c r="H61" s="184"/>
      <c r="I61" s="160"/>
      <c r="J61" s="161"/>
      <c r="K61" s="186"/>
      <c r="L61" s="187"/>
    </row>
    <row r="62" spans="1:12" s="164" customFormat="1" ht="12.75">
      <c r="A62" s="442"/>
      <c r="B62" s="462"/>
      <c r="C62" s="463"/>
      <c r="D62" s="465"/>
      <c r="E62" s="456"/>
      <c r="F62" s="458">
        <f>SUM(H67:L67)</f>
        <v>0</v>
      </c>
      <c r="G62" s="166" t="s">
        <v>17</v>
      </c>
      <c r="H62" s="167">
        <v>279990</v>
      </c>
      <c r="I62" s="168">
        <v>650000</v>
      </c>
      <c r="J62" s="169">
        <v>441033</v>
      </c>
      <c r="K62" s="169">
        <f>SUM(H62,J62)</f>
        <v>721023</v>
      </c>
      <c r="L62" s="188">
        <f>K62/F68</f>
        <v>0.775301884966505</v>
      </c>
    </row>
    <row r="63" spans="1:12" s="164" customFormat="1" ht="12.75">
      <c r="A63" s="442"/>
      <c r="B63" s="462"/>
      <c r="C63" s="463"/>
      <c r="D63" s="465"/>
      <c r="E63" s="456"/>
      <c r="F63" s="459"/>
      <c r="G63" s="166" t="s">
        <v>85</v>
      </c>
      <c r="H63" s="167"/>
      <c r="I63" s="168"/>
      <c r="J63" s="169"/>
      <c r="K63" s="169"/>
      <c r="L63" s="188"/>
    </row>
    <row r="64" spans="1:12" s="164" customFormat="1" ht="12.75">
      <c r="A64" s="442"/>
      <c r="B64" s="462"/>
      <c r="C64" s="463"/>
      <c r="D64" s="465"/>
      <c r="E64" s="457"/>
      <c r="F64" s="171" t="s">
        <v>18</v>
      </c>
      <c r="G64" s="166" t="s">
        <v>86</v>
      </c>
      <c r="H64" s="167"/>
      <c r="I64" s="168"/>
      <c r="J64" s="169"/>
      <c r="K64" s="169"/>
      <c r="L64" s="188"/>
    </row>
    <row r="65" spans="1:12" s="164" customFormat="1" ht="12.75">
      <c r="A65" s="442"/>
      <c r="B65" s="462"/>
      <c r="C65" s="463"/>
      <c r="D65" s="465"/>
      <c r="E65" s="460">
        <v>2011</v>
      </c>
      <c r="F65" s="458">
        <v>929990</v>
      </c>
      <c r="G65" s="166" t="s">
        <v>19</v>
      </c>
      <c r="H65" s="167"/>
      <c r="I65" s="168"/>
      <c r="J65" s="169"/>
      <c r="K65" s="169"/>
      <c r="L65" s="188"/>
    </row>
    <row r="66" spans="1:12" s="164" customFormat="1" ht="12.75">
      <c r="A66" s="442"/>
      <c r="B66" s="462"/>
      <c r="C66" s="463"/>
      <c r="D66" s="465"/>
      <c r="E66" s="456"/>
      <c r="F66" s="459"/>
      <c r="G66" s="166" t="s">
        <v>21</v>
      </c>
      <c r="H66" s="167"/>
      <c r="I66" s="168"/>
      <c r="J66" s="169"/>
      <c r="K66" s="169"/>
      <c r="L66" s="188"/>
    </row>
    <row r="67" spans="1:12" s="164" customFormat="1" ht="12.75">
      <c r="A67" s="442"/>
      <c r="B67" s="462"/>
      <c r="C67" s="463"/>
      <c r="D67" s="465"/>
      <c r="E67" s="456"/>
      <c r="F67" s="171" t="s">
        <v>22</v>
      </c>
      <c r="G67" s="166" t="s">
        <v>23</v>
      </c>
      <c r="H67" s="172">
        <f aca="true" t="shared" si="6" ref="H67:K68">H61+H63+H65</f>
        <v>0</v>
      </c>
      <c r="I67" s="173">
        <f t="shared" si="6"/>
        <v>0</v>
      </c>
      <c r="J67" s="174">
        <f t="shared" si="6"/>
        <v>0</v>
      </c>
      <c r="K67" s="174">
        <f t="shared" si="6"/>
        <v>0</v>
      </c>
      <c r="L67" s="189"/>
    </row>
    <row r="68" spans="1:12" s="164" customFormat="1" ht="13.5" thickBot="1">
      <c r="A68" s="442"/>
      <c r="B68" s="467"/>
      <c r="C68" s="469"/>
      <c r="D68" s="465"/>
      <c r="E68" s="461"/>
      <c r="F68" s="176">
        <f>F62+F65</f>
        <v>929990</v>
      </c>
      <c r="G68" s="190" t="s">
        <v>24</v>
      </c>
      <c r="H68" s="178">
        <f t="shared" si="6"/>
        <v>279990</v>
      </c>
      <c r="I68" s="191">
        <f t="shared" si="6"/>
        <v>650000</v>
      </c>
      <c r="J68" s="192">
        <f t="shared" si="6"/>
        <v>441033</v>
      </c>
      <c r="K68" s="192">
        <f t="shared" si="6"/>
        <v>721023</v>
      </c>
      <c r="L68" s="193">
        <f>L62</f>
        <v>0.775301884966505</v>
      </c>
    </row>
    <row r="69" spans="1:12" s="164" customFormat="1" ht="12.75" customHeight="1">
      <c r="A69" s="441">
        <v>8</v>
      </c>
      <c r="B69" s="466" t="s">
        <v>171</v>
      </c>
      <c r="C69" s="468">
        <v>60015</v>
      </c>
      <c r="D69" s="464" t="s">
        <v>162</v>
      </c>
      <c r="E69" s="455">
        <v>2008</v>
      </c>
      <c r="F69" s="182" t="s">
        <v>15</v>
      </c>
      <c r="G69" s="183" t="s">
        <v>16</v>
      </c>
      <c r="H69" s="184"/>
      <c r="I69" s="185"/>
      <c r="J69" s="186"/>
      <c r="K69" s="186"/>
      <c r="L69" s="187"/>
    </row>
    <row r="70" spans="1:12" s="164" customFormat="1" ht="12.75">
      <c r="A70" s="442"/>
      <c r="B70" s="462"/>
      <c r="C70" s="463"/>
      <c r="D70" s="465"/>
      <c r="E70" s="456"/>
      <c r="F70" s="458">
        <f>SUM(H75:L75)</f>
        <v>0</v>
      </c>
      <c r="G70" s="166" t="s">
        <v>17</v>
      </c>
      <c r="H70" s="167">
        <v>603114</v>
      </c>
      <c r="I70" s="168">
        <f>500000+850000+350000</f>
        <v>1700000</v>
      </c>
      <c r="J70" s="169">
        <v>1177804</v>
      </c>
      <c r="K70" s="169">
        <f>SUM(H70,J70)</f>
        <v>1780918</v>
      </c>
      <c r="L70" s="188">
        <f>K70/F76</f>
        <v>0.38689417642057095</v>
      </c>
    </row>
    <row r="71" spans="1:12" s="164" customFormat="1" ht="12.75">
      <c r="A71" s="442"/>
      <c r="B71" s="462"/>
      <c r="C71" s="463"/>
      <c r="D71" s="465"/>
      <c r="E71" s="456"/>
      <c r="F71" s="459"/>
      <c r="G71" s="166" t="s">
        <v>85</v>
      </c>
      <c r="H71" s="167"/>
      <c r="I71" s="168"/>
      <c r="J71" s="169"/>
      <c r="K71" s="169"/>
      <c r="L71" s="188"/>
    </row>
    <row r="72" spans="1:12" s="164" customFormat="1" ht="12.75">
      <c r="A72" s="442"/>
      <c r="B72" s="462"/>
      <c r="C72" s="463"/>
      <c r="D72" s="465"/>
      <c r="E72" s="457"/>
      <c r="F72" s="171" t="s">
        <v>18</v>
      </c>
      <c r="G72" s="166" t="s">
        <v>86</v>
      </c>
      <c r="H72" s="167"/>
      <c r="I72" s="168"/>
      <c r="J72" s="169"/>
      <c r="K72" s="169"/>
      <c r="L72" s="188"/>
    </row>
    <row r="73" spans="1:12" s="164" customFormat="1" ht="12.75">
      <c r="A73" s="442"/>
      <c r="B73" s="462"/>
      <c r="C73" s="463"/>
      <c r="D73" s="465"/>
      <c r="E73" s="460">
        <v>2013</v>
      </c>
      <c r="F73" s="458">
        <v>4603114</v>
      </c>
      <c r="G73" s="166" t="s">
        <v>19</v>
      </c>
      <c r="H73" s="167"/>
      <c r="I73" s="168"/>
      <c r="J73" s="169"/>
      <c r="K73" s="169"/>
      <c r="L73" s="188"/>
    </row>
    <row r="74" spans="1:12" s="164" customFormat="1" ht="12.75">
      <c r="A74" s="442"/>
      <c r="B74" s="462"/>
      <c r="C74" s="463"/>
      <c r="D74" s="465"/>
      <c r="E74" s="456"/>
      <c r="F74" s="459"/>
      <c r="G74" s="166" t="s">
        <v>21</v>
      </c>
      <c r="H74" s="167"/>
      <c r="I74" s="168"/>
      <c r="J74" s="169"/>
      <c r="K74" s="169"/>
      <c r="L74" s="188"/>
    </row>
    <row r="75" spans="1:12" s="164" customFormat="1" ht="12.75">
      <c r="A75" s="442"/>
      <c r="B75" s="462"/>
      <c r="C75" s="463"/>
      <c r="D75" s="465"/>
      <c r="E75" s="456"/>
      <c r="F75" s="171" t="s">
        <v>22</v>
      </c>
      <c r="G75" s="166" t="s">
        <v>23</v>
      </c>
      <c r="H75" s="172">
        <f aca="true" t="shared" si="7" ref="H75:K76">H69+H71+H73</f>
        <v>0</v>
      </c>
      <c r="I75" s="173">
        <f t="shared" si="7"/>
        <v>0</v>
      </c>
      <c r="J75" s="174">
        <f t="shared" si="7"/>
        <v>0</v>
      </c>
      <c r="K75" s="174">
        <f t="shared" si="7"/>
        <v>0</v>
      </c>
      <c r="L75" s="189"/>
    </row>
    <row r="76" spans="1:12" s="164" customFormat="1" ht="13.5" thickBot="1">
      <c r="A76" s="443"/>
      <c r="B76" s="467"/>
      <c r="C76" s="469"/>
      <c r="D76" s="470"/>
      <c r="E76" s="461"/>
      <c r="F76" s="176">
        <f>F70+F73</f>
        <v>4603114</v>
      </c>
      <c r="G76" s="190" t="s">
        <v>24</v>
      </c>
      <c r="H76" s="178">
        <f t="shared" si="7"/>
        <v>603114</v>
      </c>
      <c r="I76" s="191">
        <f t="shared" si="7"/>
        <v>1700000</v>
      </c>
      <c r="J76" s="192">
        <f t="shared" si="7"/>
        <v>1177804</v>
      </c>
      <c r="K76" s="192">
        <f t="shared" si="7"/>
        <v>1780918</v>
      </c>
      <c r="L76" s="193">
        <f>L70</f>
        <v>0.38689417642057095</v>
      </c>
    </row>
    <row r="77" spans="1:12" s="164" customFormat="1" ht="12.75" customHeight="1">
      <c r="A77" s="441">
        <v>9</v>
      </c>
      <c r="B77" s="444" t="s">
        <v>172</v>
      </c>
      <c r="C77" s="447">
        <v>60015</v>
      </c>
      <c r="D77" s="450" t="s">
        <v>162</v>
      </c>
      <c r="E77" s="453">
        <v>2011</v>
      </c>
      <c r="F77" s="210" t="s">
        <v>15</v>
      </c>
      <c r="G77" s="183" t="s">
        <v>16</v>
      </c>
      <c r="H77" s="184"/>
      <c r="I77" s="185"/>
      <c r="J77" s="186"/>
      <c r="K77" s="186"/>
      <c r="L77" s="187"/>
    </row>
    <row r="78" spans="1:12" s="164" customFormat="1" ht="12.75">
      <c r="A78" s="442"/>
      <c r="B78" s="445"/>
      <c r="C78" s="448"/>
      <c r="D78" s="451"/>
      <c r="E78" s="439"/>
      <c r="F78" s="436">
        <f>SUM(H83:AM83)</f>
        <v>0</v>
      </c>
      <c r="G78" s="166" t="s">
        <v>17</v>
      </c>
      <c r="H78" s="167"/>
      <c r="I78" s="168">
        <v>600000</v>
      </c>
      <c r="J78" s="169">
        <v>295000</v>
      </c>
      <c r="K78" s="169">
        <f>SUM(H78,J78)</f>
        <v>295000</v>
      </c>
      <c r="L78" s="188">
        <f>K78/F84</f>
        <v>0.024583333333333332</v>
      </c>
    </row>
    <row r="79" spans="1:12" s="164" customFormat="1" ht="12.75">
      <c r="A79" s="442"/>
      <c r="B79" s="445"/>
      <c r="C79" s="448"/>
      <c r="D79" s="451"/>
      <c r="E79" s="439"/>
      <c r="F79" s="437"/>
      <c r="G79" s="166" t="s">
        <v>85</v>
      </c>
      <c r="H79" s="167"/>
      <c r="I79" s="168"/>
      <c r="J79" s="169"/>
      <c r="K79" s="169"/>
      <c r="L79" s="188"/>
    </row>
    <row r="80" spans="1:12" s="164" customFormat="1" ht="12.75">
      <c r="A80" s="442"/>
      <c r="B80" s="445"/>
      <c r="C80" s="448"/>
      <c r="D80" s="451"/>
      <c r="E80" s="454"/>
      <c r="F80" s="211" t="s">
        <v>18</v>
      </c>
      <c r="G80" s="166" t="s">
        <v>86</v>
      </c>
      <c r="H80" s="167"/>
      <c r="I80" s="168"/>
      <c r="J80" s="169"/>
      <c r="K80" s="169"/>
      <c r="L80" s="188"/>
    </row>
    <row r="81" spans="1:12" s="164" customFormat="1" ht="12.75">
      <c r="A81" s="442"/>
      <c r="B81" s="445"/>
      <c r="C81" s="448"/>
      <c r="D81" s="451"/>
      <c r="E81" s="438">
        <v>2013</v>
      </c>
      <c r="F81" s="436">
        <v>12000000</v>
      </c>
      <c r="G81" s="166" t="s">
        <v>19</v>
      </c>
      <c r="H81" s="167"/>
      <c r="I81" s="168"/>
      <c r="J81" s="169"/>
      <c r="K81" s="169"/>
      <c r="L81" s="188"/>
    </row>
    <row r="82" spans="1:12" s="164" customFormat="1" ht="12.75">
      <c r="A82" s="442"/>
      <c r="B82" s="445"/>
      <c r="C82" s="448"/>
      <c r="D82" s="451"/>
      <c r="E82" s="439"/>
      <c r="F82" s="437"/>
      <c r="G82" s="166" t="s">
        <v>21</v>
      </c>
      <c r="H82" s="167"/>
      <c r="I82" s="168"/>
      <c r="J82" s="169"/>
      <c r="K82" s="169"/>
      <c r="L82" s="188"/>
    </row>
    <row r="83" spans="1:12" s="164" customFormat="1" ht="12.75">
      <c r="A83" s="442"/>
      <c r="B83" s="445"/>
      <c r="C83" s="448"/>
      <c r="D83" s="451"/>
      <c r="E83" s="439"/>
      <c r="F83" s="211" t="s">
        <v>22</v>
      </c>
      <c r="G83" s="166" t="s">
        <v>23</v>
      </c>
      <c r="H83" s="172">
        <f aca="true" t="shared" si="8" ref="H83:K84">H77+H79+H81</f>
        <v>0</v>
      </c>
      <c r="I83" s="173">
        <f t="shared" si="8"/>
        <v>0</v>
      </c>
      <c r="J83" s="174">
        <f t="shared" si="8"/>
        <v>0</v>
      </c>
      <c r="K83" s="174">
        <f t="shared" si="8"/>
        <v>0</v>
      </c>
      <c r="L83" s="189"/>
    </row>
    <row r="84" spans="1:12" s="164" customFormat="1" ht="13.5" thickBot="1">
      <c r="A84" s="443"/>
      <c r="B84" s="446"/>
      <c r="C84" s="449"/>
      <c r="D84" s="452"/>
      <c r="E84" s="440"/>
      <c r="F84" s="212">
        <f>F78+F81</f>
        <v>12000000</v>
      </c>
      <c r="G84" s="190" t="s">
        <v>24</v>
      </c>
      <c r="H84" s="178">
        <f t="shared" si="8"/>
        <v>0</v>
      </c>
      <c r="I84" s="191">
        <f t="shared" si="8"/>
        <v>600000</v>
      </c>
      <c r="J84" s="192">
        <f t="shared" si="8"/>
        <v>295000</v>
      </c>
      <c r="K84" s="192">
        <f t="shared" si="8"/>
        <v>295000</v>
      </c>
      <c r="L84" s="193">
        <f>L78</f>
        <v>0.024583333333333332</v>
      </c>
    </row>
    <row r="85" spans="1:12" s="164" customFormat="1" ht="12.75" customHeight="1">
      <c r="A85" s="441">
        <v>10</v>
      </c>
      <c r="B85" s="466" t="s">
        <v>173</v>
      </c>
      <c r="C85" s="468">
        <v>60016</v>
      </c>
      <c r="D85" s="464" t="s">
        <v>162</v>
      </c>
      <c r="E85" s="455">
        <v>2011</v>
      </c>
      <c r="F85" s="182" t="s">
        <v>15</v>
      </c>
      <c r="G85" s="183" t="s">
        <v>16</v>
      </c>
      <c r="H85" s="184"/>
      <c r="I85" s="185"/>
      <c r="J85" s="186"/>
      <c r="K85" s="186"/>
      <c r="L85" s="187"/>
    </row>
    <row r="86" spans="1:12" s="164" customFormat="1" ht="12.75">
      <c r="A86" s="442"/>
      <c r="B86" s="462"/>
      <c r="C86" s="463"/>
      <c r="D86" s="465"/>
      <c r="E86" s="456"/>
      <c r="F86" s="458">
        <f>SUM(H91:L91)</f>
        <v>0</v>
      </c>
      <c r="G86" s="166" t="s">
        <v>17</v>
      </c>
      <c r="H86" s="167"/>
      <c r="I86" s="168">
        <f>10000000+1000000+2000000-1000000</f>
        <v>12000000</v>
      </c>
      <c r="J86" s="169">
        <v>11084722</v>
      </c>
      <c r="K86" s="169">
        <f>SUM(H86,J86)</f>
        <v>11084722</v>
      </c>
      <c r="L86" s="188">
        <f>K86/F92</f>
        <v>0.1878766440677966</v>
      </c>
    </row>
    <row r="87" spans="1:12" s="164" customFormat="1" ht="12.75">
      <c r="A87" s="442"/>
      <c r="B87" s="462"/>
      <c r="C87" s="463"/>
      <c r="D87" s="465"/>
      <c r="E87" s="456"/>
      <c r="F87" s="459"/>
      <c r="G87" s="166" t="s">
        <v>85</v>
      </c>
      <c r="H87" s="167"/>
      <c r="I87" s="168"/>
      <c r="J87" s="169"/>
      <c r="K87" s="169"/>
      <c r="L87" s="188"/>
    </row>
    <row r="88" spans="1:12" s="164" customFormat="1" ht="12.75">
      <c r="A88" s="442"/>
      <c r="B88" s="462"/>
      <c r="C88" s="463"/>
      <c r="D88" s="465"/>
      <c r="E88" s="457"/>
      <c r="F88" s="171" t="s">
        <v>18</v>
      </c>
      <c r="G88" s="166" t="s">
        <v>86</v>
      </c>
      <c r="H88" s="167"/>
      <c r="I88" s="168"/>
      <c r="J88" s="169"/>
      <c r="K88" s="169"/>
      <c r="L88" s="188"/>
    </row>
    <row r="89" spans="1:12" s="164" customFormat="1" ht="12.75">
      <c r="A89" s="442"/>
      <c r="B89" s="462"/>
      <c r="C89" s="463"/>
      <c r="D89" s="465"/>
      <c r="E89" s="460">
        <v>2013</v>
      </c>
      <c r="F89" s="458">
        <v>59000000</v>
      </c>
      <c r="G89" s="166" t="s">
        <v>19</v>
      </c>
      <c r="H89" s="167"/>
      <c r="I89" s="168"/>
      <c r="J89" s="169"/>
      <c r="K89" s="169"/>
      <c r="L89" s="188"/>
    </row>
    <row r="90" spans="1:12" s="164" customFormat="1" ht="12.75">
      <c r="A90" s="442"/>
      <c r="B90" s="462"/>
      <c r="C90" s="463"/>
      <c r="D90" s="465"/>
      <c r="E90" s="456"/>
      <c r="F90" s="459"/>
      <c r="G90" s="166" t="s">
        <v>21</v>
      </c>
      <c r="H90" s="167"/>
      <c r="I90" s="168"/>
      <c r="J90" s="169"/>
      <c r="K90" s="169"/>
      <c r="L90" s="188"/>
    </row>
    <row r="91" spans="1:12" s="164" customFormat="1" ht="12.75">
      <c r="A91" s="442"/>
      <c r="B91" s="462"/>
      <c r="C91" s="463"/>
      <c r="D91" s="465"/>
      <c r="E91" s="456"/>
      <c r="F91" s="171" t="s">
        <v>22</v>
      </c>
      <c r="G91" s="166" t="s">
        <v>23</v>
      </c>
      <c r="H91" s="172">
        <f aca="true" t="shared" si="9" ref="H91:K92">H85+H87+H89</f>
        <v>0</v>
      </c>
      <c r="I91" s="173">
        <f t="shared" si="9"/>
        <v>0</v>
      </c>
      <c r="J91" s="174">
        <f t="shared" si="9"/>
        <v>0</v>
      </c>
      <c r="K91" s="174">
        <f t="shared" si="9"/>
        <v>0</v>
      </c>
      <c r="L91" s="189"/>
    </row>
    <row r="92" spans="1:12" s="164" customFormat="1" ht="13.5" thickBot="1">
      <c r="A92" s="443"/>
      <c r="B92" s="467"/>
      <c r="C92" s="469"/>
      <c r="D92" s="470"/>
      <c r="E92" s="461"/>
      <c r="F92" s="176">
        <f>F86+F89</f>
        <v>59000000</v>
      </c>
      <c r="G92" s="190" t="s">
        <v>24</v>
      </c>
      <c r="H92" s="178">
        <f t="shared" si="9"/>
        <v>0</v>
      </c>
      <c r="I92" s="191">
        <f t="shared" si="9"/>
        <v>12000000</v>
      </c>
      <c r="J92" s="192">
        <f t="shared" si="9"/>
        <v>11084722</v>
      </c>
      <c r="K92" s="192">
        <f t="shared" si="9"/>
        <v>11084722</v>
      </c>
      <c r="L92" s="193">
        <f>L86</f>
        <v>0.1878766440677966</v>
      </c>
    </row>
    <row r="93" spans="1:12" s="164" customFormat="1" ht="12.75" customHeight="1">
      <c r="A93" s="441">
        <v>11</v>
      </c>
      <c r="B93" s="466" t="s">
        <v>174</v>
      </c>
      <c r="C93" s="468">
        <v>60016</v>
      </c>
      <c r="D93" s="464" t="s">
        <v>162</v>
      </c>
      <c r="E93" s="455">
        <v>2011</v>
      </c>
      <c r="F93" s="182" t="s">
        <v>15</v>
      </c>
      <c r="G93" s="183" t="s">
        <v>16</v>
      </c>
      <c r="H93" s="184"/>
      <c r="I93" s="185"/>
      <c r="J93" s="186"/>
      <c r="K93" s="186"/>
      <c r="L93" s="187"/>
    </row>
    <row r="94" spans="1:12" s="164" customFormat="1" ht="12.75">
      <c r="A94" s="442"/>
      <c r="B94" s="462"/>
      <c r="C94" s="463"/>
      <c r="D94" s="465"/>
      <c r="E94" s="456"/>
      <c r="F94" s="458">
        <f>SUM(H99:L99)</f>
        <v>0</v>
      </c>
      <c r="G94" s="166" t="s">
        <v>17</v>
      </c>
      <c r="H94" s="167"/>
      <c r="I94" s="168">
        <f>2500000-1100000</f>
        <v>1400000</v>
      </c>
      <c r="J94" s="169">
        <v>888736</v>
      </c>
      <c r="K94" s="169">
        <f>SUM(H94,J94)</f>
        <v>888736</v>
      </c>
      <c r="L94" s="188">
        <f>K94/F100</f>
        <v>0.0945463829787234</v>
      </c>
    </row>
    <row r="95" spans="1:12" s="164" customFormat="1" ht="12.75">
      <c r="A95" s="442"/>
      <c r="B95" s="462"/>
      <c r="C95" s="463"/>
      <c r="D95" s="465"/>
      <c r="E95" s="456"/>
      <c r="F95" s="459"/>
      <c r="G95" s="166" t="s">
        <v>85</v>
      </c>
      <c r="H95" s="167"/>
      <c r="I95" s="168"/>
      <c r="J95" s="169"/>
      <c r="K95" s="169"/>
      <c r="L95" s="188"/>
    </row>
    <row r="96" spans="1:12" s="164" customFormat="1" ht="12.75">
      <c r="A96" s="442"/>
      <c r="B96" s="462"/>
      <c r="C96" s="463"/>
      <c r="D96" s="465"/>
      <c r="E96" s="457"/>
      <c r="F96" s="171" t="s">
        <v>18</v>
      </c>
      <c r="G96" s="166" t="s">
        <v>86</v>
      </c>
      <c r="H96" s="167"/>
      <c r="I96" s="168"/>
      <c r="J96" s="169"/>
      <c r="K96" s="169"/>
      <c r="L96" s="188"/>
    </row>
    <row r="97" spans="1:12" s="164" customFormat="1" ht="12.75">
      <c r="A97" s="442"/>
      <c r="B97" s="462"/>
      <c r="C97" s="463"/>
      <c r="D97" s="465"/>
      <c r="E97" s="460">
        <v>2013</v>
      </c>
      <c r="F97" s="458">
        <v>9400000</v>
      </c>
      <c r="G97" s="166" t="s">
        <v>19</v>
      </c>
      <c r="H97" s="167"/>
      <c r="I97" s="168"/>
      <c r="J97" s="169"/>
      <c r="K97" s="169"/>
      <c r="L97" s="188"/>
    </row>
    <row r="98" spans="1:12" s="164" customFormat="1" ht="12.75">
      <c r="A98" s="442"/>
      <c r="B98" s="462"/>
      <c r="C98" s="463"/>
      <c r="D98" s="465"/>
      <c r="E98" s="456"/>
      <c r="F98" s="459"/>
      <c r="G98" s="166" t="s">
        <v>21</v>
      </c>
      <c r="H98" s="167"/>
      <c r="I98" s="168"/>
      <c r="J98" s="169"/>
      <c r="K98" s="169"/>
      <c r="L98" s="188"/>
    </row>
    <row r="99" spans="1:12" s="164" customFormat="1" ht="12.75">
      <c r="A99" s="442"/>
      <c r="B99" s="462"/>
      <c r="C99" s="463"/>
      <c r="D99" s="465"/>
      <c r="E99" s="456"/>
      <c r="F99" s="171" t="s">
        <v>22</v>
      </c>
      <c r="G99" s="166" t="s">
        <v>23</v>
      </c>
      <c r="H99" s="172">
        <f aca="true" t="shared" si="10" ref="H99:K100">H93+H95+H97</f>
        <v>0</v>
      </c>
      <c r="I99" s="173">
        <f t="shared" si="10"/>
        <v>0</v>
      </c>
      <c r="J99" s="174">
        <f t="shared" si="10"/>
        <v>0</v>
      </c>
      <c r="K99" s="174">
        <f t="shared" si="10"/>
        <v>0</v>
      </c>
      <c r="L99" s="189"/>
    </row>
    <row r="100" spans="1:12" s="164" customFormat="1" ht="13.5" thickBot="1">
      <c r="A100" s="442"/>
      <c r="B100" s="467"/>
      <c r="C100" s="469"/>
      <c r="D100" s="470"/>
      <c r="E100" s="461"/>
      <c r="F100" s="176">
        <f>F94+F97</f>
        <v>9400000</v>
      </c>
      <c r="G100" s="190" t="s">
        <v>24</v>
      </c>
      <c r="H100" s="178">
        <f t="shared" si="10"/>
        <v>0</v>
      </c>
      <c r="I100" s="191">
        <f t="shared" si="10"/>
        <v>1400000</v>
      </c>
      <c r="J100" s="192">
        <f t="shared" si="10"/>
        <v>888736</v>
      </c>
      <c r="K100" s="192">
        <f t="shared" si="10"/>
        <v>888736</v>
      </c>
      <c r="L100" s="193">
        <f>L94</f>
        <v>0.0945463829787234</v>
      </c>
    </row>
    <row r="101" spans="1:12" s="164" customFormat="1" ht="12.75" customHeight="1">
      <c r="A101" s="441">
        <v>12</v>
      </c>
      <c r="B101" s="466" t="s">
        <v>175</v>
      </c>
      <c r="C101" s="468">
        <v>60016</v>
      </c>
      <c r="D101" s="464" t="s">
        <v>162</v>
      </c>
      <c r="E101" s="455">
        <v>2011</v>
      </c>
      <c r="F101" s="182" t="s">
        <v>15</v>
      </c>
      <c r="G101" s="183" t="s">
        <v>16</v>
      </c>
      <c r="H101" s="184"/>
      <c r="I101" s="185"/>
      <c r="J101" s="186"/>
      <c r="K101" s="186"/>
      <c r="L101" s="187"/>
    </row>
    <row r="102" spans="1:12" s="164" customFormat="1" ht="12.75">
      <c r="A102" s="442"/>
      <c r="B102" s="462"/>
      <c r="C102" s="463"/>
      <c r="D102" s="465"/>
      <c r="E102" s="456"/>
      <c r="F102" s="458">
        <f>SUM(H107:L107)</f>
        <v>0</v>
      </c>
      <c r="G102" s="166" t="s">
        <v>17</v>
      </c>
      <c r="H102" s="167"/>
      <c r="I102" s="168">
        <f>1000000-950000</f>
        <v>50000</v>
      </c>
      <c r="J102" s="169">
        <v>0</v>
      </c>
      <c r="K102" s="169">
        <f>SUM(H102,J102)</f>
        <v>0</v>
      </c>
      <c r="L102" s="188">
        <f>K102/F108</f>
        <v>0</v>
      </c>
    </row>
    <row r="103" spans="1:12" s="164" customFormat="1" ht="12.75">
      <c r="A103" s="442"/>
      <c r="B103" s="462"/>
      <c r="C103" s="463"/>
      <c r="D103" s="465"/>
      <c r="E103" s="456"/>
      <c r="F103" s="459"/>
      <c r="G103" s="166" t="s">
        <v>85</v>
      </c>
      <c r="H103" s="167"/>
      <c r="I103" s="168"/>
      <c r="J103" s="169"/>
      <c r="K103" s="169"/>
      <c r="L103" s="188"/>
    </row>
    <row r="104" spans="1:12" s="164" customFormat="1" ht="12.75">
      <c r="A104" s="442"/>
      <c r="B104" s="462"/>
      <c r="C104" s="463"/>
      <c r="D104" s="465"/>
      <c r="E104" s="457"/>
      <c r="F104" s="171" t="s">
        <v>18</v>
      </c>
      <c r="G104" s="166" t="s">
        <v>86</v>
      </c>
      <c r="H104" s="167"/>
      <c r="I104" s="168"/>
      <c r="J104" s="169"/>
      <c r="K104" s="169"/>
      <c r="L104" s="188"/>
    </row>
    <row r="105" spans="1:12" s="164" customFormat="1" ht="12.75">
      <c r="A105" s="442"/>
      <c r="B105" s="462"/>
      <c r="C105" s="463"/>
      <c r="D105" s="465"/>
      <c r="E105" s="460">
        <v>2013</v>
      </c>
      <c r="F105" s="458">
        <v>3550000</v>
      </c>
      <c r="G105" s="166" t="s">
        <v>19</v>
      </c>
      <c r="H105" s="167"/>
      <c r="I105" s="168"/>
      <c r="J105" s="169"/>
      <c r="K105" s="169"/>
      <c r="L105" s="188"/>
    </row>
    <row r="106" spans="1:12" s="164" customFormat="1" ht="12.75">
      <c r="A106" s="442"/>
      <c r="B106" s="462"/>
      <c r="C106" s="463"/>
      <c r="D106" s="465"/>
      <c r="E106" s="456"/>
      <c r="F106" s="459"/>
      <c r="G106" s="166" t="s">
        <v>21</v>
      </c>
      <c r="H106" s="167"/>
      <c r="I106" s="168"/>
      <c r="J106" s="169"/>
      <c r="K106" s="169"/>
      <c r="L106" s="188"/>
    </row>
    <row r="107" spans="1:12" s="164" customFormat="1" ht="12.75">
      <c r="A107" s="442"/>
      <c r="B107" s="462"/>
      <c r="C107" s="463"/>
      <c r="D107" s="465"/>
      <c r="E107" s="456"/>
      <c r="F107" s="171" t="s">
        <v>22</v>
      </c>
      <c r="G107" s="166" t="s">
        <v>23</v>
      </c>
      <c r="H107" s="172">
        <f aca="true" t="shared" si="11" ref="H107:K108">H101+H103+H105</f>
        <v>0</v>
      </c>
      <c r="I107" s="173">
        <f t="shared" si="11"/>
        <v>0</v>
      </c>
      <c r="J107" s="174">
        <f t="shared" si="11"/>
        <v>0</v>
      </c>
      <c r="K107" s="174">
        <f t="shared" si="11"/>
        <v>0</v>
      </c>
      <c r="L107" s="189"/>
    </row>
    <row r="108" spans="1:12" s="164" customFormat="1" ht="13.5" thickBot="1">
      <c r="A108" s="443"/>
      <c r="B108" s="467"/>
      <c r="C108" s="469"/>
      <c r="D108" s="465"/>
      <c r="E108" s="461"/>
      <c r="F108" s="176">
        <f>F102+F105</f>
        <v>3550000</v>
      </c>
      <c r="G108" s="190" t="s">
        <v>24</v>
      </c>
      <c r="H108" s="178">
        <f t="shared" si="11"/>
        <v>0</v>
      </c>
      <c r="I108" s="191">
        <f t="shared" si="11"/>
        <v>50000</v>
      </c>
      <c r="J108" s="192">
        <f t="shared" si="11"/>
        <v>0</v>
      </c>
      <c r="K108" s="192">
        <f t="shared" si="11"/>
        <v>0</v>
      </c>
      <c r="L108" s="193">
        <f>L102</f>
        <v>0</v>
      </c>
    </row>
    <row r="109" spans="1:12" s="164" customFormat="1" ht="12.75" customHeight="1">
      <c r="A109" s="441">
        <v>13</v>
      </c>
      <c r="B109" s="466" t="s">
        <v>176</v>
      </c>
      <c r="C109" s="468">
        <v>60016</v>
      </c>
      <c r="D109" s="464" t="s">
        <v>162</v>
      </c>
      <c r="E109" s="455">
        <v>2011</v>
      </c>
      <c r="F109" s="182" t="s">
        <v>15</v>
      </c>
      <c r="G109" s="183" t="s">
        <v>163</v>
      </c>
      <c r="H109" s="184"/>
      <c r="I109" s="160"/>
      <c r="J109" s="161"/>
      <c r="K109" s="186"/>
      <c r="L109" s="187"/>
    </row>
    <row r="110" spans="1:12" s="164" customFormat="1" ht="12.75">
      <c r="A110" s="442"/>
      <c r="B110" s="462"/>
      <c r="C110" s="463"/>
      <c r="D110" s="465"/>
      <c r="E110" s="456"/>
      <c r="F110" s="458">
        <f>SUM(H115:L115)</f>
        <v>0</v>
      </c>
      <c r="G110" s="166" t="s">
        <v>164</v>
      </c>
      <c r="H110" s="167"/>
      <c r="I110" s="168">
        <f>1400000+15000</f>
        <v>1415000</v>
      </c>
      <c r="J110" s="169">
        <v>995559</v>
      </c>
      <c r="K110" s="169">
        <f>SUM(H110,J110)</f>
        <v>995559</v>
      </c>
      <c r="L110" s="188">
        <f>K110/F116</f>
        <v>0.2067619937694704</v>
      </c>
    </row>
    <row r="111" spans="1:12" s="164" customFormat="1" ht="12.75">
      <c r="A111" s="442"/>
      <c r="B111" s="462"/>
      <c r="C111" s="463"/>
      <c r="D111" s="465"/>
      <c r="E111" s="456"/>
      <c r="F111" s="459"/>
      <c r="G111" s="166" t="s">
        <v>85</v>
      </c>
      <c r="H111" s="167"/>
      <c r="I111" s="168"/>
      <c r="J111" s="169"/>
      <c r="K111" s="169"/>
      <c r="L111" s="188"/>
    </row>
    <row r="112" spans="1:12" s="164" customFormat="1" ht="12.75">
      <c r="A112" s="442"/>
      <c r="B112" s="462"/>
      <c r="C112" s="463"/>
      <c r="D112" s="465"/>
      <c r="E112" s="457"/>
      <c r="F112" s="171" t="s">
        <v>18</v>
      </c>
      <c r="G112" s="166" t="s">
        <v>86</v>
      </c>
      <c r="H112" s="167"/>
      <c r="I112" s="168"/>
      <c r="J112" s="169"/>
      <c r="K112" s="169"/>
      <c r="L112" s="188"/>
    </row>
    <row r="113" spans="1:12" s="164" customFormat="1" ht="12.75">
      <c r="A113" s="442"/>
      <c r="B113" s="462"/>
      <c r="C113" s="463"/>
      <c r="D113" s="465"/>
      <c r="E113" s="460">
        <v>2013</v>
      </c>
      <c r="F113" s="458">
        <v>4815000</v>
      </c>
      <c r="G113" s="166" t="s">
        <v>19</v>
      </c>
      <c r="H113" s="167"/>
      <c r="I113" s="168"/>
      <c r="J113" s="169"/>
      <c r="K113" s="169"/>
      <c r="L113" s="188"/>
    </row>
    <row r="114" spans="1:12" s="164" customFormat="1" ht="12.75">
      <c r="A114" s="442"/>
      <c r="B114" s="462"/>
      <c r="C114" s="463"/>
      <c r="D114" s="465"/>
      <c r="E114" s="456"/>
      <c r="F114" s="459"/>
      <c r="G114" s="166" t="s">
        <v>21</v>
      </c>
      <c r="H114" s="167"/>
      <c r="I114" s="168"/>
      <c r="J114" s="169"/>
      <c r="K114" s="169"/>
      <c r="L114" s="188"/>
    </row>
    <row r="115" spans="1:12" s="164" customFormat="1" ht="12.75">
      <c r="A115" s="442"/>
      <c r="B115" s="462"/>
      <c r="C115" s="463"/>
      <c r="D115" s="465"/>
      <c r="E115" s="456"/>
      <c r="F115" s="171" t="s">
        <v>22</v>
      </c>
      <c r="G115" s="166" t="s">
        <v>23</v>
      </c>
      <c r="H115" s="172">
        <f aca="true" t="shared" si="12" ref="H115:K116">H109+H111+H113</f>
        <v>0</v>
      </c>
      <c r="I115" s="173">
        <f t="shared" si="12"/>
        <v>0</v>
      </c>
      <c r="J115" s="174">
        <f t="shared" si="12"/>
        <v>0</v>
      </c>
      <c r="K115" s="174">
        <f t="shared" si="12"/>
        <v>0</v>
      </c>
      <c r="L115" s="189"/>
    </row>
    <row r="116" spans="1:12" s="164" customFormat="1" ht="13.5" thickBot="1">
      <c r="A116" s="442"/>
      <c r="B116" s="462"/>
      <c r="C116" s="463"/>
      <c r="D116" s="465"/>
      <c r="E116" s="456"/>
      <c r="F116" s="176">
        <f>F110+F113</f>
        <v>4815000</v>
      </c>
      <c r="G116" s="177" t="s">
        <v>24</v>
      </c>
      <c r="H116" s="178">
        <f t="shared" si="12"/>
        <v>0</v>
      </c>
      <c r="I116" s="179">
        <f t="shared" si="12"/>
        <v>1415000</v>
      </c>
      <c r="J116" s="180">
        <f t="shared" si="12"/>
        <v>995559</v>
      </c>
      <c r="K116" s="192">
        <f t="shared" si="12"/>
        <v>995559</v>
      </c>
      <c r="L116" s="193">
        <f>L110</f>
        <v>0.2067619937694704</v>
      </c>
    </row>
    <row r="117" spans="1:12" s="164" customFormat="1" ht="12.75" customHeight="1">
      <c r="A117" s="441">
        <v>14</v>
      </c>
      <c r="B117" s="444" t="s">
        <v>177</v>
      </c>
      <c r="C117" s="447">
        <v>60016</v>
      </c>
      <c r="D117" s="450" t="s">
        <v>162</v>
      </c>
      <c r="E117" s="453">
        <v>2011</v>
      </c>
      <c r="F117" s="210" t="s">
        <v>15</v>
      </c>
      <c r="G117" s="183" t="s">
        <v>16</v>
      </c>
      <c r="H117" s="184"/>
      <c r="I117" s="185"/>
      <c r="J117" s="186"/>
      <c r="K117" s="186"/>
      <c r="L117" s="213"/>
    </row>
    <row r="118" spans="1:12" s="164" customFormat="1" ht="12.75">
      <c r="A118" s="442"/>
      <c r="B118" s="445"/>
      <c r="C118" s="448"/>
      <c r="D118" s="451"/>
      <c r="E118" s="439"/>
      <c r="F118" s="436">
        <f>SUM(H123:AM123)</f>
        <v>0</v>
      </c>
      <c r="G118" s="166" t="s">
        <v>17</v>
      </c>
      <c r="H118" s="167"/>
      <c r="I118" s="168">
        <v>3400000</v>
      </c>
      <c r="J118" s="169">
        <v>2280979</v>
      </c>
      <c r="K118" s="169">
        <f>SUM(H118,J118)</f>
        <v>2280979</v>
      </c>
      <c r="L118" s="188">
        <f>K118/F124</f>
        <v>0.35091984615384614</v>
      </c>
    </row>
    <row r="119" spans="1:12" s="164" customFormat="1" ht="12.75">
      <c r="A119" s="442"/>
      <c r="B119" s="445"/>
      <c r="C119" s="448"/>
      <c r="D119" s="451"/>
      <c r="E119" s="439"/>
      <c r="F119" s="437"/>
      <c r="G119" s="166" t="s">
        <v>85</v>
      </c>
      <c r="H119" s="167"/>
      <c r="I119" s="168"/>
      <c r="J119" s="169"/>
      <c r="K119" s="169"/>
      <c r="L119" s="170"/>
    </row>
    <row r="120" spans="1:12" s="164" customFormat="1" ht="12.75">
      <c r="A120" s="442"/>
      <c r="B120" s="445"/>
      <c r="C120" s="448"/>
      <c r="D120" s="451"/>
      <c r="E120" s="454"/>
      <c r="F120" s="211" t="s">
        <v>18</v>
      </c>
      <c r="G120" s="166" t="s">
        <v>86</v>
      </c>
      <c r="H120" s="167"/>
      <c r="I120" s="168"/>
      <c r="J120" s="169"/>
      <c r="K120" s="169"/>
      <c r="L120" s="170"/>
    </row>
    <row r="121" spans="1:12" s="164" customFormat="1" ht="12.75">
      <c r="A121" s="442"/>
      <c r="B121" s="445"/>
      <c r="C121" s="448"/>
      <c r="D121" s="451"/>
      <c r="E121" s="438">
        <v>2013</v>
      </c>
      <c r="F121" s="436">
        <v>6500000</v>
      </c>
      <c r="G121" s="166" t="s">
        <v>19</v>
      </c>
      <c r="H121" s="167"/>
      <c r="I121" s="168"/>
      <c r="J121" s="169"/>
      <c r="K121" s="169"/>
      <c r="L121" s="170"/>
    </row>
    <row r="122" spans="1:12" s="164" customFormat="1" ht="12.75">
      <c r="A122" s="442"/>
      <c r="B122" s="445"/>
      <c r="C122" s="448"/>
      <c r="D122" s="451"/>
      <c r="E122" s="439"/>
      <c r="F122" s="437"/>
      <c r="G122" s="166" t="s">
        <v>21</v>
      </c>
      <c r="H122" s="167"/>
      <c r="I122" s="168"/>
      <c r="J122" s="169"/>
      <c r="K122" s="169"/>
      <c r="L122" s="170"/>
    </row>
    <row r="123" spans="1:12" s="164" customFormat="1" ht="12.75">
      <c r="A123" s="442"/>
      <c r="B123" s="445"/>
      <c r="C123" s="448"/>
      <c r="D123" s="451"/>
      <c r="E123" s="439"/>
      <c r="F123" s="211" t="s">
        <v>22</v>
      </c>
      <c r="G123" s="166" t="s">
        <v>23</v>
      </c>
      <c r="H123" s="172">
        <f aca="true" t="shared" si="13" ref="H123:J124">H117+H119+H121</f>
        <v>0</v>
      </c>
      <c r="I123" s="173">
        <f t="shared" si="13"/>
        <v>0</v>
      </c>
      <c r="J123" s="174">
        <f t="shared" si="13"/>
        <v>0</v>
      </c>
      <c r="K123" s="174"/>
      <c r="L123" s="175"/>
    </row>
    <row r="124" spans="1:12" s="164" customFormat="1" ht="13.5" thickBot="1">
      <c r="A124" s="443"/>
      <c r="B124" s="446"/>
      <c r="C124" s="449"/>
      <c r="D124" s="452"/>
      <c r="E124" s="440"/>
      <c r="F124" s="212">
        <f>F118+F121</f>
        <v>6500000</v>
      </c>
      <c r="G124" s="190" t="s">
        <v>24</v>
      </c>
      <c r="H124" s="178">
        <f t="shared" si="13"/>
        <v>0</v>
      </c>
      <c r="I124" s="191">
        <f t="shared" si="13"/>
        <v>3400000</v>
      </c>
      <c r="J124" s="192">
        <f t="shared" si="13"/>
        <v>2280979</v>
      </c>
      <c r="K124" s="192">
        <f>K118+K120+K122</f>
        <v>2280979</v>
      </c>
      <c r="L124" s="188">
        <f>L118</f>
        <v>0.35091984615384614</v>
      </c>
    </row>
    <row r="125" spans="1:12" s="164" customFormat="1" ht="12.75" customHeight="1">
      <c r="A125" s="441">
        <v>15</v>
      </c>
      <c r="B125" s="466" t="s">
        <v>178</v>
      </c>
      <c r="C125" s="468">
        <v>60095</v>
      </c>
      <c r="D125" s="464" t="s">
        <v>162</v>
      </c>
      <c r="E125" s="455">
        <v>2010</v>
      </c>
      <c r="F125" s="182" t="s">
        <v>15</v>
      </c>
      <c r="G125" s="183" t="s">
        <v>16</v>
      </c>
      <c r="H125" s="184"/>
      <c r="I125" s="185"/>
      <c r="J125" s="186"/>
      <c r="K125" s="186"/>
      <c r="L125" s="213"/>
    </row>
    <row r="126" spans="1:12" s="164" customFormat="1" ht="12.75">
      <c r="A126" s="442"/>
      <c r="B126" s="462"/>
      <c r="C126" s="463"/>
      <c r="D126" s="465"/>
      <c r="E126" s="456"/>
      <c r="F126" s="458">
        <f>SUM(H131:L131)</f>
        <v>0</v>
      </c>
      <c r="G126" s="166" t="s">
        <v>17</v>
      </c>
      <c r="H126" s="167">
        <v>1000000</v>
      </c>
      <c r="I126" s="168">
        <v>1000000</v>
      </c>
      <c r="J126" s="169">
        <v>1000000</v>
      </c>
      <c r="K126" s="169">
        <f>SUM(H126,J126)</f>
        <v>2000000</v>
      </c>
      <c r="L126" s="188">
        <f>K126/F132</f>
        <v>1</v>
      </c>
    </row>
    <row r="127" spans="1:12" s="164" customFormat="1" ht="12.75">
      <c r="A127" s="442"/>
      <c r="B127" s="462"/>
      <c r="C127" s="463"/>
      <c r="D127" s="465"/>
      <c r="E127" s="456"/>
      <c r="F127" s="459"/>
      <c r="G127" s="166" t="s">
        <v>85</v>
      </c>
      <c r="H127" s="167"/>
      <c r="I127" s="168"/>
      <c r="J127" s="169"/>
      <c r="K127" s="169"/>
      <c r="L127" s="170"/>
    </row>
    <row r="128" spans="1:12" s="164" customFormat="1" ht="12.75">
      <c r="A128" s="442"/>
      <c r="B128" s="462"/>
      <c r="C128" s="463"/>
      <c r="D128" s="465"/>
      <c r="E128" s="457"/>
      <c r="F128" s="171" t="s">
        <v>18</v>
      </c>
      <c r="G128" s="166" t="s">
        <v>86</v>
      </c>
      <c r="H128" s="167"/>
      <c r="I128" s="168"/>
      <c r="J128" s="169"/>
      <c r="K128" s="169"/>
      <c r="L128" s="170"/>
    </row>
    <row r="129" spans="1:12" s="164" customFormat="1" ht="12.75">
      <c r="A129" s="442"/>
      <c r="B129" s="462"/>
      <c r="C129" s="463"/>
      <c r="D129" s="465"/>
      <c r="E129" s="460">
        <v>2011</v>
      </c>
      <c r="F129" s="458">
        <v>2000000</v>
      </c>
      <c r="G129" s="166" t="s">
        <v>19</v>
      </c>
      <c r="H129" s="167"/>
      <c r="I129" s="168"/>
      <c r="J129" s="169"/>
      <c r="K129" s="169"/>
      <c r="L129" s="170"/>
    </row>
    <row r="130" spans="1:12" s="164" customFormat="1" ht="12.75">
      <c r="A130" s="442"/>
      <c r="B130" s="462"/>
      <c r="C130" s="463"/>
      <c r="D130" s="465"/>
      <c r="E130" s="456"/>
      <c r="F130" s="459"/>
      <c r="G130" s="166" t="s">
        <v>21</v>
      </c>
      <c r="H130" s="167"/>
      <c r="I130" s="168"/>
      <c r="J130" s="169"/>
      <c r="K130" s="169"/>
      <c r="L130" s="170"/>
    </row>
    <row r="131" spans="1:12" s="164" customFormat="1" ht="12.75">
      <c r="A131" s="442"/>
      <c r="B131" s="462"/>
      <c r="C131" s="463"/>
      <c r="D131" s="465"/>
      <c r="E131" s="456"/>
      <c r="F131" s="171" t="s">
        <v>22</v>
      </c>
      <c r="G131" s="166" t="s">
        <v>23</v>
      </c>
      <c r="H131" s="172">
        <f aca="true" t="shared" si="14" ref="H131:K132">H125+H127+H129</f>
        <v>0</v>
      </c>
      <c r="I131" s="173">
        <f t="shared" si="14"/>
        <v>0</v>
      </c>
      <c r="J131" s="174">
        <f t="shared" si="14"/>
        <v>0</v>
      </c>
      <c r="K131" s="174"/>
      <c r="L131" s="175"/>
    </row>
    <row r="132" spans="1:12" s="164" customFormat="1" ht="13.5" thickBot="1">
      <c r="A132" s="442"/>
      <c r="B132" s="467"/>
      <c r="C132" s="469"/>
      <c r="D132" s="470"/>
      <c r="E132" s="461"/>
      <c r="F132" s="176">
        <f>F126+F129</f>
        <v>2000000</v>
      </c>
      <c r="G132" s="190" t="s">
        <v>24</v>
      </c>
      <c r="H132" s="178">
        <f t="shared" si="14"/>
        <v>1000000</v>
      </c>
      <c r="I132" s="191">
        <f t="shared" si="14"/>
        <v>1000000</v>
      </c>
      <c r="J132" s="192">
        <f t="shared" si="14"/>
        <v>1000000</v>
      </c>
      <c r="K132" s="192">
        <f t="shared" si="14"/>
        <v>2000000</v>
      </c>
      <c r="L132" s="188">
        <f>L126</f>
        <v>1</v>
      </c>
    </row>
    <row r="133" spans="1:12" s="145" customFormat="1" ht="12.75" customHeight="1">
      <c r="A133" s="441">
        <v>16</v>
      </c>
      <c r="B133" s="466" t="s">
        <v>179</v>
      </c>
      <c r="C133" s="468">
        <v>60095</v>
      </c>
      <c r="D133" s="464" t="s">
        <v>162</v>
      </c>
      <c r="E133" s="455">
        <v>2011</v>
      </c>
      <c r="F133" s="182" t="s">
        <v>15</v>
      </c>
      <c r="G133" s="183" t="s">
        <v>16</v>
      </c>
      <c r="H133" s="214"/>
      <c r="I133" s="215"/>
      <c r="J133" s="216"/>
      <c r="K133" s="216"/>
      <c r="L133" s="217"/>
    </row>
    <row r="134" spans="1:12" s="145" customFormat="1" ht="12.75">
      <c r="A134" s="442"/>
      <c r="B134" s="462"/>
      <c r="C134" s="463"/>
      <c r="D134" s="465"/>
      <c r="E134" s="456"/>
      <c r="F134" s="458">
        <f>SUM(H139:L139)</f>
        <v>0</v>
      </c>
      <c r="G134" s="166" t="s">
        <v>17</v>
      </c>
      <c r="H134" s="218"/>
      <c r="I134" s="219">
        <f>23970000+2000000</f>
        <v>25970000</v>
      </c>
      <c r="J134" s="220">
        <v>25970000</v>
      </c>
      <c r="K134" s="220">
        <f>SUM(H134,J134)</f>
        <v>25970000</v>
      </c>
      <c r="L134" s="221">
        <f>K134/F137</f>
        <v>0.41053446940356314</v>
      </c>
    </row>
    <row r="135" spans="1:12" s="145" customFormat="1" ht="12.75">
      <c r="A135" s="442"/>
      <c r="B135" s="462"/>
      <c r="C135" s="463"/>
      <c r="D135" s="465"/>
      <c r="E135" s="456"/>
      <c r="F135" s="459"/>
      <c r="G135" s="166" t="s">
        <v>85</v>
      </c>
      <c r="H135" s="218"/>
      <c r="I135" s="219"/>
      <c r="J135" s="220"/>
      <c r="K135" s="220"/>
      <c r="L135" s="222"/>
    </row>
    <row r="136" spans="1:12" s="145" customFormat="1" ht="12.75">
      <c r="A136" s="442"/>
      <c r="B136" s="462"/>
      <c r="C136" s="463"/>
      <c r="D136" s="465"/>
      <c r="E136" s="457"/>
      <c r="F136" s="171" t="s">
        <v>18</v>
      </c>
      <c r="G136" s="166" t="s">
        <v>86</v>
      </c>
      <c r="H136" s="218"/>
      <c r="I136" s="219"/>
      <c r="J136" s="220"/>
      <c r="K136" s="220"/>
      <c r="L136" s="222"/>
    </row>
    <row r="137" spans="1:12" s="145" customFormat="1" ht="12.75">
      <c r="A137" s="442"/>
      <c r="B137" s="462"/>
      <c r="C137" s="463"/>
      <c r="D137" s="465"/>
      <c r="E137" s="460">
        <v>2013</v>
      </c>
      <c r="F137" s="458">
        <v>63259000</v>
      </c>
      <c r="G137" s="166" t="s">
        <v>19</v>
      </c>
      <c r="H137" s="218"/>
      <c r="I137" s="219"/>
      <c r="J137" s="220"/>
      <c r="K137" s="220"/>
      <c r="L137" s="222"/>
    </row>
    <row r="138" spans="1:12" s="145" customFormat="1" ht="12.75">
      <c r="A138" s="442"/>
      <c r="B138" s="462"/>
      <c r="C138" s="463"/>
      <c r="D138" s="465"/>
      <c r="E138" s="456"/>
      <c r="F138" s="459"/>
      <c r="G138" s="166" t="s">
        <v>21</v>
      </c>
      <c r="H138" s="218"/>
      <c r="I138" s="219"/>
      <c r="J138" s="220"/>
      <c r="K138" s="220"/>
      <c r="L138" s="222"/>
    </row>
    <row r="139" spans="1:12" s="145" customFormat="1" ht="12.75">
      <c r="A139" s="442"/>
      <c r="B139" s="462"/>
      <c r="C139" s="463"/>
      <c r="D139" s="465"/>
      <c r="E139" s="456"/>
      <c r="F139" s="171" t="s">
        <v>22</v>
      </c>
      <c r="G139" s="166" t="s">
        <v>23</v>
      </c>
      <c r="H139" s="223">
        <f aca="true" t="shared" si="15" ref="H139:K140">H133+H135+H137</f>
        <v>0</v>
      </c>
      <c r="I139" s="224">
        <f t="shared" si="15"/>
        <v>0</v>
      </c>
      <c r="J139" s="225">
        <f t="shared" si="15"/>
        <v>0</v>
      </c>
      <c r="K139" s="225"/>
      <c r="L139" s="226"/>
    </row>
    <row r="140" spans="1:12" s="145" customFormat="1" ht="13.5" thickBot="1">
      <c r="A140" s="443"/>
      <c r="B140" s="467"/>
      <c r="C140" s="469"/>
      <c r="D140" s="470"/>
      <c r="E140" s="461"/>
      <c r="F140" s="176">
        <f>F134+F137</f>
        <v>63259000</v>
      </c>
      <c r="G140" s="190" t="s">
        <v>24</v>
      </c>
      <c r="H140" s="227">
        <f t="shared" si="15"/>
        <v>0</v>
      </c>
      <c r="I140" s="228">
        <f t="shared" si="15"/>
        <v>25970000</v>
      </c>
      <c r="J140" s="229">
        <f t="shared" si="15"/>
        <v>25970000</v>
      </c>
      <c r="K140" s="229">
        <f t="shared" si="15"/>
        <v>25970000</v>
      </c>
      <c r="L140" s="221">
        <f>SUM(L134)</f>
        <v>0.41053446940356314</v>
      </c>
    </row>
    <row r="141" spans="1:12" s="164" customFormat="1" ht="12.75" customHeight="1">
      <c r="A141" s="441">
        <v>17</v>
      </c>
      <c r="B141" s="466" t="s">
        <v>180</v>
      </c>
      <c r="C141" s="468">
        <v>71035</v>
      </c>
      <c r="D141" s="464" t="s">
        <v>162</v>
      </c>
      <c r="E141" s="455">
        <v>2011</v>
      </c>
      <c r="F141" s="182" t="s">
        <v>15</v>
      </c>
      <c r="G141" s="183" t="s">
        <v>16</v>
      </c>
      <c r="H141" s="184"/>
      <c r="I141" s="185"/>
      <c r="J141" s="186"/>
      <c r="K141" s="186"/>
      <c r="L141" s="187"/>
    </row>
    <row r="142" spans="1:12" s="164" customFormat="1" ht="12.75">
      <c r="A142" s="442"/>
      <c r="B142" s="462"/>
      <c r="C142" s="463"/>
      <c r="D142" s="465"/>
      <c r="E142" s="456"/>
      <c r="F142" s="458">
        <f>SUM(H147:L147)</f>
        <v>0</v>
      </c>
      <c r="G142" s="166" t="s">
        <v>17</v>
      </c>
      <c r="H142" s="167"/>
      <c r="I142" s="168">
        <f>10000000-4460000-3000000</f>
        <v>2540000</v>
      </c>
      <c r="J142" s="169">
        <v>2535843</v>
      </c>
      <c r="K142" s="169">
        <f>SUM(H142,J142)</f>
        <v>2535843</v>
      </c>
      <c r="L142" s="188">
        <f>K142/F148</f>
        <v>0.10333508557457213</v>
      </c>
    </row>
    <row r="143" spans="1:12" s="164" customFormat="1" ht="12.75">
      <c r="A143" s="442"/>
      <c r="B143" s="462"/>
      <c r="C143" s="463"/>
      <c r="D143" s="465"/>
      <c r="E143" s="456"/>
      <c r="F143" s="459"/>
      <c r="G143" s="166" t="s">
        <v>85</v>
      </c>
      <c r="H143" s="167"/>
      <c r="I143" s="168"/>
      <c r="J143" s="169"/>
      <c r="K143" s="169"/>
      <c r="L143" s="188"/>
    </row>
    <row r="144" spans="1:12" s="164" customFormat="1" ht="12.75">
      <c r="A144" s="442"/>
      <c r="B144" s="462"/>
      <c r="C144" s="463"/>
      <c r="D144" s="465"/>
      <c r="E144" s="457"/>
      <c r="F144" s="171" t="s">
        <v>18</v>
      </c>
      <c r="G144" s="166" t="s">
        <v>86</v>
      </c>
      <c r="H144" s="167"/>
      <c r="I144" s="168"/>
      <c r="J144" s="169"/>
      <c r="K144" s="169"/>
      <c r="L144" s="188"/>
    </row>
    <row r="145" spans="1:12" s="164" customFormat="1" ht="12.75">
      <c r="A145" s="442"/>
      <c r="B145" s="462"/>
      <c r="C145" s="463"/>
      <c r="D145" s="465"/>
      <c r="E145" s="460">
        <v>2013</v>
      </c>
      <c r="F145" s="458">
        <v>24540000</v>
      </c>
      <c r="G145" s="166" t="s">
        <v>19</v>
      </c>
      <c r="H145" s="167"/>
      <c r="I145" s="168"/>
      <c r="J145" s="169"/>
      <c r="K145" s="169"/>
      <c r="L145" s="188"/>
    </row>
    <row r="146" spans="1:12" s="164" customFormat="1" ht="12.75">
      <c r="A146" s="442"/>
      <c r="B146" s="462"/>
      <c r="C146" s="463"/>
      <c r="D146" s="465"/>
      <c r="E146" s="456"/>
      <c r="F146" s="459"/>
      <c r="G146" s="166" t="s">
        <v>21</v>
      </c>
      <c r="H146" s="167"/>
      <c r="I146" s="168"/>
      <c r="J146" s="169"/>
      <c r="K146" s="169"/>
      <c r="L146" s="188"/>
    </row>
    <row r="147" spans="1:12" s="164" customFormat="1" ht="12.75">
      <c r="A147" s="442"/>
      <c r="B147" s="462"/>
      <c r="C147" s="463"/>
      <c r="D147" s="465"/>
      <c r="E147" s="456"/>
      <c r="F147" s="171" t="s">
        <v>22</v>
      </c>
      <c r="G147" s="166" t="s">
        <v>23</v>
      </c>
      <c r="H147" s="172">
        <f aca="true" t="shared" si="16" ref="H147:K148">H141+H143+H145</f>
        <v>0</v>
      </c>
      <c r="I147" s="173">
        <f t="shared" si="16"/>
        <v>0</v>
      </c>
      <c r="J147" s="174">
        <f t="shared" si="16"/>
        <v>0</v>
      </c>
      <c r="K147" s="174">
        <f t="shared" si="16"/>
        <v>0</v>
      </c>
      <c r="L147" s="189"/>
    </row>
    <row r="148" spans="1:12" s="164" customFormat="1" ht="13.5" thickBot="1">
      <c r="A148" s="442"/>
      <c r="B148" s="467"/>
      <c r="C148" s="469"/>
      <c r="D148" s="465"/>
      <c r="E148" s="461"/>
      <c r="F148" s="176">
        <f>F142+F145</f>
        <v>24540000</v>
      </c>
      <c r="G148" s="190" t="s">
        <v>24</v>
      </c>
      <c r="H148" s="178">
        <f t="shared" si="16"/>
        <v>0</v>
      </c>
      <c r="I148" s="191">
        <f t="shared" si="16"/>
        <v>2540000</v>
      </c>
      <c r="J148" s="192">
        <f t="shared" si="16"/>
        <v>2535843</v>
      </c>
      <c r="K148" s="192">
        <f t="shared" si="16"/>
        <v>2535843</v>
      </c>
      <c r="L148" s="193">
        <f>L142</f>
        <v>0.10333508557457213</v>
      </c>
    </row>
    <row r="149" spans="1:12" s="164" customFormat="1" ht="12.75" customHeight="1">
      <c r="A149" s="441">
        <v>18</v>
      </c>
      <c r="B149" s="462" t="s">
        <v>176</v>
      </c>
      <c r="C149" s="463">
        <v>71035</v>
      </c>
      <c r="D149" s="464" t="s">
        <v>162</v>
      </c>
      <c r="E149" s="456">
        <v>2011</v>
      </c>
      <c r="F149" s="182" t="s">
        <v>15</v>
      </c>
      <c r="G149" s="158" t="s">
        <v>16</v>
      </c>
      <c r="H149" s="184"/>
      <c r="I149" s="160"/>
      <c r="J149" s="161"/>
      <c r="K149" s="186"/>
      <c r="L149" s="187"/>
    </row>
    <row r="150" spans="1:12" s="164" customFormat="1" ht="12.75">
      <c r="A150" s="442"/>
      <c r="B150" s="462"/>
      <c r="C150" s="463"/>
      <c r="D150" s="465"/>
      <c r="E150" s="456"/>
      <c r="F150" s="458">
        <f>SUM(H155:L155)</f>
        <v>0</v>
      </c>
      <c r="G150" s="166" t="s">
        <v>17</v>
      </c>
      <c r="H150" s="167"/>
      <c r="I150" s="168">
        <v>280000</v>
      </c>
      <c r="J150" s="169">
        <v>56655</v>
      </c>
      <c r="K150" s="169">
        <f>SUM(H150,J150)</f>
        <v>56655</v>
      </c>
      <c r="L150" s="188">
        <f>K150/F156</f>
        <v>0.05013716814159292</v>
      </c>
    </row>
    <row r="151" spans="1:12" s="164" customFormat="1" ht="12.75">
      <c r="A151" s="442"/>
      <c r="B151" s="462"/>
      <c r="C151" s="463"/>
      <c r="D151" s="465"/>
      <c r="E151" s="456"/>
      <c r="F151" s="459"/>
      <c r="G151" s="166" t="s">
        <v>85</v>
      </c>
      <c r="H151" s="167"/>
      <c r="I151" s="168"/>
      <c r="J151" s="169"/>
      <c r="K151" s="169"/>
      <c r="L151" s="188"/>
    </row>
    <row r="152" spans="1:12" s="164" customFormat="1" ht="12.75">
      <c r="A152" s="442"/>
      <c r="B152" s="462"/>
      <c r="C152" s="463"/>
      <c r="D152" s="465"/>
      <c r="E152" s="457"/>
      <c r="F152" s="171" t="s">
        <v>18</v>
      </c>
      <c r="G152" s="166" t="s">
        <v>86</v>
      </c>
      <c r="H152" s="167"/>
      <c r="I152" s="168"/>
      <c r="J152" s="169"/>
      <c r="K152" s="169"/>
      <c r="L152" s="188"/>
    </row>
    <row r="153" spans="1:12" s="164" customFormat="1" ht="12.75">
      <c r="A153" s="442"/>
      <c r="B153" s="462"/>
      <c r="C153" s="463"/>
      <c r="D153" s="465"/>
      <c r="E153" s="460">
        <v>2013</v>
      </c>
      <c r="F153" s="458">
        <v>1130000</v>
      </c>
      <c r="G153" s="166" t="s">
        <v>19</v>
      </c>
      <c r="H153" s="167"/>
      <c r="I153" s="168"/>
      <c r="J153" s="169"/>
      <c r="K153" s="169"/>
      <c r="L153" s="188"/>
    </row>
    <row r="154" spans="1:12" s="164" customFormat="1" ht="12.75">
      <c r="A154" s="442"/>
      <c r="B154" s="462"/>
      <c r="C154" s="463"/>
      <c r="D154" s="465"/>
      <c r="E154" s="456"/>
      <c r="F154" s="459"/>
      <c r="G154" s="166" t="s">
        <v>21</v>
      </c>
      <c r="H154" s="167"/>
      <c r="I154" s="168"/>
      <c r="J154" s="169"/>
      <c r="K154" s="169"/>
      <c r="L154" s="188"/>
    </row>
    <row r="155" spans="1:12" s="164" customFormat="1" ht="12.75">
      <c r="A155" s="442"/>
      <c r="B155" s="462"/>
      <c r="C155" s="463"/>
      <c r="D155" s="465"/>
      <c r="E155" s="456"/>
      <c r="F155" s="171" t="s">
        <v>22</v>
      </c>
      <c r="G155" s="166" t="s">
        <v>23</v>
      </c>
      <c r="H155" s="172">
        <f aca="true" t="shared" si="17" ref="H155:K156">H149+H151+H153</f>
        <v>0</v>
      </c>
      <c r="I155" s="173">
        <f t="shared" si="17"/>
        <v>0</v>
      </c>
      <c r="J155" s="174">
        <f t="shared" si="17"/>
        <v>0</v>
      </c>
      <c r="K155" s="174">
        <f t="shared" si="17"/>
        <v>0</v>
      </c>
      <c r="L155" s="189"/>
    </row>
    <row r="156" spans="1:12" s="164" customFormat="1" ht="13.5" thickBot="1">
      <c r="A156" s="443"/>
      <c r="B156" s="462"/>
      <c r="C156" s="463"/>
      <c r="D156" s="465"/>
      <c r="E156" s="456"/>
      <c r="F156" s="176">
        <f>F150+F153</f>
        <v>1130000</v>
      </c>
      <c r="G156" s="177" t="s">
        <v>24</v>
      </c>
      <c r="H156" s="178">
        <f t="shared" si="17"/>
        <v>0</v>
      </c>
      <c r="I156" s="179">
        <f t="shared" si="17"/>
        <v>280000</v>
      </c>
      <c r="J156" s="180">
        <f t="shared" si="17"/>
        <v>56655</v>
      </c>
      <c r="K156" s="192">
        <f t="shared" si="17"/>
        <v>56655</v>
      </c>
      <c r="L156" s="193">
        <f>L150</f>
        <v>0.05013716814159292</v>
      </c>
    </row>
    <row r="157" spans="1:12" s="164" customFormat="1" ht="12.75" customHeight="1">
      <c r="A157" s="441">
        <v>19</v>
      </c>
      <c r="B157" s="466" t="s">
        <v>176</v>
      </c>
      <c r="C157" s="468">
        <v>75023</v>
      </c>
      <c r="D157" s="464" t="s">
        <v>162</v>
      </c>
      <c r="E157" s="455">
        <v>2008</v>
      </c>
      <c r="F157" s="182" t="s">
        <v>15</v>
      </c>
      <c r="G157" s="183" t="s">
        <v>16</v>
      </c>
      <c r="H157" s="184"/>
      <c r="I157" s="185"/>
      <c r="J157" s="186"/>
      <c r="K157" s="186"/>
      <c r="L157" s="187"/>
    </row>
    <row r="158" spans="1:12" s="164" customFormat="1" ht="12.75">
      <c r="A158" s="442"/>
      <c r="B158" s="462"/>
      <c r="C158" s="463"/>
      <c r="D158" s="465"/>
      <c r="E158" s="456"/>
      <c r="F158" s="458">
        <f>SUM(H163:L163)</f>
        <v>0</v>
      </c>
      <c r="G158" s="166" t="s">
        <v>17</v>
      </c>
      <c r="H158" s="167">
        <v>2650545</v>
      </c>
      <c r="I158" s="168">
        <f>1800000+310000</f>
        <v>2110000</v>
      </c>
      <c r="J158" s="169">
        <v>1764081</v>
      </c>
      <c r="K158" s="169">
        <f>SUM(H158,J158)</f>
        <v>4414626</v>
      </c>
      <c r="L158" s="188">
        <f>K158/F164</f>
        <v>0.9101298926203139</v>
      </c>
    </row>
    <row r="159" spans="1:12" s="164" customFormat="1" ht="12.75">
      <c r="A159" s="442"/>
      <c r="B159" s="462"/>
      <c r="C159" s="463"/>
      <c r="D159" s="465"/>
      <c r="E159" s="456"/>
      <c r="F159" s="459"/>
      <c r="G159" s="166" t="s">
        <v>85</v>
      </c>
      <c r="H159" s="167"/>
      <c r="I159" s="168"/>
      <c r="J159" s="169"/>
      <c r="K159" s="169"/>
      <c r="L159" s="188"/>
    </row>
    <row r="160" spans="1:12" s="164" customFormat="1" ht="12.75">
      <c r="A160" s="442"/>
      <c r="B160" s="462"/>
      <c r="C160" s="463"/>
      <c r="D160" s="465"/>
      <c r="E160" s="457"/>
      <c r="F160" s="171" t="s">
        <v>18</v>
      </c>
      <c r="G160" s="166" t="s">
        <v>86</v>
      </c>
      <c r="H160" s="167"/>
      <c r="I160" s="168"/>
      <c r="J160" s="169"/>
      <c r="K160" s="169"/>
      <c r="L160" s="188"/>
    </row>
    <row r="161" spans="1:12" s="164" customFormat="1" ht="12.75">
      <c r="A161" s="442"/>
      <c r="B161" s="462"/>
      <c r="C161" s="463"/>
      <c r="D161" s="465"/>
      <c r="E161" s="460">
        <v>2011</v>
      </c>
      <c r="F161" s="458">
        <v>4850545</v>
      </c>
      <c r="G161" s="166" t="s">
        <v>19</v>
      </c>
      <c r="H161" s="167"/>
      <c r="I161" s="168"/>
      <c r="J161" s="169"/>
      <c r="K161" s="169"/>
      <c r="L161" s="188"/>
    </row>
    <row r="162" spans="1:12" s="164" customFormat="1" ht="12.75">
      <c r="A162" s="442"/>
      <c r="B162" s="462"/>
      <c r="C162" s="463"/>
      <c r="D162" s="465"/>
      <c r="E162" s="456"/>
      <c r="F162" s="459"/>
      <c r="G162" s="166" t="s">
        <v>21</v>
      </c>
      <c r="H162" s="167"/>
      <c r="I162" s="168"/>
      <c r="J162" s="169"/>
      <c r="K162" s="169"/>
      <c r="L162" s="188"/>
    </row>
    <row r="163" spans="1:12" s="164" customFormat="1" ht="12.75">
      <c r="A163" s="442"/>
      <c r="B163" s="462"/>
      <c r="C163" s="463"/>
      <c r="D163" s="465"/>
      <c r="E163" s="456"/>
      <c r="F163" s="171" t="s">
        <v>22</v>
      </c>
      <c r="G163" s="166" t="s">
        <v>23</v>
      </c>
      <c r="H163" s="172">
        <f aca="true" t="shared" si="18" ref="H163:J164">H157+H159+H161</f>
        <v>0</v>
      </c>
      <c r="I163" s="173">
        <f t="shared" si="18"/>
        <v>0</v>
      </c>
      <c r="J163" s="174">
        <f t="shared" si="18"/>
        <v>0</v>
      </c>
      <c r="K163" s="174">
        <f>K157+K159+K161</f>
        <v>0</v>
      </c>
      <c r="L163" s="189"/>
    </row>
    <row r="164" spans="1:12" s="164" customFormat="1" ht="13.5" thickBot="1">
      <c r="A164" s="442"/>
      <c r="B164" s="467"/>
      <c r="C164" s="469"/>
      <c r="D164" s="470"/>
      <c r="E164" s="461"/>
      <c r="F164" s="176">
        <f>F158+F161</f>
        <v>4850545</v>
      </c>
      <c r="G164" s="190" t="s">
        <v>24</v>
      </c>
      <c r="H164" s="178">
        <f t="shared" si="18"/>
        <v>2650545</v>
      </c>
      <c r="I164" s="191">
        <f t="shared" si="18"/>
        <v>2110000</v>
      </c>
      <c r="J164" s="192">
        <f t="shared" si="18"/>
        <v>1764081</v>
      </c>
      <c r="K164" s="192">
        <f>K158+K160+K162</f>
        <v>4414626</v>
      </c>
      <c r="L164" s="193">
        <f>L158</f>
        <v>0.9101298926203139</v>
      </c>
    </row>
    <row r="165" spans="1:12" s="164" customFormat="1" ht="12.75" customHeight="1">
      <c r="A165" s="441">
        <v>20</v>
      </c>
      <c r="B165" s="466" t="s">
        <v>181</v>
      </c>
      <c r="C165" s="468">
        <v>75495</v>
      </c>
      <c r="D165" s="464" t="s">
        <v>162</v>
      </c>
      <c r="E165" s="455">
        <v>2008</v>
      </c>
      <c r="F165" s="182" t="s">
        <v>15</v>
      </c>
      <c r="G165" s="183" t="s">
        <v>16</v>
      </c>
      <c r="H165" s="184"/>
      <c r="I165" s="185"/>
      <c r="J165" s="230"/>
      <c r="K165" s="186"/>
      <c r="L165" s="187"/>
    </row>
    <row r="166" spans="1:12" s="164" customFormat="1" ht="12.75">
      <c r="A166" s="442"/>
      <c r="B166" s="462"/>
      <c r="C166" s="463"/>
      <c r="D166" s="465"/>
      <c r="E166" s="456"/>
      <c r="F166" s="458">
        <f>SUM(H171:L171)</f>
        <v>0</v>
      </c>
      <c r="G166" s="166" t="s">
        <v>17</v>
      </c>
      <c r="H166" s="167">
        <v>679316</v>
      </c>
      <c r="I166" s="168">
        <f>916430-45063</f>
        <v>871367</v>
      </c>
      <c r="J166" s="169">
        <v>871367</v>
      </c>
      <c r="K166" s="169">
        <f>SUM(H166,J166)</f>
        <v>1550683</v>
      </c>
      <c r="L166" s="188">
        <f>K166/F172</f>
        <v>1</v>
      </c>
    </row>
    <row r="167" spans="1:12" s="164" customFormat="1" ht="12.75">
      <c r="A167" s="442"/>
      <c r="B167" s="462"/>
      <c r="C167" s="463"/>
      <c r="D167" s="465"/>
      <c r="E167" s="456"/>
      <c r="F167" s="459"/>
      <c r="G167" s="166" t="s">
        <v>85</v>
      </c>
      <c r="H167" s="167"/>
      <c r="I167" s="168"/>
      <c r="J167" s="169"/>
      <c r="K167" s="169"/>
      <c r="L167" s="188"/>
    </row>
    <row r="168" spans="1:12" s="164" customFormat="1" ht="12.75">
      <c r="A168" s="442"/>
      <c r="B168" s="462"/>
      <c r="C168" s="463"/>
      <c r="D168" s="465"/>
      <c r="E168" s="457"/>
      <c r="F168" s="171" t="s">
        <v>18</v>
      </c>
      <c r="G168" s="166" t="s">
        <v>86</v>
      </c>
      <c r="H168" s="167"/>
      <c r="I168" s="168"/>
      <c r="J168" s="169"/>
      <c r="K168" s="169"/>
      <c r="L168" s="188"/>
    </row>
    <row r="169" spans="1:12" s="164" customFormat="1" ht="12.75">
      <c r="A169" s="442"/>
      <c r="B169" s="462"/>
      <c r="C169" s="463"/>
      <c r="D169" s="465"/>
      <c r="E169" s="460">
        <v>2013</v>
      </c>
      <c r="F169" s="458">
        <v>1550683</v>
      </c>
      <c r="G169" s="166" t="s">
        <v>19</v>
      </c>
      <c r="H169" s="167"/>
      <c r="I169" s="168"/>
      <c r="J169" s="169"/>
      <c r="K169" s="169"/>
      <c r="L169" s="188"/>
    </row>
    <row r="170" spans="1:12" s="164" customFormat="1" ht="12.75">
      <c r="A170" s="442"/>
      <c r="B170" s="462"/>
      <c r="C170" s="463"/>
      <c r="D170" s="465"/>
      <c r="E170" s="456"/>
      <c r="F170" s="459"/>
      <c r="G170" s="166" t="s">
        <v>21</v>
      </c>
      <c r="H170" s="167"/>
      <c r="I170" s="168"/>
      <c r="J170" s="169"/>
      <c r="K170" s="169"/>
      <c r="L170" s="188"/>
    </row>
    <row r="171" spans="1:12" s="164" customFormat="1" ht="12.75">
      <c r="A171" s="442"/>
      <c r="B171" s="462"/>
      <c r="C171" s="463"/>
      <c r="D171" s="465"/>
      <c r="E171" s="456"/>
      <c r="F171" s="171" t="s">
        <v>22</v>
      </c>
      <c r="G171" s="166" t="s">
        <v>23</v>
      </c>
      <c r="H171" s="172">
        <f aca="true" t="shared" si="19" ref="H171:K172">H165+H167+H169</f>
        <v>0</v>
      </c>
      <c r="I171" s="173">
        <f t="shared" si="19"/>
        <v>0</v>
      </c>
      <c r="J171" s="174">
        <f t="shared" si="19"/>
        <v>0</v>
      </c>
      <c r="K171" s="174">
        <f t="shared" si="19"/>
        <v>0</v>
      </c>
      <c r="L171" s="189"/>
    </row>
    <row r="172" spans="1:12" s="164" customFormat="1" ht="13.5" thickBot="1">
      <c r="A172" s="443"/>
      <c r="B172" s="467"/>
      <c r="C172" s="469"/>
      <c r="D172" s="470"/>
      <c r="E172" s="461"/>
      <c r="F172" s="176">
        <f>F166+F169</f>
        <v>1550683</v>
      </c>
      <c r="G172" s="190" t="s">
        <v>24</v>
      </c>
      <c r="H172" s="178">
        <f t="shared" si="19"/>
        <v>679316</v>
      </c>
      <c r="I172" s="191">
        <f t="shared" si="19"/>
        <v>871367</v>
      </c>
      <c r="J172" s="192">
        <f t="shared" si="19"/>
        <v>871367</v>
      </c>
      <c r="K172" s="192">
        <f t="shared" si="19"/>
        <v>1550683</v>
      </c>
      <c r="L172" s="193">
        <f>L166</f>
        <v>1</v>
      </c>
    </row>
    <row r="173" spans="1:12" s="164" customFormat="1" ht="12.75" customHeight="1">
      <c r="A173" s="441">
        <v>21</v>
      </c>
      <c r="B173" s="466" t="s">
        <v>182</v>
      </c>
      <c r="C173" s="468">
        <v>80101</v>
      </c>
      <c r="D173" s="464" t="s">
        <v>162</v>
      </c>
      <c r="E173" s="455">
        <v>2012</v>
      </c>
      <c r="F173" s="182" t="s">
        <v>15</v>
      </c>
      <c r="G173" s="183" t="s">
        <v>16</v>
      </c>
      <c r="H173" s="184"/>
      <c r="I173" s="185"/>
      <c r="J173" s="186"/>
      <c r="K173" s="186"/>
      <c r="L173" s="187"/>
    </row>
    <row r="174" spans="1:12" s="164" customFormat="1" ht="12.75">
      <c r="A174" s="442"/>
      <c r="B174" s="462"/>
      <c r="C174" s="463"/>
      <c r="D174" s="465"/>
      <c r="E174" s="456"/>
      <c r="F174" s="458">
        <f>SUM(H179:L179)</f>
        <v>0</v>
      </c>
      <c r="G174" s="166" t="s">
        <v>17</v>
      </c>
      <c r="H174" s="167"/>
      <c r="I174" s="168">
        <v>500000</v>
      </c>
      <c r="J174" s="169">
        <v>31652</v>
      </c>
      <c r="K174" s="169">
        <f>SUM(H174,J174)</f>
        <v>31652</v>
      </c>
      <c r="L174" s="188">
        <f>K174/F180</f>
        <v>0.0011509818181818182</v>
      </c>
    </row>
    <row r="175" spans="1:12" s="164" customFormat="1" ht="12.75">
      <c r="A175" s="442"/>
      <c r="B175" s="462"/>
      <c r="C175" s="463"/>
      <c r="D175" s="465"/>
      <c r="E175" s="456"/>
      <c r="F175" s="459"/>
      <c r="G175" s="166" t="s">
        <v>85</v>
      </c>
      <c r="H175" s="167"/>
      <c r="I175" s="168"/>
      <c r="J175" s="169"/>
      <c r="K175" s="169"/>
      <c r="L175" s="188"/>
    </row>
    <row r="176" spans="1:12" s="164" customFormat="1" ht="12.75">
      <c r="A176" s="442"/>
      <c r="B176" s="462"/>
      <c r="C176" s="463"/>
      <c r="D176" s="465"/>
      <c r="E176" s="457"/>
      <c r="F176" s="171" t="s">
        <v>18</v>
      </c>
      <c r="G176" s="166" t="s">
        <v>86</v>
      </c>
      <c r="H176" s="167"/>
      <c r="I176" s="168"/>
      <c r="J176" s="169"/>
      <c r="K176" s="169"/>
      <c r="L176" s="188"/>
    </row>
    <row r="177" spans="1:12" s="164" customFormat="1" ht="12.75">
      <c r="A177" s="442"/>
      <c r="B177" s="462"/>
      <c r="C177" s="463"/>
      <c r="D177" s="465"/>
      <c r="E177" s="460">
        <v>2014</v>
      </c>
      <c r="F177" s="458">
        <v>27500000</v>
      </c>
      <c r="G177" s="166" t="s">
        <v>19</v>
      </c>
      <c r="H177" s="167"/>
      <c r="I177" s="168"/>
      <c r="J177" s="169"/>
      <c r="K177" s="169"/>
      <c r="L177" s="188"/>
    </row>
    <row r="178" spans="1:12" s="164" customFormat="1" ht="12.75">
      <c r="A178" s="442"/>
      <c r="B178" s="462"/>
      <c r="C178" s="463"/>
      <c r="D178" s="465"/>
      <c r="E178" s="456"/>
      <c r="F178" s="459"/>
      <c r="G178" s="166" t="s">
        <v>21</v>
      </c>
      <c r="H178" s="167"/>
      <c r="I178" s="168"/>
      <c r="J178" s="169"/>
      <c r="K178" s="169"/>
      <c r="L178" s="188"/>
    </row>
    <row r="179" spans="1:12" s="164" customFormat="1" ht="12.75">
      <c r="A179" s="442"/>
      <c r="B179" s="462"/>
      <c r="C179" s="463"/>
      <c r="D179" s="465"/>
      <c r="E179" s="456"/>
      <c r="F179" s="171" t="s">
        <v>22</v>
      </c>
      <c r="G179" s="166" t="s">
        <v>23</v>
      </c>
      <c r="H179" s="172">
        <f aca="true" t="shared" si="20" ref="H179:J180">H173+H175+H177</f>
        <v>0</v>
      </c>
      <c r="I179" s="173">
        <f t="shared" si="20"/>
        <v>0</v>
      </c>
      <c r="J179" s="174">
        <f t="shared" si="20"/>
        <v>0</v>
      </c>
      <c r="K179" s="174">
        <f>K173+K175+K177</f>
        <v>0</v>
      </c>
      <c r="L179" s="189"/>
    </row>
    <row r="180" spans="1:12" s="164" customFormat="1" ht="13.5" thickBot="1">
      <c r="A180" s="442"/>
      <c r="B180" s="467"/>
      <c r="C180" s="469"/>
      <c r="D180" s="470"/>
      <c r="E180" s="461"/>
      <c r="F180" s="176">
        <f>F174+F177</f>
        <v>27500000</v>
      </c>
      <c r="G180" s="190" t="s">
        <v>24</v>
      </c>
      <c r="H180" s="178">
        <f t="shared" si="20"/>
        <v>0</v>
      </c>
      <c r="I180" s="191">
        <f t="shared" si="20"/>
        <v>500000</v>
      </c>
      <c r="J180" s="192">
        <f t="shared" si="20"/>
        <v>31652</v>
      </c>
      <c r="K180" s="192">
        <f>K174+K176+K178</f>
        <v>31652</v>
      </c>
      <c r="L180" s="193">
        <f>L174</f>
        <v>0.0011509818181818182</v>
      </c>
    </row>
    <row r="181" spans="1:12" s="164" customFormat="1" ht="12.75" customHeight="1">
      <c r="A181" s="441">
        <v>22</v>
      </c>
      <c r="B181" s="466" t="s">
        <v>176</v>
      </c>
      <c r="C181" s="468">
        <v>80101</v>
      </c>
      <c r="D181" s="464" t="s">
        <v>162</v>
      </c>
      <c r="E181" s="455">
        <v>2011</v>
      </c>
      <c r="F181" s="182" t="s">
        <v>15</v>
      </c>
      <c r="G181" s="183" t="s">
        <v>16</v>
      </c>
      <c r="H181" s="184"/>
      <c r="I181" s="185"/>
      <c r="J181" s="186"/>
      <c r="K181" s="186"/>
      <c r="L181" s="187"/>
    </row>
    <row r="182" spans="1:12" s="164" customFormat="1" ht="12.75">
      <c r="A182" s="442"/>
      <c r="B182" s="462"/>
      <c r="C182" s="463"/>
      <c r="D182" s="465"/>
      <c r="E182" s="456"/>
      <c r="F182" s="458">
        <f>SUM(H187:L187)</f>
        <v>0</v>
      </c>
      <c r="G182" s="166" t="s">
        <v>17</v>
      </c>
      <c r="H182" s="167"/>
      <c r="I182" s="168">
        <v>600000</v>
      </c>
      <c r="J182" s="169">
        <v>511171</v>
      </c>
      <c r="K182" s="169">
        <f>SUM(H182,J182)</f>
        <v>511171</v>
      </c>
      <c r="L182" s="188">
        <f>K182/F188</f>
        <v>0.36512214285714284</v>
      </c>
    </row>
    <row r="183" spans="1:12" s="164" customFormat="1" ht="12.75">
      <c r="A183" s="442"/>
      <c r="B183" s="462"/>
      <c r="C183" s="463"/>
      <c r="D183" s="465"/>
      <c r="E183" s="456"/>
      <c r="F183" s="459"/>
      <c r="G183" s="166" t="s">
        <v>85</v>
      </c>
      <c r="H183" s="167"/>
      <c r="I183" s="168"/>
      <c r="J183" s="169"/>
      <c r="K183" s="169"/>
      <c r="L183" s="188"/>
    </row>
    <row r="184" spans="1:12" s="164" customFormat="1" ht="12.75">
      <c r="A184" s="442"/>
      <c r="B184" s="462"/>
      <c r="C184" s="463"/>
      <c r="D184" s="465"/>
      <c r="E184" s="457"/>
      <c r="F184" s="171" t="s">
        <v>18</v>
      </c>
      <c r="G184" s="166" t="s">
        <v>86</v>
      </c>
      <c r="H184" s="167"/>
      <c r="I184" s="168"/>
      <c r="J184" s="169"/>
      <c r="K184" s="169"/>
      <c r="L184" s="188"/>
    </row>
    <row r="185" spans="1:12" s="164" customFormat="1" ht="12.75">
      <c r="A185" s="442"/>
      <c r="B185" s="462"/>
      <c r="C185" s="463"/>
      <c r="D185" s="465"/>
      <c r="E185" s="460">
        <v>2013</v>
      </c>
      <c r="F185" s="458">
        <v>1400000</v>
      </c>
      <c r="G185" s="166" t="s">
        <v>19</v>
      </c>
      <c r="H185" s="167"/>
      <c r="I185" s="168"/>
      <c r="J185" s="169"/>
      <c r="K185" s="169"/>
      <c r="L185" s="188"/>
    </row>
    <row r="186" spans="1:12" s="164" customFormat="1" ht="12.75">
      <c r="A186" s="442"/>
      <c r="B186" s="462"/>
      <c r="C186" s="463"/>
      <c r="D186" s="465"/>
      <c r="E186" s="456"/>
      <c r="F186" s="459"/>
      <c r="G186" s="166" t="s">
        <v>21</v>
      </c>
      <c r="H186" s="167"/>
      <c r="I186" s="168"/>
      <c r="J186" s="169"/>
      <c r="K186" s="169"/>
      <c r="L186" s="188"/>
    </row>
    <row r="187" spans="1:12" s="164" customFormat="1" ht="12.75">
      <c r="A187" s="442"/>
      <c r="B187" s="462"/>
      <c r="C187" s="463"/>
      <c r="D187" s="465"/>
      <c r="E187" s="456"/>
      <c r="F187" s="171" t="s">
        <v>22</v>
      </c>
      <c r="G187" s="166" t="s">
        <v>23</v>
      </c>
      <c r="H187" s="172">
        <f aca="true" t="shared" si="21" ref="H187:K188">H181+H183+H185</f>
        <v>0</v>
      </c>
      <c r="I187" s="173">
        <f t="shared" si="21"/>
        <v>0</v>
      </c>
      <c r="J187" s="174">
        <f t="shared" si="21"/>
        <v>0</v>
      </c>
      <c r="K187" s="174">
        <f t="shared" si="21"/>
        <v>0</v>
      </c>
      <c r="L187" s="189"/>
    </row>
    <row r="188" spans="1:12" s="164" customFormat="1" ht="13.5" thickBot="1">
      <c r="A188" s="443"/>
      <c r="B188" s="467"/>
      <c r="C188" s="469"/>
      <c r="D188" s="465"/>
      <c r="E188" s="461"/>
      <c r="F188" s="176">
        <f>F182+F185</f>
        <v>1400000</v>
      </c>
      <c r="G188" s="190" t="s">
        <v>24</v>
      </c>
      <c r="H188" s="178">
        <f t="shared" si="21"/>
        <v>0</v>
      </c>
      <c r="I188" s="191">
        <f t="shared" si="21"/>
        <v>600000</v>
      </c>
      <c r="J188" s="192">
        <f t="shared" si="21"/>
        <v>511171</v>
      </c>
      <c r="K188" s="192">
        <f t="shared" si="21"/>
        <v>511171</v>
      </c>
      <c r="L188" s="193">
        <f>L182</f>
        <v>0.36512214285714284</v>
      </c>
    </row>
    <row r="189" spans="1:12" s="164" customFormat="1" ht="12.75" customHeight="1">
      <c r="A189" s="441">
        <v>23</v>
      </c>
      <c r="B189" s="466" t="s">
        <v>183</v>
      </c>
      <c r="C189" s="468">
        <v>80120</v>
      </c>
      <c r="D189" s="464" t="s">
        <v>162</v>
      </c>
      <c r="E189" s="455">
        <v>2011</v>
      </c>
      <c r="F189" s="182" t="s">
        <v>15</v>
      </c>
      <c r="G189" s="183" t="s">
        <v>16</v>
      </c>
      <c r="H189" s="184"/>
      <c r="I189" s="185"/>
      <c r="J189" s="186"/>
      <c r="K189" s="186"/>
      <c r="L189" s="187"/>
    </row>
    <row r="190" spans="1:12" s="164" customFormat="1" ht="12.75">
      <c r="A190" s="442"/>
      <c r="B190" s="462"/>
      <c r="C190" s="463"/>
      <c r="D190" s="465"/>
      <c r="E190" s="456"/>
      <c r="F190" s="458">
        <f>SUM(H195:L195)</f>
        <v>0</v>
      </c>
      <c r="G190" s="166" t="s">
        <v>17</v>
      </c>
      <c r="H190" s="167"/>
      <c r="I190" s="168">
        <f>2000000+1300000-1000000</f>
        <v>2300000</v>
      </c>
      <c r="J190" s="169">
        <v>2159003</v>
      </c>
      <c r="K190" s="169">
        <f>SUM(H190,J190)</f>
        <v>2159003</v>
      </c>
      <c r="L190" s="188">
        <f>K190/F196</f>
        <v>0.16233105263157896</v>
      </c>
    </row>
    <row r="191" spans="1:12" s="164" customFormat="1" ht="12.75">
      <c r="A191" s="442"/>
      <c r="B191" s="462"/>
      <c r="C191" s="463"/>
      <c r="D191" s="465"/>
      <c r="E191" s="456"/>
      <c r="F191" s="459"/>
      <c r="G191" s="166" t="s">
        <v>85</v>
      </c>
      <c r="H191" s="167"/>
      <c r="I191" s="168"/>
      <c r="J191" s="169"/>
      <c r="K191" s="169"/>
      <c r="L191" s="188"/>
    </row>
    <row r="192" spans="1:12" s="164" customFormat="1" ht="12.75">
      <c r="A192" s="442"/>
      <c r="B192" s="462"/>
      <c r="C192" s="463"/>
      <c r="D192" s="465"/>
      <c r="E192" s="457"/>
      <c r="F192" s="171" t="s">
        <v>18</v>
      </c>
      <c r="G192" s="166" t="s">
        <v>86</v>
      </c>
      <c r="H192" s="167"/>
      <c r="I192" s="168"/>
      <c r="J192" s="169"/>
      <c r="K192" s="169"/>
      <c r="L192" s="188"/>
    </row>
    <row r="193" spans="1:12" s="164" customFormat="1" ht="12.75">
      <c r="A193" s="442"/>
      <c r="B193" s="462"/>
      <c r="C193" s="463"/>
      <c r="D193" s="465"/>
      <c r="E193" s="460">
        <v>2014</v>
      </c>
      <c r="F193" s="458">
        <v>13300000</v>
      </c>
      <c r="G193" s="166" t="s">
        <v>19</v>
      </c>
      <c r="H193" s="167"/>
      <c r="I193" s="168"/>
      <c r="J193" s="169"/>
      <c r="K193" s="169"/>
      <c r="L193" s="188"/>
    </row>
    <row r="194" spans="1:12" s="164" customFormat="1" ht="12.75">
      <c r="A194" s="442"/>
      <c r="B194" s="462"/>
      <c r="C194" s="463"/>
      <c r="D194" s="465"/>
      <c r="E194" s="456"/>
      <c r="F194" s="459"/>
      <c r="G194" s="166" t="s">
        <v>21</v>
      </c>
      <c r="H194" s="167"/>
      <c r="I194" s="168"/>
      <c r="J194" s="169"/>
      <c r="K194" s="169"/>
      <c r="L194" s="188"/>
    </row>
    <row r="195" spans="1:12" s="164" customFormat="1" ht="12.75">
      <c r="A195" s="442"/>
      <c r="B195" s="462"/>
      <c r="C195" s="463"/>
      <c r="D195" s="465"/>
      <c r="E195" s="456"/>
      <c r="F195" s="171" t="s">
        <v>22</v>
      </c>
      <c r="G195" s="166" t="s">
        <v>23</v>
      </c>
      <c r="H195" s="172">
        <f aca="true" t="shared" si="22" ref="H195:K196">H189+H191+H193</f>
        <v>0</v>
      </c>
      <c r="I195" s="173">
        <f t="shared" si="22"/>
        <v>0</v>
      </c>
      <c r="J195" s="174">
        <f t="shared" si="22"/>
        <v>0</v>
      </c>
      <c r="K195" s="174">
        <f t="shared" si="22"/>
        <v>0</v>
      </c>
      <c r="L195" s="189"/>
    </row>
    <row r="196" spans="1:12" s="164" customFormat="1" ht="13.5" thickBot="1">
      <c r="A196" s="442"/>
      <c r="B196" s="467"/>
      <c r="C196" s="469"/>
      <c r="D196" s="470"/>
      <c r="E196" s="461"/>
      <c r="F196" s="176">
        <f>F190+F193</f>
        <v>13300000</v>
      </c>
      <c r="G196" s="190" t="s">
        <v>24</v>
      </c>
      <c r="H196" s="178">
        <f t="shared" si="22"/>
        <v>0</v>
      </c>
      <c r="I196" s="191">
        <f t="shared" si="22"/>
        <v>2300000</v>
      </c>
      <c r="J196" s="192">
        <f t="shared" si="22"/>
        <v>2159003</v>
      </c>
      <c r="K196" s="192">
        <f t="shared" si="22"/>
        <v>2159003</v>
      </c>
      <c r="L196" s="193">
        <f>L190</f>
        <v>0.16233105263157896</v>
      </c>
    </row>
    <row r="197" spans="1:12" s="164" customFormat="1" ht="12.75" customHeight="1">
      <c r="A197" s="441">
        <v>24</v>
      </c>
      <c r="B197" s="466" t="s">
        <v>176</v>
      </c>
      <c r="C197" s="468">
        <v>80120</v>
      </c>
      <c r="D197" s="464" t="s">
        <v>162</v>
      </c>
      <c r="E197" s="455">
        <v>2011</v>
      </c>
      <c r="F197" s="182" t="s">
        <v>15</v>
      </c>
      <c r="G197" s="183" t="s">
        <v>16</v>
      </c>
      <c r="H197" s="184"/>
      <c r="I197" s="185"/>
      <c r="J197" s="186"/>
      <c r="K197" s="186"/>
      <c r="L197" s="187"/>
    </row>
    <row r="198" spans="1:12" s="164" customFormat="1" ht="12.75">
      <c r="A198" s="442"/>
      <c r="B198" s="462"/>
      <c r="C198" s="463"/>
      <c r="D198" s="465"/>
      <c r="E198" s="456"/>
      <c r="F198" s="458">
        <f>SUM(H203:L203)</f>
        <v>0</v>
      </c>
      <c r="G198" s="166" t="s">
        <v>17</v>
      </c>
      <c r="H198" s="167"/>
      <c r="I198" s="168">
        <v>100000</v>
      </c>
      <c r="J198" s="169">
        <v>90414</v>
      </c>
      <c r="K198" s="169">
        <f>SUM(H198,J198)</f>
        <v>90414</v>
      </c>
      <c r="L198" s="188">
        <f>K198/F204</f>
        <v>0.90414</v>
      </c>
    </row>
    <row r="199" spans="1:12" s="164" customFormat="1" ht="12.75">
      <c r="A199" s="442"/>
      <c r="B199" s="462"/>
      <c r="C199" s="463"/>
      <c r="D199" s="465"/>
      <c r="E199" s="456"/>
      <c r="F199" s="459"/>
      <c r="G199" s="166" t="s">
        <v>85</v>
      </c>
      <c r="H199" s="167"/>
      <c r="I199" s="168"/>
      <c r="J199" s="169"/>
      <c r="K199" s="169"/>
      <c r="L199" s="188"/>
    </row>
    <row r="200" spans="1:12" s="164" customFormat="1" ht="12.75">
      <c r="A200" s="442"/>
      <c r="B200" s="462"/>
      <c r="C200" s="463"/>
      <c r="D200" s="465"/>
      <c r="E200" s="457"/>
      <c r="F200" s="171" t="s">
        <v>18</v>
      </c>
      <c r="G200" s="166" t="s">
        <v>86</v>
      </c>
      <c r="H200" s="167"/>
      <c r="I200" s="168"/>
      <c r="J200" s="169"/>
      <c r="K200" s="169"/>
      <c r="L200" s="188"/>
    </row>
    <row r="201" spans="1:12" s="164" customFormat="1" ht="12.75">
      <c r="A201" s="442"/>
      <c r="B201" s="462"/>
      <c r="C201" s="463"/>
      <c r="D201" s="465"/>
      <c r="E201" s="460">
        <v>2012</v>
      </c>
      <c r="F201" s="458">
        <v>100000</v>
      </c>
      <c r="G201" s="166" t="s">
        <v>19</v>
      </c>
      <c r="H201" s="167"/>
      <c r="I201" s="168"/>
      <c r="J201" s="169"/>
      <c r="K201" s="169"/>
      <c r="L201" s="188"/>
    </row>
    <row r="202" spans="1:12" s="164" customFormat="1" ht="12.75">
      <c r="A202" s="442"/>
      <c r="B202" s="462"/>
      <c r="C202" s="463"/>
      <c r="D202" s="465"/>
      <c r="E202" s="456"/>
      <c r="F202" s="459"/>
      <c r="G202" s="166" t="s">
        <v>21</v>
      </c>
      <c r="H202" s="167"/>
      <c r="I202" s="168"/>
      <c r="J202" s="169"/>
      <c r="K202" s="169"/>
      <c r="L202" s="188"/>
    </row>
    <row r="203" spans="1:12" s="164" customFormat="1" ht="12.75">
      <c r="A203" s="442"/>
      <c r="B203" s="462"/>
      <c r="C203" s="463"/>
      <c r="D203" s="465"/>
      <c r="E203" s="456"/>
      <c r="F203" s="171" t="s">
        <v>22</v>
      </c>
      <c r="G203" s="166" t="s">
        <v>23</v>
      </c>
      <c r="H203" s="172">
        <f aca="true" t="shared" si="23" ref="H203:K204">H197+H199+H201</f>
        <v>0</v>
      </c>
      <c r="I203" s="173">
        <f t="shared" si="23"/>
        <v>0</v>
      </c>
      <c r="J203" s="174">
        <f t="shared" si="23"/>
        <v>0</v>
      </c>
      <c r="K203" s="174">
        <f t="shared" si="23"/>
        <v>0</v>
      </c>
      <c r="L203" s="189"/>
    </row>
    <row r="204" spans="1:12" s="164" customFormat="1" ht="13.5" thickBot="1">
      <c r="A204" s="443"/>
      <c r="B204" s="467"/>
      <c r="C204" s="469"/>
      <c r="D204" s="470"/>
      <c r="E204" s="461"/>
      <c r="F204" s="176">
        <f>F198+F201</f>
        <v>100000</v>
      </c>
      <c r="G204" s="190" t="s">
        <v>24</v>
      </c>
      <c r="H204" s="178">
        <f t="shared" si="23"/>
        <v>0</v>
      </c>
      <c r="I204" s="191">
        <f t="shared" si="23"/>
        <v>100000</v>
      </c>
      <c r="J204" s="192">
        <f t="shared" si="23"/>
        <v>90414</v>
      </c>
      <c r="K204" s="192">
        <f t="shared" si="23"/>
        <v>90414</v>
      </c>
      <c r="L204" s="193">
        <f>L198</f>
        <v>0.90414</v>
      </c>
    </row>
    <row r="205" spans="1:12" s="164" customFormat="1" ht="12.75" customHeight="1" hidden="1">
      <c r="A205" s="441">
        <v>25</v>
      </c>
      <c r="B205" s="466" t="s">
        <v>184</v>
      </c>
      <c r="C205" s="468">
        <v>80132</v>
      </c>
      <c r="D205" s="464" t="s">
        <v>162</v>
      </c>
      <c r="E205" s="455">
        <v>2010</v>
      </c>
      <c r="F205" s="182" t="s">
        <v>15</v>
      </c>
      <c r="G205" s="183" t="s">
        <v>16</v>
      </c>
      <c r="H205" s="231"/>
      <c r="I205" s="232"/>
      <c r="J205" s="233"/>
      <c r="K205" s="233"/>
      <c r="L205" s="234"/>
    </row>
    <row r="206" spans="1:12" s="164" customFormat="1" ht="12.75" customHeight="1" hidden="1">
      <c r="A206" s="442"/>
      <c r="B206" s="462"/>
      <c r="C206" s="463"/>
      <c r="D206" s="465"/>
      <c r="E206" s="456"/>
      <c r="F206" s="458">
        <f>SUM(H211:L211)</f>
        <v>0</v>
      </c>
      <c r="G206" s="166" t="s">
        <v>17</v>
      </c>
      <c r="H206" s="235"/>
      <c r="I206" s="236"/>
      <c r="J206" s="237"/>
      <c r="K206" s="237">
        <f>SUM(H206,J206)</f>
        <v>0</v>
      </c>
      <c r="L206" s="238"/>
    </row>
    <row r="207" spans="1:12" s="164" customFormat="1" ht="12.75" customHeight="1" hidden="1">
      <c r="A207" s="442"/>
      <c r="B207" s="462"/>
      <c r="C207" s="463"/>
      <c r="D207" s="465"/>
      <c r="E207" s="456"/>
      <c r="F207" s="489"/>
      <c r="G207" s="166" t="s">
        <v>85</v>
      </c>
      <c r="H207" s="235"/>
      <c r="I207" s="236"/>
      <c r="J207" s="237"/>
      <c r="K207" s="237"/>
      <c r="L207" s="238"/>
    </row>
    <row r="208" spans="1:12" s="164" customFormat="1" ht="12.75" customHeight="1" hidden="1">
      <c r="A208" s="442"/>
      <c r="B208" s="462"/>
      <c r="C208" s="463"/>
      <c r="D208" s="465"/>
      <c r="E208" s="457"/>
      <c r="F208" s="171" t="s">
        <v>18</v>
      </c>
      <c r="G208" s="166" t="s">
        <v>86</v>
      </c>
      <c r="H208" s="235"/>
      <c r="I208" s="236"/>
      <c r="J208" s="237"/>
      <c r="K208" s="237"/>
      <c r="L208" s="238"/>
    </row>
    <row r="209" spans="1:12" s="164" customFormat="1" ht="12.75" customHeight="1" hidden="1">
      <c r="A209" s="442"/>
      <c r="B209" s="462"/>
      <c r="C209" s="463"/>
      <c r="D209" s="465"/>
      <c r="E209" s="460">
        <v>2014</v>
      </c>
      <c r="F209" s="458">
        <f>SUM(H212:L212)</f>
        <v>0</v>
      </c>
      <c r="G209" s="166" t="s">
        <v>19</v>
      </c>
      <c r="H209" s="235"/>
      <c r="I209" s="236"/>
      <c r="J209" s="237"/>
      <c r="K209" s="237"/>
      <c r="L209" s="238"/>
    </row>
    <row r="210" spans="1:12" s="164" customFormat="1" ht="12.75" customHeight="1" hidden="1">
      <c r="A210" s="442"/>
      <c r="B210" s="462"/>
      <c r="C210" s="463"/>
      <c r="D210" s="465"/>
      <c r="E210" s="456"/>
      <c r="F210" s="489"/>
      <c r="G210" s="166" t="s">
        <v>21</v>
      </c>
      <c r="H210" s="235"/>
      <c r="I210" s="236"/>
      <c r="J210" s="237"/>
      <c r="K210" s="237"/>
      <c r="L210" s="238"/>
    </row>
    <row r="211" spans="1:12" s="164" customFormat="1" ht="12.75" customHeight="1" hidden="1">
      <c r="A211" s="442"/>
      <c r="B211" s="462"/>
      <c r="C211" s="463"/>
      <c r="D211" s="465"/>
      <c r="E211" s="456"/>
      <c r="F211" s="171" t="s">
        <v>22</v>
      </c>
      <c r="G211" s="166" t="s">
        <v>23</v>
      </c>
      <c r="H211" s="239">
        <f aca="true" t="shared" si="24" ref="H211:J212">H205+H207+H209</f>
        <v>0</v>
      </c>
      <c r="I211" s="240">
        <f t="shared" si="24"/>
        <v>0</v>
      </c>
      <c r="J211" s="241">
        <f t="shared" si="24"/>
        <v>0</v>
      </c>
      <c r="K211" s="241">
        <f>K205+K207+K209</f>
        <v>0</v>
      </c>
      <c r="L211" s="242"/>
    </row>
    <row r="212" spans="1:12" s="164" customFormat="1" ht="13.5" customHeight="1" hidden="1" thickBot="1">
      <c r="A212" s="442"/>
      <c r="B212" s="467"/>
      <c r="C212" s="469"/>
      <c r="D212" s="470"/>
      <c r="E212" s="461"/>
      <c r="F212" s="176">
        <f>F206+F209</f>
        <v>0</v>
      </c>
      <c r="G212" s="190" t="s">
        <v>24</v>
      </c>
      <c r="H212" s="243">
        <f t="shared" si="24"/>
        <v>0</v>
      </c>
      <c r="I212" s="244">
        <f t="shared" si="24"/>
        <v>0</v>
      </c>
      <c r="J212" s="245">
        <f t="shared" si="24"/>
        <v>0</v>
      </c>
      <c r="K212" s="245">
        <f>K206+K208+K210</f>
        <v>0</v>
      </c>
      <c r="L212" s="246"/>
    </row>
    <row r="213" spans="1:12" s="164" customFormat="1" ht="12.75" customHeight="1">
      <c r="A213" s="441">
        <v>26</v>
      </c>
      <c r="B213" s="462" t="s">
        <v>185</v>
      </c>
      <c r="C213" s="463">
        <v>85111</v>
      </c>
      <c r="D213" s="464" t="s">
        <v>162</v>
      </c>
      <c r="E213" s="456">
        <v>2009</v>
      </c>
      <c r="F213" s="182" t="s">
        <v>15</v>
      </c>
      <c r="G213" s="158" t="s">
        <v>16</v>
      </c>
      <c r="H213" s="214"/>
      <c r="I213" s="247"/>
      <c r="J213" s="248"/>
      <c r="K213" s="216"/>
      <c r="L213" s="249"/>
    </row>
    <row r="214" spans="1:12" s="164" customFormat="1" ht="12.75">
      <c r="A214" s="442"/>
      <c r="B214" s="462"/>
      <c r="C214" s="463"/>
      <c r="D214" s="465"/>
      <c r="E214" s="456"/>
      <c r="F214" s="458">
        <f>SUM(H219:L219)</f>
        <v>0</v>
      </c>
      <c r="G214" s="166" t="s">
        <v>17</v>
      </c>
      <c r="H214" s="218">
        <v>5633</v>
      </c>
      <c r="I214" s="219">
        <f>46436-29666</f>
        <v>16770</v>
      </c>
      <c r="J214" s="220">
        <v>16770</v>
      </c>
      <c r="K214" s="220">
        <f>SUM(H214,J214)</f>
        <v>22403</v>
      </c>
      <c r="L214" s="221">
        <f>K214/F220</f>
        <v>0.07303341483292583</v>
      </c>
    </row>
    <row r="215" spans="1:12" s="164" customFormat="1" ht="12.75">
      <c r="A215" s="442"/>
      <c r="B215" s="462"/>
      <c r="C215" s="463"/>
      <c r="D215" s="465"/>
      <c r="E215" s="456"/>
      <c r="F215" s="459"/>
      <c r="G215" s="166" t="s">
        <v>85</v>
      </c>
      <c r="H215" s="218"/>
      <c r="I215" s="219"/>
      <c r="J215" s="220"/>
      <c r="K215" s="220"/>
      <c r="L215" s="221"/>
    </row>
    <row r="216" spans="1:12" s="164" customFormat="1" ht="12.75">
      <c r="A216" s="442"/>
      <c r="B216" s="462"/>
      <c r="C216" s="463"/>
      <c r="D216" s="465"/>
      <c r="E216" s="457"/>
      <c r="F216" s="171" t="s">
        <v>18</v>
      </c>
      <c r="G216" s="166" t="s">
        <v>86</v>
      </c>
      <c r="H216" s="218"/>
      <c r="I216" s="219"/>
      <c r="J216" s="220"/>
      <c r="K216" s="220"/>
      <c r="L216" s="221"/>
    </row>
    <row r="217" spans="1:12" s="164" customFormat="1" ht="12.75">
      <c r="A217" s="442"/>
      <c r="B217" s="462"/>
      <c r="C217" s="463"/>
      <c r="D217" s="465"/>
      <c r="E217" s="460">
        <v>2013</v>
      </c>
      <c r="F217" s="458">
        <v>306750</v>
      </c>
      <c r="G217" s="166" t="s">
        <v>19</v>
      </c>
      <c r="H217" s="218"/>
      <c r="I217" s="219"/>
      <c r="J217" s="220"/>
      <c r="K217" s="220"/>
      <c r="L217" s="221"/>
    </row>
    <row r="218" spans="1:12" s="164" customFormat="1" ht="12.75">
      <c r="A218" s="442"/>
      <c r="B218" s="462"/>
      <c r="C218" s="463"/>
      <c r="D218" s="465"/>
      <c r="E218" s="456"/>
      <c r="F218" s="459"/>
      <c r="G218" s="166" t="s">
        <v>21</v>
      </c>
      <c r="H218" s="218"/>
      <c r="I218" s="219"/>
      <c r="J218" s="220"/>
      <c r="K218" s="220"/>
      <c r="L218" s="221"/>
    </row>
    <row r="219" spans="1:12" s="164" customFormat="1" ht="12.75">
      <c r="A219" s="442"/>
      <c r="B219" s="462"/>
      <c r="C219" s="463"/>
      <c r="D219" s="465"/>
      <c r="E219" s="456"/>
      <c r="F219" s="171" t="s">
        <v>22</v>
      </c>
      <c r="G219" s="166" t="s">
        <v>23</v>
      </c>
      <c r="H219" s="223">
        <f aca="true" t="shared" si="25" ref="H219:K220">H213+H215+H217</f>
        <v>0</v>
      </c>
      <c r="I219" s="224">
        <f t="shared" si="25"/>
        <v>0</v>
      </c>
      <c r="J219" s="225">
        <f t="shared" si="25"/>
        <v>0</v>
      </c>
      <c r="K219" s="225">
        <f t="shared" si="25"/>
        <v>0</v>
      </c>
      <c r="L219" s="250"/>
    </row>
    <row r="220" spans="1:12" s="164" customFormat="1" ht="13.5" thickBot="1">
      <c r="A220" s="443"/>
      <c r="B220" s="462"/>
      <c r="C220" s="463"/>
      <c r="D220" s="465"/>
      <c r="E220" s="456"/>
      <c r="F220" s="176">
        <f>F214+F217</f>
        <v>306750</v>
      </c>
      <c r="G220" s="177" t="s">
        <v>24</v>
      </c>
      <c r="H220" s="227">
        <f t="shared" si="25"/>
        <v>5633</v>
      </c>
      <c r="I220" s="251">
        <f t="shared" si="25"/>
        <v>16770</v>
      </c>
      <c r="J220" s="252">
        <f t="shared" si="25"/>
        <v>16770</v>
      </c>
      <c r="K220" s="229">
        <f t="shared" si="25"/>
        <v>22403</v>
      </c>
      <c r="L220" s="253">
        <f>L214</f>
        <v>0.07303341483292583</v>
      </c>
    </row>
    <row r="221" spans="1:12" s="164" customFormat="1" ht="12.75" customHeight="1">
      <c r="A221" s="441">
        <v>27</v>
      </c>
      <c r="B221" s="466" t="s">
        <v>186</v>
      </c>
      <c r="C221" s="468">
        <v>85406</v>
      </c>
      <c r="D221" s="464" t="s">
        <v>162</v>
      </c>
      <c r="E221" s="455">
        <v>2009</v>
      </c>
      <c r="F221" s="182" t="s">
        <v>15</v>
      </c>
      <c r="G221" s="183" t="s">
        <v>16</v>
      </c>
      <c r="H221" s="184"/>
      <c r="I221" s="185"/>
      <c r="J221" s="186"/>
      <c r="K221" s="186"/>
      <c r="L221" s="187"/>
    </row>
    <row r="222" spans="1:12" s="164" customFormat="1" ht="12.75">
      <c r="A222" s="442"/>
      <c r="B222" s="462"/>
      <c r="C222" s="463"/>
      <c r="D222" s="465"/>
      <c r="E222" s="456"/>
      <c r="F222" s="458">
        <f>SUM(H227:L227)</f>
        <v>0</v>
      </c>
      <c r="G222" s="166" t="s">
        <v>17</v>
      </c>
      <c r="H222" s="167">
        <v>58205</v>
      </c>
      <c r="I222" s="168">
        <v>500000</v>
      </c>
      <c r="J222" s="169">
        <v>485670</v>
      </c>
      <c r="K222" s="169">
        <f>SUM(H222,J222)</f>
        <v>543875</v>
      </c>
      <c r="L222" s="188">
        <f>K222/F228</f>
        <v>0.43226262810909194</v>
      </c>
    </row>
    <row r="223" spans="1:12" s="164" customFormat="1" ht="12.75">
      <c r="A223" s="442"/>
      <c r="B223" s="462"/>
      <c r="C223" s="463"/>
      <c r="D223" s="465"/>
      <c r="E223" s="456"/>
      <c r="F223" s="459"/>
      <c r="G223" s="166" t="s">
        <v>85</v>
      </c>
      <c r="H223" s="167"/>
      <c r="I223" s="168"/>
      <c r="J223" s="169"/>
      <c r="K223" s="169"/>
      <c r="L223" s="188"/>
    </row>
    <row r="224" spans="1:12" s="164" customFormat="1" ht="12.75">
      <c r="A224" s="442"/>
      <c r="B224" s="462"/>
      <c r="C224" s="463"/>
      <c r="D224" s="465"/>
      <c r="E224" s="457"/>
      <c r="F224" s="171" t="s">
        <v>18</v>
      </c>
      <c r="G224" s="166" t="s">
        <v>86</v>
      </c>
      <c r="H224" s="167"/>
      <c r="I224" s="168"/>
      <c r="J224" s="169"/>
      <c r="K224" s="169"/>
      <c r="L224" s="188"/>
    </row>
    <row r="225" spans="1:12" s="164" customFormat="1" ht="12.75">
      <c r="A225" s="442"/>
      <c r="B225" s="462"/>
      <c r="C225" s="463"/>
      <c r="D225" s="465"/>
      <c r="E225" s="460">
        <v>2012</v>
      </c>
      <c r="F225" s="458">
        <v>1258205</v>
      </c>
      <c r="G225" s="166" t="s">
        <v>19</v>
      </c>
      <c r="H225" s="167"/>
      <c r="I225" s="168"/>
      <c r="J225" s="169"/>
      <c r="K225" s="169"/>
      <c r="L225" s="188"/>
    </row>
    <row r="226" spans="1:12" s="164" customFormat="1" ht="12.75">
      <c r="A226" s="442"/>
      <c r="B226" s="462"/>
      <c r="C226" s="463"/>
      <c r="D226" s="465"/>
      <c r="E226" s="456"/>
      <c r="F226" s="459"/>
      <c r="G226" s="166" t="s">
        <v>21</v>
      </c>
      <c r="H226" s="167"/>
      <c r="I226" s="168"/>
      <c r="J226" s="169"/>
      <c r="K226" s="169"/>
      <c r="L226" s="188"/>
    </row>
    <row r="227" spans="1:12" s="164" customFormat="1" ht="12.75">
      <c r="A227" s="442"/>
      <c r="B227" s="462"/>
      <c r="C227" s="463"/>
      <c r="D227" s="465"/>
      <c r="E227" s="456"/>
      <c r="F227" s="171" t="s">
        <v>22</v>
      </c>
      <c r="G227" s="166" t="s">
        <v>23</v>
      </c>
      <c r="H227" s="172">
        <f aca="true" t="shared" si="26" ref="H227:J228">H221+H223+H225</f>
        <v>0</v>
      </c>
      <c r="I227" s="173">
        <f t="shared" si="26"/>
        <v>0</v>
      </c>
      <c r="J227" s="174">
        <f t="shared" si="26"/>
        <v>0</v>
      </c>
      <c r="K227" s="174">
        <f>K221+K223+K225</f>
        <v>0</v>
      </c>
      <c r="L227" s="189"/>
    </row>
    <row r="228" spans="1:12" s="164" customFormat="1" ht="13.5" thickBot="1">
      <c r="A228" s="442"/>
      <c r="B228" s="467"/>
      <c r="C228" s="469"/>
      <c r="D228" s="470"/>
      <c r="E228" s="461"/>
      <c r="F228" s="176">
        <f>F222+F225</f>
        <v>1258205</v>
      </c>
      <c r="G228" s="190" t="s">
        <v>24</v>
      </c>
      <c r="H228" s="178">
        <f t="shared" si="26"/>
        <v>58205</v>
      </c>
      <c r="I228" s="191">
        <f t="shared" si="26"/>
        <v>500000</v>
      </c>
      <c r="J228" s="192">
        <f t="shared" si="26"/>
        <v>485670</v>
      </c>
      <c r="K228" s="192">
        <f>K222+K224+K226</f>
        <v>543875</v>
      </c>
      <c r="L228" s="193">
        <f>L222</f>
        <v>0.43226262810909194</v>
      </c>
    </row>
    <row r="229" spans="1:12" s="164" customFormat="1" ht="12.75" customHeight="1">
      <c r="A229" s="441">
        <v>29</v>
      </c>
      <c r="B229" s="466" t="s">
        <v>187</v>
      </c>
      <c r="C229" s="468">
        <v>90001</v>
      </c>
      <c r="D229" s="464" t="s">
        <v>162</v>
      </c>
      <c r="E229" s="455">
        <v>2011</v>
      </c>
      <c r="F229" s="182" t="s">
        <v>15</v>
      </c>
      <c r="G229" s="183" t="s">
        <v>16</v>
      </c>
      <c r="H229" s="184"/>
      <c r="I229" s="185"/>
      <c r="J229" s="186"/>
      <c r="K229" s="186"/>
      <c r="L229" s="187"/>
    </row>
    <row r="230" spans="1:12" s="164" customFormat="1" ht="12.75">
      <c r="A230" s="442"/>
      <c r="B230" s="462"/>
      <c r="C230" s="463"/>
      <c r="D230" s="465"/>
      <c r="E230" s="456"/>
      <c r="F230" s="458">
        <f>SUM(H235:L235)</f>
        <v>0</v>
      </c>
      <c r="G230" s="166" t="s">
        <v>17</v>
      </c>
      <c r="H230" s="167"/>
      <c r="I230" s="168">
        <f>5000000+1000000-700000+100000-320000</f>
        <v>5080000</v>
      </c>
      <c r="J230" s="169">
        <v>4422035</v>
      </c>
      <c r="K230" s="169">
        <f>SUM(H230,J230)</f>
        <v>4422035</v>
      </c>
      <c r="L230" s="188">
        <f>K230/F236</f>
        <v>0.19583857395925597</v>
      </c>
    </row>
    <row r="231" spans="1:12" s="164" customFormat="1" ht="12.75">
      <c r="A231" s="442"/>
      <c r="B231" s="462"/>
      <c r="C231" s="463"/>
      <c r="D231" s="465"/>
      <c r="E231" s="456"/>
      <c r="F231" s="459"/>
      <c r="G231" s="166" t="s">
        <v>85</v>
      </c>
      <c r="H231" s="167"/>
      <c r="I231" s="168"/>
      <c r="J231" s="169"/>
      <c r="K231" s="169"/>
      <c r="L231" s="188"/>
    </row>
    <row r="232" spans="1:12" s="164" customFormat="1" ht="12.75">
      <c r="A232" s="442"/>
      <c r="B232" s="462"/>
      <c r="C232" s="463"/>
      <c r="D232" s="465"/>
      <c r="E232" s="457"/>
      <c r="F232" s="171" t="s">
        <v>18</v>
      </c>
      <c r="G232" s="166" t="s">
        <v>86</v>
      </c>
      <c r="H232" s="167"/>
      <c r="I232" s="168"/>
      <c r="J232" s="169"/>
      <c r="K232" s="169"/>
      <c r="L232" s="188"/>
    </row>
    <row r="233" spans="1:12" s="164" customFormat="1" ht="12.75">
      <c r="A233" s="442"/>
      <c r="B233" s="462"/>
      <c r="C233" s="463"/>
      <c r="D233" s="465"/>
      <c r="E233" s="460">
        <v>2013</v>
      </c>
      <c r="F233" s="458">
        <v>22580000</v>
      </c>
      <c r="G233" s="166" t="s">
        <v>19</v>
      </c>
      <c r="H233" s="167"/>
      <c r="I233" s="168"/>
      <c r="J233" s="169"/>
      <c r="K233" s="169"/>
      <c r="L233" s="188"/>
    </row>
    <row r="234" spans="1:12" s="164" customFormat="1" ht="12.75">
      <c r="A234" s="442"/>
      <c r="B234" s="462"/>
      <c r="C234" s="463"/>
      <c r="D234" s="465"/>
      <c r="E234" s="456"/>
      <c r="F234" s="459"/>
      <c r="G234" s="166" t="s">
        <v>21</v>
      </c>
      <c r="H234" s="167"/>
      <c r="I234" s="168"/>
      <c r="J234" s="169"/>
      <c r="K234" s="169"/>
      <c r="L234" s="188"/>
    </row>
    <row r="235" spans="1:12" s="164" customFormat="1" ht="12.75">
      <c r="A235" s="442"/>
      <c r="B235" s="462"/>
      <c r="C235" s="463"/>
      <c r="D235" s="465"/>
      <c r="E235" s="456"/>
      <c r="F235" s="171" t="s">
        <v>22</v>
      </c>
      <c r="G235" s="166" t="s">
        <v>23</v>
      </c>
      <c r="H235" s="172">
        <f aca="true" t="shared" si="27" ref="H235:J236">H229+H231+H233</f>
        <v>0</v>
      </c>
      <c r="I235" s="173">
        <f t="shared" si="27"/>
        <v>0</v>
      </c>
      <c r="J235" s="174">
        <f t="shared" si="27"/>
        <v>0</v>
      </c>
      <c r="K235" s="174">
        <f>K229+K231+K233</f>
        <v>0</v>
      </c>
      <c r="L235" s="189"/>
    </row>
    <row r="236" spans="1:12" s="164" customFormat="1" ht="13.5" thickBot="1">
      <c r="A236" s="442"/>
      <c r="B236" s="467"/>
      <c r="C236" s="469"/>
      <c r="D236" s="470"/>
      <c r="E236" s="461"/>
      <c r="F236" s="176">
        <f>F230+F233</f>
        <v>22580000</v>
      </c>
      <c r="G236" s="190" t="s">
        <v>24</v>
      </c>
      <c r="H236" s="178">
        <f t="shared" si="27"/>
        <v>0</v>
      </c>
      <c r="I236" s="191">
        <f t="shared" si="27"/>
        <v>5080000</v>
      </c>
      <c r="J236" s="192">
        <f t="shared" si="27"/>
        <v>4422035</v>
      </c>
      <c r="K236" s="192">
        <f>K230+K232+K234</f>
        <v>4422035</v>
      </c>
      <c r="L236" s="193">
        <f>L230</f>
        <v>0.19583857395925597</v>
      </c>
    </row>
    <row r="237" spans="1:12" s="164" customFormat="1" ht="12.75" customHeight="1">
      <c r="A237" s="441">
        <v>30</v>
      </c>
      <c r="B237" s="466" t="s">
        <v>188</v>
      </c>
      <c r="C237" s="468">
        <v>90001</v>
      </c>
      <c r="D237" s="464" t="s">
        <v>162</v>
      </c>
      <c r="E237" s="455">
        <v>2011</v>
      </c>
      <c r="F237" s="182" t="s">
        <v>15</v>
      </c>
      <c r="G237" s="183" t="s">
        <v>16</v>
      </c>
      <c r="H237" s="184"/>
      <c r="I237" s="185"/>
      <c r="J237" s="186"/>
      <c r="K237" s="186"/>
      <c r="L237" s="187"/>
    </row>
    <row r="238" spans="1:12" s="164" customFormat="1" ht="12.75">
      <c r="A238" s="442"/>
      <c r="B238" s="462"/>
      <c r="C238" s="463"/>
      <c r="D238" s="465"/>
      <c r="E238" s="456"/>
      <c r="F238" s="458">
        <f>SUM(H243:L243)</f>
        <v>0</v>
      </c>
      <c r="G238" s="166" t="s">
        <v>17</v>
      </c>
      <c r="H238" s="167">
        <v>0</v>
      </c>
      <c r="I238" s="168">
        <f>5000000-3500000-1300000</f>
        <v>200000</v>
      </c>
      <c r="J238" s="169">
        <v>190171</v>
      </c>
      <c r="K238" s="169">
        <f>SUM(H238,J238)</f>
        <v>190171</v>
      </c>
      <c r="L238" s="188">
        <f>K238/F244</f>
        <v>0.0760684</v>
      </c>
    </row>
    <row r="239" spans="1:12" s="164" customFormat="1" ht="12.75">
      <c r="A239" s="442"/>
      <c r="B239" s="462"/>
      <c r="C239" s="463"/>
      <c r="D239" s="465"/>
      <c r="E239" s="456"/>
      <c r="F239" s="459"/>
      <c r="G239" s="166" t="s">
        <v>85</v>
      </c>
      <c r="H239" s="167"/>
      <c r="I239" s="168"/>
      <c r="J239" s="169"/>
      <c r="K239" s="169"/>
      <c r="L239" s="188"/>
    </row>
    <row r="240" spans="1:12" s="164" customFormat="1" ht="12.75">
      <c r="A240" s="442"/>
      <c r="B240" s="462"/>
      <c r="C240" s="463"/>
      <c r="D240" s="465"/>
      <c r="E240" s="457"/>
      <c r="F240" s="171" t="s">
        <v>18</v>
      </c>
      <c r="G240" s="166" t="s">
        <v>86</v>
      </c>
      <c r="H240" s="167"/>
      <c r="I240" s="168"/>
      <c r="J240" s="169"/>
      <c r="K240" s="169"/>
      <c r="L240" s="188"/>
    </row>
    <row r="241" spans="1:12" s="164" customFormat="1" ht="12.75">
      <c r="A241" s="442"/>
      <c r="B241" s="462"/>
      <c r="C241" s="463"/>
      <c r="D241" s="465"/>
      <c r="E241" s="460">
        <v>2012</v>
      </c>
      <c r="F241" s="458">
        <v>2500000</v>
      </c>
      <c r="G241" s="166" t="s">
        <v>19</v>
      </c>
      <c r="H241" s="167"/>
      <c r="I241" s="168"/>
      <c r="J241" s="169"/>
      <c r="K241" s="169"/>
      <c r="L241" s="188"/>
    </row>
    <row r="242" spans="1:12" s="164" customFormat="1" ht="12.75">
      <c r="A242" s="442"/>
      <c r="B242" s="462"/>
      <c r="C242" s="463"/>
      <c r="D242" s="465"/>
      <c r="E242" s="456"/>
      <c r="F242" s="459"/>
      <c r="G242" s="166" t="s">
        <v>21</v>
      </c>
      <c r="H242" s="167"/>
      <c r="I242" s="168"/>
      <c r="J242" s="169"/>
      <c r="K242" s="169"/>
      <c r="L242" s="188"/>
    </row>
    <row r="243" spans="1:12" s="164" customFormat="1" ht="12.75">
      <c r="A243" s="442"/>
      <c r="B243" s="462"/>
      <c r="C243" s="463"/>
      <c r="D243" s="465"/>
      <c r="E243" s="456"/>
      <c r="F243" s="171" t="s">
        <v>22</v>
      </c>
      <c r="G243" s="166" t="s">
        <v>23</v>
      </c>
      <c r="H243" s="172">
        <f aca="true" t="shared" si="28" ref="H243:K244">H237+H239+H241</f>
        <v>0</v>
      </c>
      <c r="I243" s="173">
        <f t="shared" si="28"/>
        <v>0</v>
      </c>
      <c r="J243" s="174">
        <f t="shared" si="28"/>
        <v>0</v>
      </c>
      <c r="K243" s="174">
        <f t="shared" si="28"/>
        <v>0</v>
      </c>
      <c r="L243" s="189"/>
    </row>
    <row r="244" spans="1:12" s="164" customFormat="1" ht="13.5" thickBot="1">
      <c r="A244" s="443"/>
      <c r="B244" s="467"/>
      <c r="C244" s="469"/>
      <c r="D244" s="470"/>
      <c r="E244" s="461"/>
      <c r="F244" s="176">
        <f>F238+F241</f>
        <v>2500000</v>
      </c>
      <c r="G244" s="190" t="s">
        <v>24</v>
      </c>
      <c r="H244" s="178">
        <f t="shared" si="28"/>
        <v>0</v>
      </c>
      <c r="I244" s="191">
        <f t="shared" si="28"/>
        <v>200000</v>
      </c>
      <c r="J244" s="192">
        <f t="shared" si="28"/>
        <v>190171</v>
      </c>
      <c r="K244" s="192">
        <f t="shared" si="28"/>
        <v>190171</v>
      </c>
      <c r="L244" s="193">
        <f>L238</f>
        <v>0.0760684</v>
      </c>
    </row>
    <row r="245" spans="1:12" s="164" customFormat="1" ht="12.75" customHeight="1">
      <c r="A245" s="441">
        <v>31</v>
      </c>
      <c r="B245" s="466" t="s">
        <v>176</v>
      </c>
      <c r="C245" s="468">
        <v>90001</v>
      </c>
      <c r="D245" s="464" t="s">
        <v>162</v>
      </c>
      <c r="E245" s="455">
        <v>2011</v>
      </c>
      <c r="F245" s="182" t="s">
        <v>15</v>
      </c>
      <c r="G245" s="183" t="s">
        <v>16</v>
      </c>
      <c r="H245" s="184"/>
      <c r="I245" s="185"/>
      <c r="J245" s="186"/>
      <c r="K245" s="186"/>
      <c r="L245" s="187"/>
    </row>
    <row r="246" spans="1:12" s="164" customFormat="1" ht="12.75">
      <c r="A246" s="442"/>
      <c r="B246" s="462"/>
      <c r="C246" s="463"/>
      <c r="D246" s="465"/>
      <c r="E246" s="456"/>
      <c r="F246" s="458">
        <f>SUM(H251:L251)</f>
        <v>0</v>
      </c>
      <c r="G246" s="166" t="s">
        <v>17</v>
      </c>
      <c r="H246" s="167"/>
      <c r="I246" s="168">
        <v>900000</v>
      </c>
      <c r="J246" s="169">
        <v>727000</v>
      </c>
      <c r="K246" s="169">
        <f>SUM(H246,J246)</f>
        <v>727000</v>
      </c>
      <c r="L246" s="188">
        <f>K246/F252</f>
        <v>0.2203030303030303</v>
      </c>
    </row>
    <row r="247" spans="1:12" s="164" customFormat="1" ht="12.75">
      <c r="A247" s="442"/>
      <c r="B247" s="462"/>
      <c r="C247" s="463"/>
      <c r="D247" s="465"/>
      <c r="E247" s="456"/>
      <c r="F247" s="459"/>
      <c r="G247" s="166" t="s">
        <v>85</v>
      </c>
      <c r="H247" s="167"/>
      <c r="I247" s="168"/>
      <c r="J247" s="169"/>
      <c r="K247" s="169"/>
      <c r="L247" s="188"/>
    </row>
    <row r="248" spans="1:12" s="164" customFormat="1" ht="12.75">
      <c r="A248" s="442"/>
      <c r="B248" s="462"/>
      <c r="C248" s="463"/>
      <c r="D248" s="465"/>
      <c r="E248" s="457"/>
      <c r="F248" s="171" t="s">
        <v>18</v>
      </c>
      <c r="G248" s="166" t="s">
        <v>86</v>
      </c>
      <c r="H248" s="167"/>
      <c r="I248" s="168"/>
      <c r="J248" s="169"/>
      <c r="K248" s="169"/>
      <c r="L248" s="188"/>
    </row>
    <row r="249" spans="1:12" s="164" customFormat="1" ht="12.75">
      <c r="A249" s="442"/>
      <c r="B249" s="462"/>
      <c r="C249" s="463"/>
      <c r="D249" s="465"/>
      <c r="E249" s="460">
        <v>2013</v>
      </c>
      <c r="F249" s="458">
        <v>3300000</v>
      </c>
      <c r="G249" s="166" t="s">
        <v>19</v>
      </c>
      <c r="H249" s="167"/>
      <c r="I249" s="168"/>
      <c r="J249" s="169"/>
      <c r="K249" s="169"/>
      <c r="L249" s="188"/>
    </row>
    <row r="250" spans="1:12" s="164" customFormat="1" ht="12.75">
      <c r="A250" s="442"/>
      <c r="B250" s="462"/>
      <c r="C250" s="463"/>
      <c r="D250" s="465"/>
      <c r="E250" s="456"/>
      <c r="F250" s="459"/>
      <c r="G250" s="166" t="s">
        <v>21</v>
      </c>
      <c r="H250" s="167"/>
      <c r="I250" s="168"/>
      <c r="J250" s="169"/>
      <c r="K250" s="169"/>
      <c r="L250" s="188"/>
    </row>
    <row r="251" spans="1:12" s="164" customFormat="1" ht="12.75">
      <c r="A251" s="442"/>
      <c r="B251" s="462"/>
      <c r="C251" s="463"/>
      <c r="D251" s="465"/>
      <c r="E251" s="456"/>
      <c r="F251" s="171" t="s">
        <v>22</v>
      </c>
      <c r="G251" s="166" t="s">
        <v>23</v>
      </c>
      <c r="H251" s="172">
        <f aca="true" t="shared" si="29" ref="H251:J252">H245+H247+H249</f>
        <v>0</v>
      </c>
      <c r="I251" s="173">
        <f t="shared" si="29"/>
        <v>0</v>
      </c>
      <c r="J251" s="174">
        <f t="shared" si="29"/>
        <v>0</v>
      </c>
      <c r="K251" s="174">
        <f>K245+K247+K249</f>
        <v>0</v>
      </c>
      <c r="L251" s="189"/>
    </row>
    <row r="252" spans="1:12" s="164" customFormat="1" ht="13.5" thickBot="1">
      <c r="A252" s="443"/>
      <c r="B252" s="467"/>
      <c r="C252" s="469"/>
      <c r="D252" s="470"/>
      <c r="E252" s="461"/>
      <c r="F252" s="176">
        <f>F246+F249</f>
        <v>3300000</v>
      </c>
      <c r="G252" s="190" t="s">
        <v>24</v>
      </c>
      <c r="H252" s="178">
        <f t="shared" si="29"/>
        <v>0</v>
      </c>
      <c r="I252" s="191">
        <f t="shared" si="29"/>
        <v>900000</v>
      </c>
      <c r="J252" s="192">
        <f t="shared" si="29"/>
        <v>727000</v>
      </c>
      <c r="K252" s="192">
        <f>K246+K248+K250</f>
        <v>727000</v>
      </c>
      <c r="L252" s="193">
        <f>L246</f>
        <v>0.2203030303030303</v>
      </c>
    </row>
    <row r="253" spans="1:12" s="164" customFormat="1" ht="12.75" customHeight="1">
      <c r="A253" s="441">
        <v>32</v>
      </c>
      <c r="B253" s="486" t="s">
        <v>189</v>
      </c>
      <c r="C253" s="468">
        <v>90004</v>
      </c>
      <c r="D253" s="464" t="s">
        <v>162</v>
      </c>
      <c r="E253" s="456">
        <v>2010</v>
      </c>
      <c r="F253" s="182" t="s">
        <v>15</v>
      </c>
      <c r="G253" s="158" t="s">
        <v>16</v>
      </c>
      <c r="H253" s="184"/>
      <c r="I253" s="160"/>
      <c r="J253" s="161"/>
      <c r="K253" s="186"/>
      <c r="L253" s="187"/>
    </row>
    <row r="254" spans="1:12" s="164" customFormat="1" ht="12.75">
      <c r="A254" s="442"/>
      <c r="B254" s="487"/>
      <c r="C254" s="463"/>
      <c r="D254" s="465"/>
      <c r="E254" s="456"/>
      <c r="F254" s="458">
        <f>SUM(H259:L259)</f>
        <v>0</v>
      </c>
      <c r="G254" s="166" t="s">
        <v>17</v>
      </c>
      <c r="H254" s="167">
        <v>262568</v>
      </c>
      <c r="I254" s="168">
        <f>1000000+61736-8026-480000-420000-5000</f>
        <v>148710</v>
      </c>
      <c r="J254" s="169">
        <v>49062</v>
      </c>
      <c r="K254" s="169">
        <f>SUM(H254,J254)</f>
        <v>311630</v>
      </c>
      <c r="L254" s="188">
        <f>K254/F260</f>
        <v>0.05933499414704066</v>
      </c>
    </row>
    <row r="255" spans="1:12" s="164" customFormat="1" ht="12.75">
      <c r="A255" s="442"/>
      <c r="B255" s="487"/>
      <c r="C255" s="463"/>
      <c r="D255" s="465"/>
      <c r="E255" s="456"/>
      <c r="F255" s="459"/>
      <c r="G255" s="166" t="s">
        <v>85</v>
      </c>
      <c r="H255" s="167"/>
      <c r="I255" s="168"/>
      <c r="J255" s="169"/>
      <c r="K255" s="169"/>
      <c r="L255" s="188"/>
    </row>
    <row r="256" spans="1:12" s="164" customFormat="1" ht="12.75">
      <c r="A256" s="442"/>
      <c r="B256" s="487"/>
      <c r="C256" s="463"/>
      <c r="D256" s="465"/>
      <c r="E256" s="457"/>
      <c r="F256" s="171" t="s">
        <v>18</v>
      </c>
      <c r="G256" s="166" t="s">
        <v>86</v>
      </c>
      <c r="H256" s="167"/>
      <c r="I256" s="168"/>
      <c r="J256" s="169"/>
      <c r="K256" s="169"/>
      <c r="L256" s="188"/>
    </row>
    <row r="257" spans="1:12" s="164" customFormat="1" ht="12.75">
      <c r="A257" s="442"/>
      <c r="B257" s="487"/>
      <c r="C257" s="463"/>
      <c r="D257" s="465"/>
      <c r="E257" s="460">
        <v>2013</v>
      </c>
      <c r="F257" s="458">
        <v>5252044</v>
      </c>
      <c r="G257" s="166" t="s">
        <v>19</v>
      </c>
      <c r="H257" s="167"/>
      <c r="I257" s="168"/>
      <c r="J257" s="169"/>
      <c r="K257" s="169"/>
      <c r="L257" s="188"/>
    </row>
    <row r="258" spans="1:12" s="164" customFormat="1" ht="12.75">
      <c r="A258" s="442"/>
      <c r="B258" s="487"/>
      <c r="C258" s="463"/>
      <c r="D258" s="465"/>
      <c r="E258" s="456"/>
      <c r="F258" s="459"/>
      <c r="G258" s="166" t="s">
        <v>21</v>
      </c>
      <c r="H258" s="167"/>
      <c r="I258" s="168"/>
      <c r="J258" s="169"/>
      <c r="K258" s="169"/>
      <c r="L258" s="188"/>
    </row>
    <row r="259" spans="1:12" s="164" customFormat="1" ht="12.75">
      <c r="A259" s="442"/>
      <c r="B259" s="487"/>
      <c r="C259" s="463"/>
      <c r="D259" s="465"/>
      <c r="E259" s="456"/>
      <c r="F259" s="171" t="s">
        <v>22</v>
      </c>
      <c r="G259" s="166" t="s">
        <v>23</v>
      </c>
      <c r="H259" s="172">
        <f aca="true" t="shared" si="30" ref="H259:J260">H253+H255+H257</f>
        <v>0</v>
      </c>
      <c r="I259" s="173">
        <f t="shared" si="30"/>
        <v>0</v>
      </c>
      <c r="J259" s="174">
        <f t="shared" si="30"/>
        <v>0</v>
      </c>
      <c r="K259" s="174">
        <f>K253+K255+K257</f>
        <v>0</v>
      </c>
      <c r="L259" s="189"/>
    </row>
    <row r="260" spans="1:12" s="164" customFormat="1" ht="13.5" thickBot="1">
      <c r="A260" s="443"/>
      <c r="B260" s="488"/>
      <c r="C260" s="469"/>
      <c r="D260" s="465"/>
      <c r="E260" s="461"/>
      <c r="F260" s="176">
        <f>F254+F257</f>
        <v>5252044</v>
      </c>
      <c r="G260" s="190" t="s">
        <v>24</v>
      </c>
      <c r="H260" s="178">
        <f t="shared" si="30"/>
        <v>262568</v>
      </c>
      <c r="I260" s="191">
        <f t="shared" si="30"/>
        <v>148710</v>
      </c>
      <c r="J260" s="192">
        <f t="shared" si="30"/>
        <v>49062</v>
      </c>
      <c r="K260" s="192">
        <f>K254+K256+K258</f>
        <v>311630</v>
      </c>
      <c r="L260" s="193">
        <f>L254</f>
        <v>0.05933499414704066</v>
      </c>
    </row>
    <row r="261" spans="1:12" s="164" customFormat="1" ht="12.75" customHeight="1">
      <c r="A261" s="441">
        <v>33</v>
      </c>
      <c r="B261" s="462" t="s">
        <v>176</v>
      </c>
      <c r="C261" s="463">
        <v>90004</v>
      </c>
      <c r="D261" s="464" t="s">
        <v>162</v>
      </c>
      <c r="E261" s="456">
        <v>2011</v>
      </c>
      <c r="F261" s="157" t="s">
        <v>15</v>
      </c>
      <c r="G261" s="158" t="s">
        <v>16</v>
      </c>
      <c r="H261" s="159"/>
      <c r="I261" s="160"/>
      <c r="J261" s="161"/>
      <c r="K261" s="186"/>
      <c r="L261" s="187"/>
    </row>
    <row r="262" spans="1:12" s="164" customFormat="1" ht="12.75">
      <c r="A262" s="442"/>
      <c r="B262" s="462"/>
      <c r="C262" s="463"/>
      <c r="D262" s="465"/>
      <c r="E262" s="456"/>
      <c r="F262" s="458">
        <f>SUM(H267:L267)</f>
        <v>0</v>
      </c>
      <c r="G262" s="166" t="s">
        <v>17</v>
      </c>
      <c r="H262" s="167"/>
      <c r="I262" s="168">
        <v>50000</v>
      </c>
      <c r="J262" s="169">
        <v>7930</v>
      </c>
      <c r="K262" s="169">
        <f>SUM(H262,J262)</f>
        <v>7930</v>
      </c>
      <c r="L262" s="188">
        <f>K262/F268</f>
        <v>0.03965</v>
      </c>
    </row>
    <row r="263" spans="1:12" s="164" customFormat="1" ht="12.75">
      <c r="A263" s="442"/>
      <c r="B263" s="462"/>
      <c r="C263" s="463"/>
      <c r="D263" s="465"/>
      <c r="E263" s="456"/>
      <c r="F263" s="459"/>
      <c r="G263" s="166" t="s">
        <v>85</v>
      </c>
      <c r="H263" s="167"/>
      <c r="I263" s="168"/>
      <c r="J263" s="169"/>
      <c r="K263" s="169"/>
      <c r="L263" s="188"/>
    </row>
    <row r="264" spans="1:12" s="164" customFormat="1" ht="12.75">
      <c r="A264" s="442"/>
      <c r="B264" s="462"/>
      <c r="C264" s="463"/>
      <c r="D264" s="465"/>
      <c r="E264" s="457"/>
      <c r="F264" s="171" t="s">
        <v>18</v>
      </c>
      <c r="G264" s="166" t="s">
        <v>86</v>
      </c>
      <c r="H264" s="167"/>
      <c r="I264" s="168"/>
      <c r="J264" s="169"/>
      <c r="K264" s="169"/>
      <c r="L264" s="188"/>
    </row>
    <row r="265" spans="1:12" s="164" customFormat="1" ht="12.75">
      <c r="A265" s="442"/>
      <c r="B265" s="462"/>
      <c r="C265" s="463"/>
      <c r="D265" s="465"/>
      <c r="E265" s="460">
        <v>2013</v>
      </c>
      <c r="F265" s="458">
        <v>200000</v>
      </c>
      <c r="G265" s="166" t="s">
        <v>19</v>
      </c>
      <c r="H265" s="167"/>
      <c r="I265" s="168"/>
      <c r="J265" s="169"/>
      <c r="K265" s="169"/>
      <c r="L265" s="188"/>
    </row>
    <row r="266" spans="1:12" s="164" customFormat="1" ht="12.75">
      <c r="A266" s="442"/>
      <c r="B266" s="462"/>
      <c r="C266" s="463"/>
      <c r="D266" s="465"/>
      <c r="E266" s="456"/>
      <c r="F266" s="459"/>
      <c r="G266" s="166" t="s">
        <v>21</v>
      </c>
      <c r="H266" s="167"/>
      <c r="I266" s="168"/>
      <c r="J266" s="169"/>
      <c r="K266" s="169"/>
      <c r="L266" s="188"/>
    </row>
    <row r="267" spans="1:12" s="164" customFormat="1" ht="12.75">
      <c r="A267" s="442"/>
      <c r="B267" s="462"/>
      <c r="C267" s="463"/>
      <c r="D267" s="465"/>
      <c r="E267" s="456"/>
      <c r="F267" s="171" t="s">
        <v>22</v>
      </c>
      <c r="G267" s="166" t="s">
        <v>23</v>
      </c>
      <c r="H267" s="172">
        <f aca="true" t="shared" si="31" ref="H267:K268">H261+H263+H265</f>
        <v>0</v>
      </c>
      <c r="I267" s="173">
        <f t="shared" si="31"/>
        <v>0</v>
      </c>
      <c r="J267" s="174">
        <f t="shared" si="31"/>
        <v>0</v>
      </c>
      <c r="K267" s="174">
        <f t="shared" si="31"/>
        <v>0</v>
      </c>
      <c r="L267" s="189"/>
    </row>
    <row r="268" spans="1:12" s="164" customFormat="1" ht="13.5" thickBot="1">
      <c r="A268" s="442"/>
      <c r="B268" s="467"/>
      <c r="C268" s="469"/>
      <c r="D268" s="470"/>
      <c r="E268" s="461"/>
      <c r="F268" s="176">
        <f>F262+F265</f>
        <v>200000</v>
      </c>
      <c r="G268" s="190" t="s">
        <v>24</v>
      </c>
      <c r="H268" s="178">
        <f t="shared" si="31"/>
        <v>0</v>
      </c>
      <c r="I268" s="191">
        <f t="shared" si="31"/>
        <v>50000</v>
      </c>
      <c r="J268" s="192">
        <f t="shared" si="31"/>
        <v>7930</v>
      </c>
      <c r="K268" s="192">
        <f t="shared" si="31"/>
        <v>7930</v>
      </c>
      <c r="L268" s="193">
        <f>L262</f>
        <v>0.03965</v>
      </c>
    </row>
    <row r="269" spans="1:12" s="164" customFormat="1" ht="12.75" customHeight="1">
      <c r="A269" s="441">
        <v>34</v>
      </c>
      <c r="B269" s="466" t="s">
        <v>190</v>
      </c>
      <c r="C269" s="468">
        <v>90015</v>
      </c>
      <c r="D269" s="464" t="s">
        <v>162</v>
      </c>
      <c r="E269" s="455">
        <v>2011</v>
      </c>
      <c r="F269" s="182" t="s">
        <v>15</v>
      </c>
      <c r="G269" s="183" t="s">
        <v>16</v>
      </c>
      <c r="H269" s="184"/>
      <c r="I269" s="185"/>
      <c r="J269" s="186"/>
      <c r="K269" s="186"/>
      <c r="L269" s="187"/>
    </row>
    <row r="270" spans="1:12" s="164" customFormat="1" ht="12.75">
      <c r="A270" s="442"/>
      <c r="B270" s="462"/>
      <c r="C270" s="463"/>
      <c r="D270" s="465"/>
      <c r="E270" s="456"/>
      <c r="F270" s="458">
        <f>SUM(H275:L275)</f>
        <v>0</v>
      </c>
      <c r="G270" s="166" t="s">
        <v>17</v>
      </c>
      <c r="H270" s="167"/>
      <c r="I270" s="168">
        <f>500000+200000</f>
        <v>700000</v>
      </c>
      <c r="J270" s="169">
        <v>699539</v>
      </c>
      <c r="K270" s="169">
        <f>SUM(H270,J270)</f>
        <v>699539</v>
      </c>
      <c r="L270" s="188">
        <f>K270/F276</f>
        <v>0.31797227272727274</v>
      </c>
    </row>
    <row r="271" spans="1:12" s="164" customFormat="1" ht="12.75">
      <c r="A271" s="442"/>
      <c r="B271" s="462"/>
      <c r="C271" s="463"/>
      <c r="D271" s="465"/>
      <c r="E271" s="456"/>
      <c r="F271" s="459"/>
      <c r="G271" s="166" t="s">
        <v>85</v>
      </c>
      <c r="H271" s="167"/>
      <c r="I271" s="168"/>
      <c r="J271" s="169"/>
      <c r="K271" s="169"/>
      <c r="L271" s="188"/>
    </row>
    <row r="272" spans="1:12" s="164" customFormat="1" ht="12.75">
      <c r="A272" s="442"/>
      <c r="B272" s="462"/>
      <c r="C272" s="463"/>
      <c r="D272" s="465"/>
      <c r="E272" s="457"/>
      <c r="F272" s="171" t="s">
        <v>18</v>
      </c>
      <c r="G272" s="166" t="s">
        <v>86</v>
      </c>
      <c r="H272" s="167"/>
      <c r="I272" s="168"/>
      <c r="J272" s="169"/>
      <c r="K272" s="169"/>
      <c r="L272" s="188"/>
    </row>
    <row r="273" spans="1:12" s="164" customFormat="1" ht="12.75">
      <c r="A273" s="442"/>
      <c r="B273" s="462"/>
      <c r="C273" s="463"/>
      <c r="D273" s="465"/>
      <c r="E273" s="460">
        <v>2013</v>
      </c>
      <c r="F273" s="458">
        <v>2200000</v>
      </c>
      <c r="G273" s="166" t="s">
        <v>19</v>
      </c>
      <c r="H273" s="167"/>
      <c r="I273" s="168"/>
      <c r="J273" s="169"/>
      <c r="K273" s="169"/>
      <c r="L273" s="188"/>
    </row>
    <row r="274" spans="1:12" s="164" customFormat="1" ht="12.75">
      <c r="A274" s="442"/>
      <c r="B274" s="462"/>
      <c r="C274" s="463"/>
      <c r="D274" s="465"/>
      <c r="E274" s="456"/>
      <c r="F274" s="459"/>
      <c r="G274" s="166" t="s">
        <v>21</v>
      </c>
      <c r="H274" s="167"/>
      <c r="I274" s="168"/>
      <c r="J274" s="169"/>
      <c r="K274" s="169"/>
      <c r="L274" s="188"/>
    </row>
    <row r="275" spans="1:12" s="164" customFormat="1" ht="12.75">
      <c r="A275" s="442"/>
      <c r="B275" s="462"/>
      <c r="C275" s="463"/>
      <c r="D275" s="465"/>
      <c r="E275" s="456"/>
      <c r="F275" s="171" t="s">
        <v>22</v>
      </c>
      <c r="G275" s="166" t="s">
        <v>23</v>
      </c>
      <c r="H275" s="172">
        <f aca="true" t="shared" si="32" ref="H275:J276">H269+H271+H273</f>
        <v>0</v>
      </c>
      <c r="I275" s="173">
        <f t="shared" si="32"/>
        <v>0</v>
      </c>
      <c r="J275" s="174">
        <f t="shared" si="32"/>
        <v>0</v>
      </c>
      <c r="K275" s="174">
        <f>K269+K271+K273</f>
        <v>0</v>
      </c>
      <c r="L275" s="189"/>
    </row>
    <row r="276" spans="1:12" s="164" customFormat="1" ht="13.5" thickBot="1">
      <c r="A276" s="443"/>
      <c r="B276" s="467"/>
      <c r="C276" s="469"/>
      <c r="D276" s="470"/>
      <c r="E276" s="461"/>
      <c r="F276" s="176">
        <f>F270+F273</f>
        <v>2200000</v>
      </c>
      <c r="G276" s="190" t="s">
        <v>24</v>
      </c>
      <c r="H276" s="178">
        <f t="shared" si="32"/>
        <v>0</v>
      </c>
      <c r="I276" s="191">
        <f t="shared" si="32"/>
        <v>700000</v>
      </c>
      <c r="J276" s="192">
        <f t="shared" si="32"/>
        <v>699539</v>
      </c>
      <c r="K276" s="192">
        <f>K270+K272+K274</f>
        <v>699539</v>
      </c>
      <c r="L276" s="193">
        <f>L270</f>
        <v>0.31797227272727274</v>
      </c>
    </row>
    <row r="277" spans="1:12" s="164" customFormat="1" ht="12.75" customHeight="1">
      <c r="A277" s="441">
        <v>35</v>
      </c>
      <c r="B277" s="466" t="s">
        <v>176</v>
      </c>
      <c r="C277" s="468">
        <v>90015</v>
      </c>
      <c r="D277" s="464" t="s">
        <v>162</v>
      </c>
      <c r="E277" s="455">
        <v>2011</v>
      </c>
      <c r="F277" s="182" t="s">
        <v>15</v>
      </c>
      <c r="G277" s="183" t="s">
        <v>16</v>
      </c>
      <c r="H277" s="184"/>
      <c r="I277" s="185"/>
      <c r="J277" s="186"/>
      <c r="K277" s="186"/>
      <c r="L277" s="187"/>
    </row>
    <row r="278" spans="1:12" s="164" customFormat="1" ht="12.75">
      <c r="A278" s="442"/>
      <c r="B278" s="462"/>
      <c r="C278" s="463"/>
      <c r="D278" s="465"/>
      <c r="E278" s="456"/>
      <c r="F278" s="458">
        <f>SUM(H283:L283)</f>
        <v>0</v>
      </c>
      <c r="G278" s="166" t="s">
        <v>17</v>
      </c>
      <c r="H278" s="167"/>
      <c r="I278" s="168">
        <v>200000</v>
      </c>
      <c r="J278" s="169">
        <v>79770</v>
      </c>
      <c r="K278" s="169">
        <f>SUM(H278,J278)</f>
        <v>79770</v>
      </c>
      <c r="L278" s="188">
        <f>K278/F284</f>
        <v>0.15954</v>
      </c>
    </row>
    <row r="279" spans="1:12" s="164" customFormat="1" ht="12.75">
      <c r="A279" s="442"/>
      <c r="B279" s="462"/>
      <c r="C279" s="463"/>
      <c r="D279" s="465"/>
      <c r="E279" s="456"/>
      <c r="F279" s="459"/>
      <c r="G279" s="166" t="s">
        <v>85</v>
      </c>
      <c r="H279" s="167"/>
      <c r="I279" s="168"/>
      <c r="J279" s="169"/>
      <c r="K279" s="169"/>
      <c r="L279" s="188"/>
    </row>
    <row r="280" spans="1:12" s="164" customFormat="1" ht="12.75">
      <c r="A280" s="442"/>
      <c r="B280" s="462"/>
      <c r="C280" s="463"/>
      <c r="D280" s="465"/>
      <c r="E280" s="457"/>
      <c r="F280" s="171" t="s">
        <v>18</v>
      </c>
      <c r="G280" s="166" t="s">
        <v>86</v>
      </c>
      <c r="H280" s="167"/>
      <c r="I280" s="168"/>
      <c r="J280" s="169"/>
      <c r="K280" s="169"/>
      <c r="L280" s="188"/>
    </row>
    <row r="281" spans="1:12" s="164" customFormat="1" ht="12.75">
      <c r="A281" s="442"/>
      <c r="B281" s="462"/>
      <c r="C281" s="463"/>
      <c r="D281" s="465"/>
      <c r="E281" s="460">
        <v>2013</v>
      </c>
      <c r="F281" s="458">
        <v>500000</v>
      </c>
      <c r="G281" s="166" t="s">
        <v>19</v>
      </c>
      <c r="H281" s="167"/>
      <c r="I281" s="168"/>
      <c r="J281" s="169"/>
      <c r="K281" s="169"/>
      <c r="L281" s="188"/>
    </row>
    <row r="282" spans="1:12" s="164" customFormat="1" ht="12.75">
      <c r="A282" s="442"/>
      <c r="B282" s="462"/>
      <c r="C282" s="463"/>
      <c r="D282" s="465"/>
      <c r="E282" s="456"/>
      <c r="F282" s="459"/>
      <c r="G282" s="166" t="s">
        <v>21</v>
      </c>
      <c r="H282" s="167"/>
      <c r="I282" s="168"/>
      <c r="J282" s="169"/>
      <c r="K282" s="169"/>
      <c r="L282" s="188"/>
    </row>
    <row r="283" spans="1:12" s="164" customFormat="1" ht="12.75">
      <c r="A283" s="442"/>
      <c r="B283" s="462"/>
      <c r="C283" s="463"/>
      <c r="D283" s="465"/>
      <c r="E283" s="456"/>
      <c r="F283" s="171" t="s">
        <v>22</v>
      </c>
      <c r="G283" s="166" t="s">
        <v>23</v>
      </c>
      <c r="H283" s="172">
        <f aca="true" t="shared" si="33" ref="H283:J284">H277+H279+H281</f>
        <v>0</v>
      </c>
      <c r="I283" s="173">
        <f t="shared" si="33"/>
        <v>0</v>
      </c>
      <c r="J283" s="174">
        <f t="shared" si="33"/>
        <v>0</v>
      </c>
      <c r="K283" s="174">
        <f>K277+K279+K281</f>
        <v>0</v>
      </c>
      <c r="L283" s="189"/>
    </row>
    <row r="284" spans="1:12" s="164" customFormat="1" ht="13.5" thickBot="1">
      <c r="A284" s="442"/>
      <c r="B284" s="467"/>
      <c r="C284" s="469"/>
      <c r="D284" s="470"/>
      <c r="E284" s="461"/>
      <c r="F284" s="176">
        <f>F278+F281</f>
        <v>500000</v>
      </c>
      <c r="G284" s="190" t="s">
        <v>24</v>
      </c>
      <c r="H284" s="178">
        <f t="shared" si="33"/>
        <v>0</v>
      </c>
      <c r="I284" s="191">
        <f t="shared" si="33"/>
        <v>200000</v>
      </c>
      <c r="J284" s="192">
        <f t="shared" si="33"/>
        <v>79770</v>
      </c>
      <c r="K284" s="192">
        <f>K278+K280+K282</f>
        <v>79770</v>
      </c>
      <c r="L284" s="193">
        <f>L278</f>
        <v>0.15954</v>
      </c>
    </row>
    <row r="285" spans="1:12" s="164" customFormat="1" ht="12.75" customHeight="1">
      <c r="A285" s="441">
        <v>36</v>
      </c>
      <c r="B285" s="466" t="s">
        <v>191</v>
      </c>
      <c r="C285" s="468">
        <v>90095</v>
      </c>
      <c r="D285" s="464" t="s">
        <v>162</v>
      </c>
      <c r="E285" s="455">
        <v>2011</v>
      </c>
      <c r="F285" s="182" t="s">
        <v>15</v>
      </c>
      <c r="G285" s="183" t="s">
        <v>16</v>
      </c>
      <c r="H285" s="184"/>
      <c r="I285" s="185"/>
      <c r="J285" s="186"/>
      <c r="K285" s="186"/>
      <c r="L285" s="187"/>
    </row>
    <row r="286" spans="1:12" s="164" customFormat="1" ht="12.75">
      <c r="A286" s="442"/>
      <c r="B286" s="462"/>
      <c r="C286" s="463"/>
      <c r="D286" s="465"/>
      <c r="E286" s="456"/>
      <c r="F286" s="458">
        <f>SUM(H291:L291)</f>
        <v>0</v>
      </c>
      <c r="G286" s="166" t="s">
        <v>17</v>
      </c>
      <c r="H286" s="167"/>
      <c r="I286" s="168">
        <f>50000-45000</f>
        <v>5000</v>
      </c>
      <c r="J286" s="169">
        <v>2500</v>
      </c>
      <c r="K286" s="169">
        <f>SUM(H286,J286)</f>
        <v>2500</v>
      </c>
      <c r="L286" s="188">
        <f>K286/F292</f>
        <v>0.00980392156862745</v>
      </c>
    </row>
    <row r="287" spans="1:12" s="164" customFormat="1" ht="12.75">
      <c r="A287" s="442"/>
      <c r="B287" s="462"/>
      <c r="C287" s="463"/>
      <c r="D287" s="465"/>
      <c r="E287" s="456"/>
      <c r="F287" s="459"/>
      <c r="G287" s="166" t="s">
        <v>85</v>
      </c>
      <c r="H287" s="167"/>
      <c r="I287" s="168"/>
      <c r="J287" s="169"/>
      <c r="K287" s="169"/>
      <c r="L287" s="188"/>
    </row>
    <row r="288" spans="1:12" s="164" customFormat="1" ht="12.75">
      <c r="A288" s="442"/>
      <c r="B288" s="462"/>
      <c r="C288" s="463"/>
      <c r="D288" s="465"/>
      <c r="E288" s="457"/>
      <c r="F288" s="171" t="s">
        <v>18</v>
      </c>
      <c r="G288" s="166" t="s">
        <v>86</v>
      </c>
      <c r="H288" s="167"/>
      <c r="I288" s="168"/>
      <c r="J288" s="169"/>
      <c r="K288" s="169"/>
      <c r="L288" s="188"/>
    </row>
    <row r="289" spans="1:12" s="164" customFormat="1" ht="12.75">
      <c r="A289" s="442"/>
      <c r="B289" s="462"/>
      <c r="C289" s="463"/>
      <c r="D289" s="465"/>
      <c r="E289" s="460">
        <v>2013</v>
      </c>
      <c r="F289" s="458">
        <v>255000</v>
      </c>
      <c r="G289" s="166" t="s">
        <v>19</v>
      </c>
      <c r="H289" s="167"/>
      <c r="I289" s="168"/>
      <c r="J289" s="169"/>
      <c r="K289" s="169"/>
      <c r="L289" s="188"/>
    </row>
    <row r="290" spans="1:12" s="164" customFormat="1" ht="12.75">
      <c r="A290" s="442"/>
      <c r="B290" s="462"/>
      <c r="C290" s="463"/>
      <c r="D290" s="465"/>
      <c r="E290" s="456"/>
      <c r="F290" s="459"/>
      <c r="G290" s="166" t="s">
        <v>21</v>
      </c>
      <c r="H290" s="167"/>
      <c r="I290" s="168"/>
      <c r="J290" s="169"/>
      <c r="K290" s="169"/>
      <c r="L290" s="188"/>
    </row>
    <row r="291" spans="1:12" s="164" customFormat="1" ht="12.75">
      <c r="A291" s="442"/>
      <c r="B291" s="462"/>
      <c r="C291" s="463"/>
      <c r="D291" s="465"/>
      <c r="E291" s="456"/>
      <c r="F291" s="171" t="s">
        <v>22</v>
      </c>
      <c r="G291" s="166" t="s">
        <v>23</v>
      </c>
      <c r="H291" s="172">
        <f aca="true" t="shared" si="34" ref="H291:K292">H285+H287+H289</f>
        <v>0</v>
      </c>
      <c r="I291" s="173">
        <f t="shared" si="34"/>
        <v>0</v>
      </c>
      <c r="J291" s="174">
        <f t="shared" si="34"/>
        <v>0</v>
      </c>
      <c r="K291" s="174">
        <f t="shared" si="34"/>
        <v>0</v>
      </c>
      <c r="L291" s="189"/>
    </row>
    <row r="292" spans="1:12" s="164" customFormat="1" ht="13.5" thickBot="1">
      <c r="A292" s="443"/>
      <c r="B292" s="467"/>
      <c r="C292" s="469"/>
      <c r="D292" s="470"/>
      <c r="E292" s="461"/>
      <c r="F292" s="176">
        <f>F286+F289</f>
        <v>255000</v>
      </c>
      <c r="G292" s="190" t="s">
        <v>24</v>
      </c>
      <c r="H292" s="178">
        <f t="shared" si="34"/>
        <v>0</v>
      </c>
      <c r="I292" s="191">
        <f t="shared" si="34"/>
        <v>5000</v>
      </c>
      <c r="J292" s="192">
        <f t="shared" si="34"/>
        <v>2500</v>
      </c>
      <c r="K292" s="192">
        <f t="shared" si="34"/>
        <v>2500</v>
      </c>
      <c r="L292" s="193">
        <f>L286</f>
        <v>0.00980392156862745</v>
      </c>
    </row>
    <row r="293" spans="1:12" s="164" customFormat="1" ht="12.75" customHeight="1">
      <c r="A293" s="441">
        <v>37</v>
      </c>
      <c r="B293" s="466" t="s">
        <v>192</v>
      </c>
      <c r="C293" s="468">
        <v>90095</v>
      </c>
      <c r="D293" s="464" t="s">
        <v>162</v>
      </c>
      <c r="E293" s="455">
        <v>2011</v>
      </c>
      <c r="F293" s="182" t="s">
        <v>15</v>
      </c>
      <c r="G293" s="183" t="s">
        <v>16</v>
      </c>
      <c r="H293" s="184"/>
      <c r="I293" s="185"/>
      <c r="J293" s="186"/>
      <c r="K293" s="186"/>
      <c r="L293" s="187"/>
    </row>
    <row r="294" spans="1:12" s="164" customFormat="1" ht="12.75">
      <c r="A294" s="442"/>
      <c r="B294" s="462"/>
      <c r="C294" s="463"/>
      <c r="D294" s="465"/>
      <c r="E294" s="456"/>
      <c r="F294" s="458">
        <f>SUM(H299:L299)</f>
        <v>0</v>
      </c>
      <c r="G294" s="166" t="s">
        <v>17</v>
      </c>
      <c r="H294" s="167"/>
      <c r="I294" s="168">
        <v>500000</v>
      </c>
      <c r="J294" s="169">
        <v>0</v>
      </c>
      <c r="K294" s="169">
        <f>SUM(H294,J294)</f>
        <v>0</v>
      </c>
      <c r="L294" s="188">
        <f>K294/F300</f>
        <v>0</v>
      </c>
    </row>
    <row r="295" spans="1:12" s="164" customFormat="1" ht="12.75">
      <c r="A295" s="442"/>
      <c r="B295" s="462"/>
      <c r="C295" s="463"/>
      <c r="D295" s="465"/>
      <c r="E295" s="456"/>
      <c r="F295" s="459"/>
      <c r="G295" s="166" t="s">
        <v>85</v>
      </c>
      <c r="H295" s="167"/>
      <c r="I295" s="168"/>
      <c r="J295" s="169"/>
      <c r="K295" s="169"/>
      <c r="L295" s="188"/>
    </row>
    <row r="296" spans="1:12" s="164" customFormat="1" ht="12.75">
      <c r="A296" s="442"/>
      <c r="B296" s="462"/>
      <c r="C296" s="463"/>
      <c r="D296" s="465"/>
      <c r="E296" s="457"/>
      <c r="F296" s="171" t="s">
        <v>18</v>
      </c>
      <c r="G296" s="166" t="s">
        <v>86</v>
      </c>
      <c r="H296" s="167"/>
      <c r="I296" s="168"/>
      <c r="J296" s="169"/>
      <c r="K296" s="169"/>
      <c r="L296" s="188"/>
    </row>
    <row r="297" spans="1:12" s="164" customFormat="1" ht="12.75">
      <c r="A297" s="442"/>
      <c r="B297" s="462"/>
      <c r="C297" s="463"/>
      <c r="D297" s="465"/>
      <c r="E297" s="460">
        <v>2012</v>
      </c>
      <c r="F297" s="458">
        <v>2200000</v>
      </c>
      <c r="G297" s="166" t="s">
        <v>19</v>
      </c>
      <c r="H297" s="167"/>
      <c r="I297" s="168"/>
      <c r="J297" s="169"/>
      <c r="K297" s="169"/>
      <c r="L297" s="188"/>
    </row>
    <row r="298" spans="1:12" s="164" customFormat="1" ht="12.75">
      <c r="A298" s="442"/>
      <c r="B298" s="462"/>
      <c r="C298" s="463"/>
      <c r="D298" s="465"/>
      <c r="E298" s="456"/>
      <c r="F298" s="459"/>
      <c r="G298" s="166" t="s">
        <v>21</v>
      </c>
      <c r="H298" s="167"/>
      <c r="I298" s="168"/>
      <c r="J298" s="169"/>
      <c r="K298" s="169"/>
      <c r="L298" s="188"/>
    </row>
    <row r="299" spans="1:12" s="164" customFormat="1" ht="12.75">
      <c r="A299" s="442"/>
      <c r="B299" s="462"/>
      <c r="C299" s="463"/>
      <c r="D299" s="465"/>
      <c r="E299" s="456"/>
      <c r="F299" s="171" t="s">
        <v>22</v>
      </c>
      <c r="G299" s="166" t="s">
        <v>23</v>
      </c>
      <c r="H299" s="172">
        <f aca="true" t="shared" si="35" ref="H299:K300">H293+H295+H297</f>
        <v>0</v>
      </c>
      <c r="I299" s="173">
        <f t="shared" si="35"/>
        <v>0</v>
      </c>
      <c r="J299" s="174">
        <f t="shared" si="35"/>
        <v>0</v>
      </c>
      <c r="K299" s="174">
        <f t="shared" si="35"/>
        <v>0</v>
      </c>
      <c r="L299" s="189"/>
    </row>
    <row r="300" spans="1:12" s="164" customFormat="1" ht="13.5" thickBot="1">
      <c r="A300" s="442"/>
      <c r="B300" s="467"/>
      <c r="C300" s="469"/>
      <c r="D300" s="470"/>
      <c r="E300" s="461"/>
      <c r="F300" s="176">
        <f>F294+F297</f>
        <v>2200000</v>
      </c>
      <c r="G300" s="190" t="s">
        <v>24</v>
      </c>
      <c r="H300" s="178">
        <f t="shared" si="35"/>
        <v>0</v>
      </c>
      <c r="I300" s="191">
        <f t="shared" si="35"/>
        <v>500000</v>
      </c>
      <c r="J300" s="192">
        <f t="shared" si="35"/>
        <v>0</v>
      </c>
      <c r="K300" s="192">
        <f t="shared" si="35"/>
        <v>0</v>
      </c>
      <c r="L300" s="193">
        <f>L294</f>
        <v>0</v>
      </c>
    </row>
    <row r="301" spans="1:12" s="164" customFormat="1" ht="12.75" customHeight="1">
      <c r="A301" s="441">
        <v>38</v>
      </c>
      <c r="B301" s="466" t="s">
        <v>193</v>
      </c>
      <c r="C301" s="468">
        <v>90095</v>
      </c>
      <c r="D301" s="464" t="s">
        <v>162</v>
      </c>
      <c r="E301" s="455">
        <v>2011</v>
      </c>
      <c r="F301" s="182" t="s">
        <v>15</v>
      </c>
      <c r="G301" s="183" t="s">
        <v>16</v>
      </c>
      <c r="H301" s="184"/>
      <c r="I301" s="185"/>
      <c r="J301" s="186"/>
      <c r="K301" s="186"/>
      <c r="L301" s="187"/>
    </row>
    <row r="302" spans="1:12" s="164" customFormat="1" ht="12.75">
      <c r="A302" s="442"/>
      <c r="B302" s="462"/>
      <c r="C302" s="463"/>
      <c r="D302" s="465"/>
      <c r="E302" s="456"/>
      <c r="F302" s="458">
        <f>SUM(H307:L307)</f>
        <v>0</v>
      </c>
      <c r="G302" s="166" t="s">
        <v>17</v>
      </c>
      <c r="H302" s="167"/>
      <c r="I302" s="168">
        <v>500000</v>
      </c>
      <c r="J302" s="169">
        <v>397019</v>
      </c>
      <c r="K302" s="169">
        <f>SUM(H302,J302)</f>
        <v>397019</v>
      </c>
      <c r="L302" s="188">
        <f>K302/F308</f>
        <v>0.2646793333333333</v>
      </c>
    </row>
    <row r="303" spans="1:12" s="164" customFormat="1" ht="12.75">
      <c r="A303" s="442"/>
      <c r="B303" s="462"/>
      <c r="C303" s="463"/>
      <c r="D303" s="465"/>
      <c r="E303" s="456"/>
      <c r="F303" s="459"/>
      <c r="G303" s="166" t="s">
        <v>85</v>
      </c>
      <c r="H303" s="167"/>
      <c r="I303" s="168"/>
      <c r="J303" s="169"/>
      <c r="K303" s="169"/>
      <c r="L303" s="188"/>
    </row>
    <row r="304" spans="1:12" s="164" customFormat="1" ht="12.75">
      <c r="A304" s="442"/>
      <c r="B304" s="462"/>
      <c r="C304" s="463"/>
      <c r="D304" s="465"/>
      <c r="E304" s="457"/>
      <c r="F304" s="171" t="s">
        <v>18</v>
      </c>
      <c r="G304" s="166" t="s">
        <v>86</v>
      </c>
      <c r="H304" s="167"/>
      <c r="I304" s="168"/>
      <c r="J304" s="169"/>
      <c r="K304" s="169"/>
      <c r="L304" s="188"/>
    </row>
    <row r="305" spans="1:12" s="164" customFormat="1" ht="12.75">
      <c r="A305" s="442"/>
      <c r="B305" s="462"/>
      <c r="C305" s="463"/>
      <c r="D305" s="465"/>
      <c r="E305" s="460">
        <v>2012</v>
      </c>
      <c r="F305" s="458">
        <v>1500000</v>
      </c>
      <c r="G305" s="166" t="s">
        <v>19</v>
      </c>
      <c r="H305" s="167"/>
      <c r="I305" s="168"/>
      <c r="J305" s="169"/>
      <c r="K305" s="169"/>
      <c r="L305" s="188"/>
    </row>
    <row r="306" spans="1:12" s="164" customFormat="1" ht="12.75">
      <c r="A306" s="442"/>
      <c r="B306" s="462"/>
      <c r="C306" s="463"/>
      <c r="D306" s="465"/>
      <c r="E306" s="456"/>
      <c r="F306" s="459"/>
      <c r="G306" s="166" t="s">
        <v>21</v>
      </c>
      <c r="H306" s="167"/>
      <c r="I306" s="168"/>
      <c r="J306" s="169"/>
      <c r="K306" s="169"/>
      <c r="L306" s="188"/>
    </row>
    <row r="307" spans="1:12" s="164" customFormat="1" ht="12.75">
      <c r="A307" s="442"/>
      <c r="B307" s="462"/>
      <c r="C307" s="463"/>
      <c r="D307" s="465"/>
      <c r="E307" s="456"/>
      <c r="F307" s="171" t="s">
        <v>22</v>
      </c>
      <c r="G307" s="166" t="s">
        <v>23</v>
      </c>
      <c r="H307" s="172">
        <f aca="true" t="shared" si="36" ref="H307:J308">H301+H303+H305</f>
        <v>0</v>
      </c>
      <c r="I307" s="173">
        <f t="shared" si="36"/>
        <v>0</v>
      </c>
      <c r="J307" s="174">
        <f t="shared" si="36"/>
        <v>0</v>
      </c>
      <c r="K307" s="174">
        <f>K301+K303+K305</f>
        <v>0</v>
      </c>
      <c r="L307" s="189"/>
    </row>
    <row r="308" spans="1:12" s="164" customFormat="1" ht="13.5" thickBot="1">
      <c r="A308" s="443"/>
      <c r="B308" s="467"/>
      <c r="C308" s="469"/>
      <c r="D308" s="470"/>
      <c r="E308" s="461"/>
      <c r="F308" s="176">
        <f>F302+F305</f>
        <v>1500000</v>
      </c>
      <c r="G308" s="190" t="s">
        <v>24</v>
      </c>
      <c r="H308" s="178">
        <f t="shared" si="36"/>
        <v>0</v>
      </c>
      <c r="I308" s="191">
        <f t="shared" si="36"/>
        <v>500000</v>
      </c>
      <c r="J308" s="192">
        <f t="shared" si="36"/>
        <v>397019</v>
      </c>
      <c r="K308" s="192">
        <f>K302+K304+K306</f>
        <v>397019</v>
      </c>
      <c r="L308" s="193">
        <f>L302</f>
        <v>0.2646793333333333</v>
      </c>
    </row>
    <row r="309" spans="1:12" s="164" customFormat="1" ht="12.75" customHeight="1">
      <c r="A309" s="441">
        <v>39</v>
      </c>
      <c r="B309" s="462" t="s">
        <v>194</v>
      </c>
      <c r="C309" s="463">
        <v>92106</v>
      </c>
      <c r="D309" s="464" t="s">
        <v>162</v>
      </c>
      <c r="E309" s="456">
        <v>2010</v>
      </c>
      <c r="F309" s="182" t="s">
        <v>15</v>
      </c>
      <c r="G309" s="158" t="s">
        <v>16</v>
      </c>
      <c r="H309" s="184"/>
      <c r="I309" s="160"/>
      <c r="J309" s="161"/>
      <c r="K309" s="186"/>
      <c r="L309" s="187"/>
    </row>
    <row r="310" spans="1:12" s="164" customFormat="1" ht="12.75">
      <c r="A310" s="442"/>
      <c r="B310" s="462"/>
      <c r="C310" s="463"/>
      <c r="D310" s="465"/>
      <c r="E310" s="456"/>
      <c r="F310" s="458">
        <f>SUM(H315:L315)</f>
        <v>0</v>
      </c>
      <c r="G310" s="166" t="s">
        <v>17</v>
      </c>
      <c r="H310" s="167">
        <v>910400</v>
      </c>
      <c r="I310" s="168">
        <f>5659967-2300000+259463</f>
        <v>3619430</v>
      </c>
      <c r="J310" s="169">
        <v>3619430</v>
      </c>
      <c r="K310" s="169">
        <f>SUM(H310,J310)</f>
        <v>4529830</v>
      </c>
      <c r="L310" s="188">
        <f>K310/F316</f>
        <v>0.3551859566277364</v>
      </c>
    </row>
    <row r="311" spans="1:12" s="164" customFormat="1" ht="12.75">
      <c r="A311" s="442"/>
      <c r="B311" s="462"/>
      <c r="C311" s="463"/>
      <c r="D311" s="465"/>
      <c r="E311" s="456"/>
      <c r="F311" s="459"/>
      <c r="G311" s="166" t="s">
        <v>85</v>
      </c>
      <c r="H311" s="167"/>
      <c r="I311" s="168"/>
      <c r="J311" s="169"/>
      <c r="K311" s="169"/>
      <c r="L311" s="188"/>
    </row>
    <row r="312" spans="1:12" s="164" customFormat="1" ht="12.75">
      <c r="A312" s="442"/>
      <c r="B312" s="462"/>
      <c r="C312" s="463"/>
      <c r="D312" s="465"/>
      <c r="E312" s="457"/>
      <c r="F312" s="171" t="s">
        <v>18</v>
      </c>
      <c r="G312" s="166" t="s">
        <v>86</v>
      </c>
      <c r="H312" s="167"/>
      <c r="I312" s="168"/>
      <c r="J312" s="169"/>
      <c r="K312" s="169"/>
      <c r="L312" s="188"/>
    </row>
    <row r="313" spans="1:12" s="164" customFormat="1" ht="12.75">
      <c r="A313" s="442"/>
      <c r="B313" s="462"/>
      <c r="C313" s="463"/>
      <c r="D313" s="465"/>
      <c r="E313" s="460">
        <v>2013</v>
      </c>
      <c r="F313" s="458">
        <v>12753404</v>
      </c>
      <c r="G313" s="166" t="s">
        <v>19</v>
      </c>
      <c r="H313" s="167"/>
      <c r="I313" s="168"/>
      <c r="J313" s="169"/>
      <c r="K313" s="169"/>
      <c r="L313" s="188"/>
    </row>
    <row r="314" spans="1:12" s="164" customFormat="1" ht="12.75">
      <c r="A314" s="442"/>
      <c r="B314" s="462"/>
      <c r="C314" s="463"/>
      <c r="D314" s="465"/>
      <c r="E314" s="456"/>
      <c r="F314" s="459"/>
      <c r="G314" s="166" t="s">
        <v>21</v>
      </c>
      <c r="H314" s="167"/>
      <c r="I314" s="168"/>
      <c r="J314" s="169"/>
      <c r="K314" s="169"/>
      <c r="L314" s="188"/>
    </row>
    <row r="315" spans="1:12" s="164" customFormat="1" ht="12.75">
      <c r="A315" s="442"/>
      <c r="B315" s="462"/>
      <c r="C315" s="463"/>
      <c r="D315" s="465"/>
      <c r="E315" s="456"/>
      <c r="F315" s="171" t="s">
        <v>22</v>
      </c>
      <c r="G315" s="166" t="s">
        <v>23</v>
      </c>
      <c r="H315" s="172">
        <f aca="true" t="shared" si="37" ref="H315:K316">H309+H311+H313</f>
        <v>0</v>
      </c>
      <c r="I315" s="173">
        <f t="shared" si="37"/>
        <v>0</v>
      </c>
      <c r="J315" s="174">
        <f t="shared" si="37"/>
        <v>0</v>
      </c>
      <c r="K315" s="174">
        <f t="shared" si="37"/>
        <v>0</v>
      </c>
      <c r="L315" s="189"/>
    </row>
    <row r="316" spans="1:12" s="164" customFormat="1" ht="13.5" thickBot="1">
      <c r="A316" s="442"/>
      <c r="B316" s="462"/>
      <c r="C316" s="463"/>
      <c r="D316" s="465"/>
      <c r="E316" s="456"/>
      <c r="F316" s="176">
        <f>F310+F313</f>
        <v>12753404</v>
      </c>
      <c r="G316" s="177" t="s">
        <v>24</v>
      </c>
      <c r="H316" s="178">
        <f t="shared" si="37"/>
        <v>910400</v>
      </c>
      <c r="I316" s="179">
        <f t="shared" si="37"/>
        <v>3619430</v>
      </c>
      <c r="J316" s="180">
        <f t="shared" si="37"/>
        <v>3619430</v>
      </c>
      <c r="K316" s="192">
        <f t="shared" si="37"/>
        <v>4529830</v>
      </c>
      <c r="L316" s="193">
        <f>L310</f>
        <v>0.3551859566277364</v>
      </c>
    </row>
    <row r="317" spans="1:12" s="164" customFormat="1" ht="12.75" customHeight="1">
      <c r="A317" s="441">
        <v>40</v>
      </c>
      <c r="B317" s="466" t="s">
        <v>195</v>
      </c>
      <c r="C317" s="468">
        <v>92109</v>
      </c>
      <c r="D317" s="464" t="s">
        <v>162</v>
      </c>
      <c r="E317" s="455">
        <v>2007</v>
      </c>
      <c r="F317" s="182" t="s">
        <v>15</v>
      </c>
      <c r="G317" s="183" t="s">
        <v>16</v>
      </c>
      <c r="H317" s="184"/>
      <c r="I317" s="185"/>
      <c r="J317" s="186"/>
      <c r="K317" s="186"/>
      <c r="L317" s="187"/>
    </row>
    <row r="318" spans="1:12" s="164" customFormat="1" ht="12.75">
      <c r="A318" s="442"/>
      <c r="B318" s="462"/>
      <c r="C318" s="463"/>
      <c r="D318" s="465"/>
      <c r="E318" s="456"/>
      <c r="F318" s="458">
        <f>SUM(H323:L323)</f>
        <v>0</v>
      </c>
      <c r="G318" s="166" t="s">
        <v>17</v>
      </c>
      <c r="H318" s="167">
        <v>9265253</v>
      </c>
      <c r="I318" s="168">
        <f>100000+800000</f>
        <v>900000</v>
      </c>
      <c r="J318" s="169">
        <v>575316</v>
      </c>
      <c r="K318" s="169">
        <f>SUM(H318,J318)</f>
        <v>9840569</v>
      </c>
      <c r="L318" s="188">
        <f>K318/F324</f>
        <v>0.9680594275420396</v>
      </c>
    </row>
    <row r="319" spans="1:12" s="164" customFormat="1" ht="12.75">
      <c r="A319" s="442"/>
      <c r="B319" s="462"/>
      <c r="C319" s="463"/>
      <c r="D319" s="465"/>
      <c r="E319" s="456"/>
      <c r="F319" s="459"/>
      <c r="G319" s="166" t="s">
        <v>85</v>
      </c>
      <c r="H319" s="167"/>
      <c r="I319" s="168"/>
      <c r="J319" s="169"/>
      <c r="K319" s="169"/>
      <c r="L319" s="188"/>
    </row>
    <row r="320" spans="1:12" s="164" customFormat="1" ht="12.75">
      <c r="A320" s="442"/>
      <c r="B320" s="462"/>
      <c r="C320" s="463"/>
      <c r="D320" s="465"/>
      <c r="E320" s="457"/>
      <c r="F320" s="171" t="s">
        <v>18</v>
      </c>
      <c r="G320" s="166" t="s">
        <v>86</v>
      </c>
      <c r="H320" s="167"/>
      <c r="I320" s="168"/>
      <c r="J320" s="169"/>
      <c r="K320" s="169"/>
      <c r="L320" s="188"/>
    </row>
    <row r="321" spans="1:12" s="164" customFormat="1" ht="12.75">
      <c r="A321" s="442"/>
      <c r="B321" s="462"/>
      <c r="C321" s="463"/>
      <c r="D321" s="465"/>
      <c r="E321" s="460">
        <v>2011</v>
      </c>
      <c r="F321" s="458">
        <v>10165253</v>
      </c>
      <c r="G321" s="166" t="s">
        <v>19</v>
      </c>
      <c r="H321" s="167"/>
      <c r="I321" s="168"/>
      <c r="J321" s="169"/>
      <c r="K321" s="169"/>
      <c r="L321" s="188"/>
    </row>
    <row r="322" spans="1:12" s="164" customFormat="1" ht="12.75">
      <c r="A322" s="442"/>
      <c r="B322" s="462"/>
      <c r="C322" s="463"/>
      <c r="D322" s="465"/>
      <c r="E322" s="456"/>
      <c r="F322" s="459"/>
      <c r="G322" s="166" t="s">
        <v>21</v>
      </c>
      <c r="H322" s="167"/>
      <c r="I322" s="168"/>
      <c r="J322" s="169"/>
      <c r="K322" s="169"/>
      <c r="L322" s="188"/>
    </row>
    <row r="323" spans="1:12" s="164" customFormat="1" ht="12.75">
      <c r="A323" s="442"/>
      <c r="B323" s="462"/>
      <c r="C323" s="463"/>
      <c r="D323" s="465"/>
      <c r="E323" s="456"/>
      <c r="F323" s="171" t="s">
        <v>22</v>
      </c>
      <c r="G323" s="166" t="s">
        <v>23</v>
      </c>
      <c r="H323" s="172">
        <f aca="true" t="shared" si="38" ref="H323:K324">H317+H319+H321</f>
        <v>0</v>
      </c>
      <c r="I323" s="173">
        <f t="shared" si="38"/>
        <v>0</v>
      </c>
      <c r="J323" s="174">
        <f t="shared" si="38"/>
        <v>0</v>
      </c>
      <c r="K323" s="174">
        <f t="shared" si="38"/>
        <v>0</v>
      </c>
      <c r="L323" s="189"/>
    </row>
    <row r="324" spans="1:12" s="164" customFormat="1" ht="13.5" thickBot="1">
      <c r="A324" s="443"/>
      <c r="B324" s="467"/>
      <c r="C324" s="469"/>
      <c r="D324" s="470"/>
      <c r="E324" s="461"/>
      <c r="F324" s="176">
        <f>F318+F321</f>
        <v>10165253</v>
      </c>
      <c r="G324" s="190" t="s">
        <v>24</v>
      </c>
      <c r="H324" s="178">
        <f t="shared" si="38"/>
        <v>9265253</v>
      </c>
      <c r="I324" s="191">
        <f t="shared" si="38"/>
        <v>900000</v>
      </c>
      <c r="J324" s="192">
        <f t="shared" si="38"/>
        <v>575316</v>
      </c>
      <c r="K324" s="192">
        <f t="shared" si="38"/>
        <v>9840569</v>
      </c>
      <c r="L324" s="193">
        <f>L318</f>
        <v>0.9680594275420396</v>
      </c>
    </row>
    <row r="325" spans="1:12" s="164" customFormat="1" ht="12.75" customHeight="1">
      <c r="A325" s="441">
        <v>41</v>
      </c>
      <c r="B325" s="466" t="s">
        <v>196</v>
      </c>
      <c r="C325" s="468">
        <v>92116</v>
      </c>
      <c r="D325" s="464" t="s">
        <v>162</v>
      </c>
      <c r="E325" s="455">
        <v>2011</v>
      </c>
      <c r="F325" s="182" t="s">
        <v>15</v>
      </c>
      <c r="G325" s="183" t="s">
        <v>16</v>
      </c>
      <c r="H325" s="184"/>
      <c r="I325" s="185"/>
      <c r="J325" s="186"/>
      <c r="K325" s="186"/>
      <c r="L325" s="187"/>
    </row>
    <row r="326" spans="1:12" s="164" customFormat="1" ht="12.75">
      <c r="A326" s="442"/>
      <c r="B326" s="462"/>
      <c r="C326" s="463"/>
      <c r="D326" s="465"/>
      <c r="E326" s="456"/>
      <c r="F326" s="458">
        <f>SUM(H331:L331)</f>
        <v>0</v>
      </c>
      <c r="G326" s="166" t="s">
        <v>17</v>
      </c>
      <c r="H326" s="167"/>
      <c r="I326" s="168">
        <f>100000+800000</f>
        <v>900000</v>
      </c>
      <c r="J326" s="169">
        <v>885778</v>
      </c>
      <c r="K326" s="169">
        <f>SUM(H326,J326)</f>
        <v>885778</v>
      </c>
      <c r="L326" s="188">
        <f>K326/F332</f>
        <v>0.8052527272727272</v>
      </c>
    </row>
    <row r="327" spans="1:12" s="164" customFormat="1" ht="12.75">
      <c r="A327" s="442"/>
      <c r="B327" s="462"/>
      <c r="C327" s="463"/>
      <c r="D327" s="465"/>
      <c r="E327" s="456"/>
      <c r="F327" s="459"/>
      <c r="G327" s="166" t="s">
        <v>85</v>
      </c>
      <c r="H327" s="167"/>
      <c r="I327" s="168"/>
      <c r="J327" s="169"/>
      <c r="K327" s="169"/>
      <c r="L327" s="188"/>
    </row>
    <row r="328" spans="1:12" s="164" customFormat="1" ht="12.75">
      <c r="A328" s="442"/>
      <c r="B328" s="462"/>
      <c r="C328" s="463"/>
      <c r="D328" s="465"/>
      <c r="E328" s="457"/>
      <c r="F328" s="171" t="s">
        <v>18</v>
      </c>
      <c r="G328" s="166" t="s">
        <v>86</v>
      </c>
      <c r="H328" s="167"/>
      <c r="I328" s="168"/>
      <c r="J328" s="169"/>
      <c r="K328" s="169"/>
      <c r="L328" s="188"/>
    </row>
    <row r="329" spans="1:12" s="164" customFormat="1" ht="12.75">
      <c r="A329" s="442"/>
      <c r="B329" s="462"/>
      <c r="C329" s="463"/>
      <c r="D329" s="465"/>
      <c r="E329" s="460">
        <v>2012</v>
      </c>
      <c r="F329" s="458">
        <v>1100000</v>
      </c>
      <c r="G329" s="166" t="s">
        <v>19</v>
      </c>
      <c r="H329" s="167"/>
      <c r="I329" s="168"/>
      <c r="J329" s="169"/>
      <c r="K329" s="169"/>
      <c r="L329" s="188"/>
    </row>
    <row r="330" spans="1:12" s="164" customFormat="1" ht="12.75">
      <c r="A330" s="442"/>
      <c r="B330" s="462"/>
      <c r="C330" s="463"/>
      <c r="D330" s="465"/>
      <c r="E330" s="456"/>
      <c r="F330" s="459"/>
      <c r="G330" s="166" t="s">
        <v>21</v>
      </c>
      <c r="H330" s="167"/>
      <c r="I330" s="168"/>
      <c r="J330" s="169"/>
      <c r="K330" s="169"/>
      <c r="L330" s="188"/>
    </row>
    <row r="331" spans="1:12" s="164" customFormat="1" ht="12.75">
      <c r="A331" s="442"/>
      <c r="B331" s="462"/>
      <c r="C331" s="463"/>
      <c r="D331" s="465"/>
      <c r="E331" s="456"/>
      <c r="F331" s="171" t="s">
        <v>22</v>
      </c>
      <c r="G331" s="166" t="s">
        <v>23</v>
      </c>
      <c r="H331" s="172">
        <f aca="true" t="shared" si="39" ref="H331:J332">H325+H327+H329</f>
        <v>0</v>
      </c>
      <c r="I331" s="173">
        <f t="shared" si="39"/>
        <v>0</v>
      </c>
      <c r="J331" s="174">
        <f t="shared" si="39"/>
        <v>0</v>
      </c>
      <c r="K331" s="174">
        <f>K325+K327+K329</f>
        <v>0</v>
      </c>
      <c r="L331" s="189"/>
    </row>
    <row r="332" spans="1:12" s="164" customFormat="1" ht="13.5" thickBot="1">
      <c r="A332" s="443"/>
      <c r="B332" s="467"/>
      <c r="C332" s="469"/>
      <c r="D332" s="470"/>
      <c r="E332" s="461"/>
      <c r="F332" s="176">
        <f>F326+F329</f>
        <v>1100000</v>
      </c>
      <c r="G332" s="190" t="s">
        <v>24</v>
      </c>
      <c r="H332" s="178">
        <f t="shared" si="39"/>
        <v>0</v>
      </c>
      <c r="I332" s="191">
        <f t="shared" si="39"/>
        <v>900000</v>
      </c>
      <c r="J332" s="192">
        <f t="shared" si="39"/>
        <v>885778</v>
      </c>
      <c r="K332" s="192">
        <f>K326+K328+K330</f>
        <v>885778</v>
      </c>
      <c r="L332" s="193">
        <f>L326</f>
        <v>0.8052527272727272</v>
      </c>
    </row>
    <row r="333" spans="1:12" s="164" customFormat="1" ht="12.75" customHeight="1">
      <c r="A333" s="441">
        <v>42</v>
      </c>
      <c r="B333" s="466" t="s">
        <v>197</v>
      </c>
      <c r="C333" s="468">
        <v>92601</v>
      </c>
      <c r="D333" s="464" t="s">
        <v>198</v>
      </c>
      <c r="E333" s="455">
        <v>2010</v>
      </c>
      <c r="F333" s="182" t="s">
        <v>15</v>
      </c>
      <c r="G333" s="183" t="s">
        <v>163</v>
      </c>
      <c r="H333" s="184"/>
      <c r="I333" s="160"/>
      <c r="J333" s="161"/>
      <c r="K333" s="186"/>
      <c r="L333" s="187"/>
    </row>
    <row r="334" spans="1:12" s="164" customFormat="1" ht="12.75">
      <c r="A334" s="442"/>
      <c r="B334" s="462"/>
      <c r="C334" s="463"/>
      <c r="D334" s="465"/>
      <c r="E334" s="456"/>
      <c r="F334" s="458">
        <f>SUM(H339:L339)</f>
        <v>0</v>
      </c>
      <c r="G334" s="166" t="s">
        <v>164</v>
      </c>
      <c r="H334" s="167">
        <v>62661424</v>
      </c>
      <c r="I334" s="168">
        <f>11000000-580325-110000-81000-1790000-50000</f>
        <v>8388675</v>
      </c>
      <c r="J334" s="169">
        <v>8019946</v>
      </c>
      <c r="K334" s="169">
        <f>SUM(H334,J334)</f>
        <v>70681370</v>
      </c>
      <c r="L334" s="188">
        <f>K334/F340</f>
        <v>0.9948102957604605</v>
      </c>
    </row>
    <row r="335" spans="1:12" s="164" customFormat="1" ht="12.75">
      <c r="A335" s="442"/>
      <c r="B335" s="462"/>
      <c r="C335" s="463"/>
      <c r="D335" s="465"/>
      <c r="E335" s="456"/>
      <c r="F335" s="459"/>
      <c r="G335" s="166" t="s">
        <v>85</v>
      </c>
      <c r="H335" s="167"/>
      <c r="I335" s="168"/>
      <c r="J335" s="169"/>
      <c r="K335" s="169"/>
      <c r="L335" s="188"/>
    </row>
    <row r="336" spans="1:12" s="164" customFormat="1" ht="12.75">
      <c r="A336" s="442"/>
      <c r="B336" s="462"/>
      <c r="C336" s="463"/>
      <c r="D336" s="465"/>
      <c r="E336" s="457"/>
      <c r="F336" s="171" t="s">
        <v>18</v>
      </c>
      <c r="G336" s="166" t="s">
        <v>86</v>
      </c>
      <c r="H336" s="167"/>
      <c r="I336" s="168"/>
      <c r="J336" s="169"/>
      <c r="K336" s="169"/>
      <c r="L336" s="188"/>
    </row>
    <row r="337" spans="1:12" s="164" customFormat="1" ht="12.75">
      <c r="A337" s="442"/>
      <c r="B337" s="462"/>
      <c r="C337" s="463"/>
      <c r="D337" s="465"/>
      <c r="E337" s="460">
        <v>2015</v>
      </c>
      <c r="F337" s="458">
        <v>71050099</v>
      </c>
      <c r="G337" s="166" t="s">
        <v>19</v>
      </c>
      <c r="H337" s="167"/>
      <c r="I337" s="168"/>
      <c r="J337" s="169"/>
      <c r="K337" s="169"/>
      <c r="L337" s="188"/>
    </row>
    <row r="338" spans="1:12" s="164" customFormat="1" ht="12.75">
      <c r="A338" s="442"/>
      <c r="B338" s="462"/>
      <c r="C338" s="463"/>
      <c r="D338" s="465"/>
      <c r="E338" s="456"/>
      <c r="F338" s="459"/>
      <c r="G338" s="166" t="s">
        <v>21</v>
      </c>
      <c r="H338" s="167"/>
      <c r="I338" s="168"/>
      <c r="J338" s="169"/>
      <c r="K338" s="169"/>
      <c r="L338" s="188"/>
    </row>
    <row r="339" spans="1:12" s="164" customFormat="1" ht="12.75">
      <c r="A339" s="442"/>
      <c r="B339" s="462"/>
      <c r="C339" s="463"/>
      <c r="D339" s="465"/>
      <c r="E339" s="456"/>
      <c r="F339" s="171" t="s">
        <v>22</v>
      </c>
      <c r="G339" s="166" t="s">
        <v>23</v>
      </c>
      <c r="H339" s="172">
        <f aca="true" t="shared" si="40" ref="H339:K340">H333+H335+H337</f>
        <v>0</v>
      </c>
      <c r="I339" s="173">
        <f t="shared" si="40"/>
        <v>0</v>
      </c>
      <c r="J339" s="174">
        <f t="shared" si="40"/>
        <v>0</v>
      </c>
      <c r="K339" s="174">
        <f t="shared" si="40"/>
        <v>0</v>
      </c>
      <c r="L339" s="189"/>
    </row>
    <row r="340" spans="1:12" s="164" customFormat="1" ht="13.5" thickBot="1">
      <c r="A340" s="443"/>
      <c r="B340" s="467"/>
      <c r="C340" s="463"/>
      <c r="D340" s="470"/>
      <c r="E340" s="456"/>
      <c r="F340" s="176">
        <f>F334+F337</f>
        <v>71050099</v>
      </c>
      <c r="G340" s="177" t="s">
        <v>24</v>
      </c>
      <c r="H340" s="178">
        <f t="shared" si="40"/>
        <v>62661424</v>
      </c>
      <c r="I340" s="254">
        <f t="shared" si="40"/>
        <v>8388675</v>
      </c>
      <c r="J340" s="192">
        <f t="shared" si="40"/>
        <v>8019946</v>
      </c>
      <c r="K340" s="192">
        <f t="shared" si="40"/>
        <v>70681370</v>
      </c>
      <c r="L340" s="193">
        <f>L334</f>
        <v>0.9948102957604605</v>
      </c>
    </row>
    <row r="341" spans="1:12" s="164" customFormat="1" ht="12.75" customHeight="1">
      <c r="A341" s="441">
        <v>43</v>
      </c>
      <c r="B341" s="466" t="s">
        <v>199</v>
      </c>
      <c r="C341" s="468">
        <v>92601</v>
      </c>
      <c r="D341" s="464" t="s">
        <v>198</v>
      </c>
      <c r="E341" s="455">
        <v>2011</v>
      </c>
      <c r="F341" s="182" t="s">
        <v>15</v>
      </c>
      <c r="G341" s="183" t="s">
        <v>163</v>
      </c>
      <c r="H341" s="184"/>
      <c r="I341" s="185"/>
      <c r="J341" s="186"/>
      <c r="K341" s="186"/>
      <c r="L341" s="187"/>
    </row>
    <row r="342" spans="1:12" s="164" customFormat="1" ht="12.75">
      <c r="A342" s="442"/>
      <c r="B342" s="462"/>
      <c r="C342" s="463"/>
      <c r="D342" s="465"/>
      <c r="E342" s="456"/>
      <c r="F342" s="458">
        <f>SUM(H347:L347)</f>
        <v>0</v>
      </c>
      <c r="G342" s="166" t="s">
        <v>164</v>
      </c>
      <c r="H342" s="167"/>
      <c r="I342" s="168">
        <f>500000-260000</f>
        <v>240000</v>
      </c>
      <c r="J342" s="169">
        <v>113160</v>
      </c>
      <c r="K342" s="169">
        <f>SUM(H342,J342)</f>
        <v>113160</v>
      </c>
      <c r="L342" s="188">
        <f>K342/F348</f>
        <v>0.007425196850393701</v>
      </c>
    </row>
    <row r="343" spans="1:12" s="164" customFormat="1" ht="12.75">
      <c r="A343" s="442"/>
      <c r="B343" s="462"/>
      <c r="C343" s="463"/>
      <c r="D343" s="465"/>
      <c r="E343" s="456"/>
      <c r="F343" s="459"/>
      <c r="G343" s="166" t="s">
        <v>85</v>
      </c>
      <c r="H343" s="167"/>
      <c r="I343" s="168"/>
      <c r="J343" s="169"/>
      <c r="K343" s="169"/>
      <c r="L343" s="188"/>
    </row>
    <row r="344" spans="1:12" s="164" customFormat="1" ht="12.75">
      <c r="A344" s="442"/>
      <c r="B344" s="462"/>
      <c r="C344" s="463"/>
      <c r="D344" s="465"/>
      <c r="E344" s="457"/>
      <c r="F344" s="171" t="s">
        <v>18</v>
      </c>
      <c r="G344" s="166" t="s">
        <v>86</v>
      </c>
      <c r="H344" s="167"/>
      <c r="I344" s="168"/>
      <c r="J344" s="169"/>
      <c r="K344" s="169"/>
      <c r="L344" s="188"/>
    </row>
    <row r="345" spans="1:12" s="164" customFormat="1" ht="12.75">
      <c r="A345" s="442"/>
      <c r="B345" s="462"/>
      <c r="C345" s="463"/>
      <c r="D345" s="465"/>
      <c r="E345" s="460">
        <v>2012</v>
      </c>
      <c r="F345" s="458">
        <v>15240000</v>
      </c>
      <c r="G345" s="166" t="s">
        <v>19</v>
      </c>
      <c r="H345" s="167"/>
      <c r="I345" s="168"/>
      <c r="J345" s="169"/>
      <c r="K345" s="169"/>
      <c r="L345" s="188"/>
    </row>
    <row r="346" spans="1:12" s="164" customFormat="1" ht="12.75">
      <c r="A346" s="442"/>
      <c r="B346" s="462"/>
      <c r="C346" s="463"/>
      <c r="D346" s="465"/>
      <c r="E346" s="456"/>
      <c r="F346" s="459"/>
      <c r="G346" s="166" t="s">
        <v>21</v>
      </c>
      <c r="H346" s="167"/>
      <c r="I346" s="168"/>
      <c r="J346" s="169"/>
      <c r="K346" s="169"/>
      <c r="L346" s="188"/>
    </row>
    <row r="347" spans="1:12" s="164" customFormat="1" ht="12.75">
      <c r="A347" s="442"/>
      <c r="B347" s="462"/>
      <c r="C347" s="463"/>
      <c r="D347" s="465"/>
      <c r="E347" s="456"/>
      <c r="F347" s="171" t="s">
        <v>22</v>
      </c>
      <c r="G347" s="166" t="s">
        <v>23</v>
      </c>
      <c r="H347" s="172">
        <f aca="true" t="shared" si="41" ref="H347:J348">H341+H343+H345</f>
        <v>0</v>
      </c>
      <c r="I347" s="173">
        <f t="shared" si="41"/>
        <v>0</v>
      </c>
      <c r="J347" s="174">
        <f t="shared" si="41"/>
        <v>0</v>
      </c>
      <c r="K347" s="174">
        <f>K341+K343+K345</f>
        <v>0</v>
      </c>
      <c r="L347" s="189"/>
    </row>
    <row r="348" spans="1:12" s="164" customFormat="1" ht="13.5" thickBot="1">
      <c r="A348" s="442"/>
      <c r="B348" s="467"/>
      <c r="C348" s="469"/>
      <c r="D348" s="470"/>
      <c r="E348" s="461"/>
      <c r="F348" s="176">
        <f>F342+F345</f>
        <v>15240000</v>
      </c>
      <c r="G348" s="190" t="s">
        <v>24</v>
      </c>
      <c r="H348" s="178">
        <f t="shared" si="41"/>
        <v>0</v>
      </c>
      <c r="I348" s="191">
        <f t="shared" si="41"/>
        <v>240000</v>
      </c>
      <c r="J348" s="192">
        <f t="shared" si="41"/>
        <v>113160</v>
      </c>
      <c r="K348" s="192">
        <f>K342+K344+K346</f>
        <v>113160</v>
      </c>
      <c r="L348" s="193">
        <f>L342</f>
        <v>0.007425196850393701</v>
      </c>
    </row>
    <row r="349" spans="1:12" s="164" customFormat="1" ht="12.75">
      <c r="A349" s="441">
        <v>44</v>
      </c>
      <c r="B349" s="466" t="s">
        <v>200</v>
      </c>
      <c r="C349" s="468">
        <v>92695</v>
      </c>
      <c r="D349" s="464" t="s">
        <v>198</v>
      </c>
      <c r="E349" s="455">
        <v>2011</v>
      </c>
      <c r="F349" s="182" t="s">
        <v>15</v>
      </c>
      <c r="G349" s="183" t="s">
        <v>16</v>
      </c>
      <c r="H349" s="184"/>
      <c r="I349" s="185"/>
      <c r="J349" s="186"/>
      <c r="K349" s="186"/>
      <c r="L349" s="187"/>
    </row>
    <row r="350" spans="1:12" s="164" customFormat="1" ht="12.75">
      <c r="A350" s="442"/>
      <c r="B350" s="462"/>
      <c r="C350" s="463"/>
      <c r="D350" s="465"/>
      <c r="E350" s="456"/>
      <c r="F350" s="458">
        <f>SUM(H355:L355)</f>
        <v>0</v>
      </c>
      <c r="G350" s="166" t="s">
        <v>17</v>
      </c>
      <c r="H350" s="167"/>
      <c r="I350" s="168">
        <v>1000000</v>
      </c>
      <c r="J350" s="169">
        <v>0</v>
      </c>
      <c r="K350" s="169">
        <f>SUM(H350,J350)</f>
        <v>0</v>
      </c>
      <c r="L350" s="188">
        <f>K350/F356</f>
        <v>0</v>
      </c>
    </row>
    <row r="351" spans="1:12" s="164" customFormat="1" ht="12.75">
      <c r="A351" s="442"/>
      <c r="B351" s="462"/>
      <c r="C351" s="463"/>
      <c r="D351" s="465"/>
      <c r="E351" s="456"/>
      <c r="F351" s="459"/>
      <c r="G351" s="166" t="s">
        <v>85</v>
      </c>
      <c r="H351" s="167"/>
      <c r="I351" s="168"/>
      <c r="J351" s="169"/>
      <c r="K351" s="169"/>
      <c r="L351" s="188"/>
    </row>
    <row r="352" spans="1:12" s="164" customFormat="1" ht="12.75">
      <c r="A352" s="442"/>
      <c r="B352" s="462"/>
      <c r="C352" s="463"/>
      <c r="D352" s="465"/>
      <c r="E352" s="457"/>
      <c r="F352" s="171" t="s">
        <v>18</v>
      </c>
      <c r="G352" s="166" t="s">
        <v>86</v>
      </c>
      <c r="H352" s="167"/>
      <c r="I352" s="168"/>
      <c r="J352" s="169"/>
      <c r="K352" s="169"/>
      <c r="L352" s="188"/>
    </row>
    <row r="353" spans="1:12" s="164" customFormat="1" ht="12.75">
      <c r="A353" s="442"/>
      <c r="B353" s="462"/>
      <c r="C353" s="463"/>
      <c r="D353" s="465"/>
      <c r="E353" s="460">
        <v>2012</v>
      </c>
      <c r="F353" s="458">
        <v>1000000</v>
      </c>
      <c r="G353" s="166" t="s">
        <v>19</v>
      </c>
      <c r="H353" s="167"/>
      <c r="I353" s="168"/>
      <c r="J353" s="169"/>
      <c r="K353" s="169"/>
      <c r="L353" s="188"/>
    </row>
    <row r="354" spans="1:12" s="164" customFormat="1" ht="12.75">
      <c r="A354" s="442"/>
      <c r="B354" s="462"/>
      <c r="C354" s="463"/>
      <c r="D354" s="465"/>
      <c r="E354" s="456"/>
      <c r="F354" s="459"/>
      <c r="G354" s="166" t="s">
        <v>21</v>
      </c>
      <c r="H354" s="167"/>
      <c r="I354" s="168"/>
      <c r="J354" s="169"/>
      <c r="K354" s="169"/>
      <c r="L354" s="188"/>
    </row>
    <row r="355" spans="1:12" s="164" customFormat="1" ht="12.75">
      <c r="A355" s="442"/>
      <c r="B355" s="462"/>
      <c r="C355" s="463"/>
      <c r="D355" s="465"/>
      <c r="E355" s="456"/>
      <c r="F355" s="171" t="s">
        <v>22</v>
      </c>
      <c r="G355" s="166" t="s">
        <v>23</v>
      </c>
      <c r="H355" s="172">
        <f aca="true" t="shared" si="42" ref="H355:K356">H349+H351+H353</f>
        <v>0</v>
      </c>
      <c r="I355" s="173">
        <f t="shared" si="42"/>
        <v>0</v>
      </c>
      <c r="J355" s="174">
        <f t="shared" si="42"/>
        <v>0</v>
      </c>
      <c r="K355" s="174">
        <f t="shared" si="42"/>
        <v>0</v>
      </c>
      <c r="L355" s="189"/>
    </row>
    <row r="356" spans="1:12" s="164" customFormat="1" ht="13.5" thickBot="1">
      <c r="A356" s="443"/>
      <c r="B356" s="467"/>
      <c r="C356" s="469"/>
      <c r="D356" s="470"/>
      <c r="E356" s="461"/>
      <c r="F356" s="176">
        <f>F350+F353</f>
        <v>1000000</v>
      </c>
      <c r="G356" s="190" t="s">
        <v>24</v>
      </c>
      <c r="H356" s="178">
        <f t="shared" si="42"/>
        <v>0</v>
      </c>
      <c r="I356" s="191">
        <f t="shared" si="42"/>
        <v>1000000</v>
      </c>
      <c r="J356" s="192">
        <f t="shared" si="42"/>
        <v>0</v>
      </c>
      <c r="K356" s="192">
        <f t="shared" si="42"/>
        <v>0</v>
      </c>
      <c r="L356" s="193">
        <f>L350</f>
        <v>0</v>
      </c>
    </row>
    <row r="357" spans="1:12" s="164" customFormat="1" ht="12.75" customHeight="1">
      <c r="A357" s="441">
        <v>45</v>
      </c>
      <c r="B357" s="466" t="s">
        <v>201</v>
      </c>
      <c r="C357" s="468">
        <v>92601</v>
      </c>
      <c r="D357" s="464" t="s">
        <v>162</v>
      </c>
      <c r="E357" s="455">
        <v>2010</v>
      </c>
      <c r="F357" s="182" t="s">
        <v>15</v>
      </c>
      <c r="G357" s="183" t="s">
        <v>16</v>
      </c>
      <c r="H357" s="184"/>
      <c r="I357" s="185"/>
      <c r="J357" s="186"/>
      <c r="K357" s="186"/>
      <c r="L357" s="187"/>
    </row>
    <row r="358" spans="1:12" s="164" customFormat="1" ht="12.75">
      <c r="A358" s="442"/>
      <c r="B358" s="462"/>
      <c r="C358" s="463"/>
      <c r="D358" s="465"/>
      <c r="E358" s="456"/>
      <c r="F358" s="458">
        <f>SUM(H363:L363)</f>
        <v>0</v>
      </c>
      <c r="G358" s="166" t="s">
        <v>17</v>
      </c>
      <c r="H358" s="167">
        <v>100000</v>
      </c>
      <c r="I358" s="168">
        <f>850000-220000-100000</f>
        <v>530000</v>
      </c>
      <c r="J358" s="169">
        <v>514284</v>
      </c>
      <c r="K358" s="169">
        <f>SUM(H358,J358)</f>
        <v>614284</v>
      </c>
      <c r="L358" s="188">
        <f>K358/F364</f>
        <v>0.9750539682539683</v>
      </c>
    </row>
    <row r="359" spans="1:12" s="164" customFormat="1" ht="12.75">
      <c r="A359" s="442"/>
      <c r="B359" s="462"/>
      <c r="C359" s="463"/>
      <c r="D359" s="465"/>
      <c r="E359" s="456"/>
      <c r="F359" s="459"/>
      <c r="G359" s="166" t="s">
        <v>85</v>
      </c>
      <c r="H359" s="167"/>
      <c r="I359" s="168"/>
      <c r="J359" s="169"/>
      <c r="K359" s="169"/>
      <c r="L359" s="188"/>
    </row>
    <row r="360" spans="1:12" s="164" customFormat="1" ht="12.75">
      <c r="A360" s="442"/>
      <c r="B360" s="462"/>
      <c r="C360" s="463"/>
      <c r="D360" s="465"/>
      <c r="E360" s="457"/>
      <c r="F360" s="171" t="s">
        <v>18</v>
      </c>
      <c r="G360" s="166" t="s">
        <v>86</v>
      </c>
      <c r="H360" s="167"/>
      <c r="I360" s="168"/>
      <c r="J360" s="169"/>
      <c r="K360" s="169"/>
      <c r="L360" s="188"/>
    </row>
    <row r="361" spans="1:12" s="164" customFormat="1" ht="12.75">
      <c r="A361" s="442"/>
      <c r="B361" s="462"/>
      <c r="C361" s="463"/>
      <c r="D361" s="465"/>
      <c r="E361" s="460">
        <v>2011</v>
      </c>
      <c r="F361" s="458">
        <v>630000</v>
      </c>
      <c r="G361" s="166" t="s">
        <v>19</v>
      </c>
      <c r="H361" s="167"/>
      <c r="I361" s="168"/>
      <c r="J361" s="169"/>
      <c r="K361" s="169"/>
      <c r="L361" s="188"/>
    </row>
    <row r="362" spans="1:12" s="164" customFormat="1" ht="12.75">
      <c r="A362" s="442"/>
      <c r="B362" s="462"/>
      <c r="C362" s="463"/>
      <c r="D362" s="465"/>
      <c r="E362" s="456"/>
      <c r="F362" s="459"/>
      <c r="G362" s="166" t="s">
        <v>21</v>
      </c>
      <c r="H362" s="167"/>
      <c r="I362" s="168"/>
      <c r="J362" s="169"/>
      <c r="K362" s="169"/>
      <c r="L362" s="188"/>
    </row>
    <row r="363" spans="1:12" s="164" customFormat="1" ht="12.75">
      <c r="A363" s="442"/>
      <c r="B363" s="462"/>
      <c r="C363" s="463"/>
      <c r="D363" s="465"/>
      <c r="E363" s="456"/>
      <c r="F363" s="171" t="s">
        <v>22</v>
      </c>
      <c r="G363" s="166" t="s">
        <v>23</v>
      </c>
      <c r="H363" s="172">
        <f aca="true" t="shared" si="43" ref="H363:J364">H357+H359+H361</f>
        <v>0</v>
      </c>
      <c r="I363" s="173">
        <f t="shared" si="43"/>
        <v>0</v>
      </c>
      <c r="J363" s="174">
        <f t="shared" si="43"/>
        <v>0</v>
      </c>
      <c r="K363" s="174">
        <f>K357+K359+K361</f>
        <v>0</v>
      </c>
      <c r="L363" s="189"/>
    </row>
    <row r="364" spans="1:12" s="164" customFormat="1" ht="13.5" thickBot="1">
      <c r="A364" s="442"/>
      <c r="B364" s="467"/>
      <c r="C364" s="469"/>
      <c r="D364" s="470"/>
      <c r="E364" s="461"/>
      <c r="F364" s="176">
        <f>F358+F361</f>
        <v>630000</v>
      </c>
      <c r="G364" s="190" t="s">
        <v>24</v>
      </c>
      <c r="H364" s="178">
        <f t="shared" si="43"/>
        <v>100000</v>
      </c>
      <c r="I364" s="191">
        <f t="shared" si="43"/>
        <v>530000</v>
      </c>
      <c r="J364" s="192">
        <f t="shared" si="43"/>
        <v>514284</v>
      </c>
      <c r="K364" s="192">
        <f>K358+K360+K362</f>
        <v>614284</v>
      </c>
      <c r="L364" s="193">
        <f>L358</f>
        <v>0.9750539682539683</v>
      </c>
    </row>
    <row r="365" spans="1:12" s="164" customFormat="1" ht="12.75" customHeight="1" hidden="1">
      <c r="A365" s="441">
        <v>49</v>
      </c>
      <c r="B365" s="490" t="s">
        <v>176</v>
      </c>
      <c r="C365" s="463">
        <v>92601</v>
      </c>
      <c r="D365" s="464" t="s">
        <v>162</v>
      </c>
      <c r="E365" s="456">
        <v>2012</v>
      </c>
      <c r="F365" s="182" t="s">
        <v>15</v>
      </c>
      <c r="G365" s="158" t="s">
        <v>16</v>
      </c>
      <c r="H365" s="231"/>
      <c r="I365" s="255"/>
      <c r="J365" s="256"/>
      <c r="K365" s="256"/>
      <c r="L365" s="256"/>
    </row>
    <row r="366" spans="1:12" s="164" customFormat="1" ht="12.75" customHeight="1" hidden="1">
      <c r="A366" s="442"/>
      <c r="B366" s="490"/>
      <c r="C366" s="463"/>
      <c r="D366" s="465"/>
      <c r="E366" s="456"/>
      <c r="F366" s="458">
        <f>SUM(H371:L371)</f>
        <v>0</v>
      </c>
      <c r="G366" s="166" t="s">
        <v>17</v>
      </c>
      <c r="H366" s="235"/>
      <c r="I366" s="236"/>
      <c r="J366" s="237"/>
      <c r="K366" s="237"/>
      <c r="L366" s="237"/>
    </row>
    <row r="367" spans="1:12" s="164" customFormat="1" ht="12.75" customHeight="1" hidden="1">
      <c r="A367" s="442"/>
      <c r="B367" s="490"/>
      <c r="C367" s="463"/>
      <c r="D367" s="465"/>
      <c r="E367" s="456"/>
      <c r="F367" s="459"/>
      <c r="G367" s="166" t="s">
        <v>85</v>
      </c>
      <c r="H367" s="235"/>
      <c r="I367" s="236"/>
      <c r="J367" s="237"/>
      <c r="K367" s="237"/>
      <c r="L367" s="237"/>
    </row>
    <row r="368" spans="1:12" s="164" customFormat="1" ht="12.75" customHeight="1" hidden="1">
      <c r="A368" s="442"/>
      <c r="B368" s="490"/>
      <c r="C368" s="463"/>
      <c r="D368" s="465"/>
      <c r="E368" s="457"/>
      <c r="F368" s="171" t="s">
        <v>18</v>
      </c>
      <c r="G368" s="166" t="s">
        <v>86</v>
      </c>
      <c r="H368" s="235"/>
      <c r="I368" s="236"/>
      <c r="J368" s="237"/>
      <c r="K368" s="237"/>
      <c r="L368" s="237"/>
    </row>
    <row r="369" spans="1:12" s="164" customFormat="1" ht="12.75" customHeight="1" hidden="1">
      <c r="A369" s="442"/>
      <c r="B369" s="490"/>
      <c r="C369" s="463"/>
      <c r="D369" s="465"/>
      <c r="E369" s="460">
        <v>2013</v>
      </c>
      <c r="F369" s="458">
        <f>SUM(H372:L372)</f>
        <v>0</v>
      </c>
      <c r="G369" s="166" t="s">
        <v>19</v>
      </c>
      <c r="H369" s="235"/>
      <c r="I369" s="236"/>
      <c r="J369" s="237"/>
      <c r="K369" s="237"/>
      <c r="L369" s="237"/>
    </row>
    <row r="370" spans="1:12" s="164" customFormat="1" ht="12.75" customHeight="1" hidden="1">
      <c r="A370" s="442"/>
      <c r="B370" s="490"/>
      <c r="C370" s="463"/>
      <c r="D370" s="465"/>
      <c r="E370" s="456"/>
      <c r="F370" s="459"/>
      <c r="G370" s="166" t="s">
        <v>21</v>
      </c>
      <c r="H370" s="235"/>
      <c r="I370" s="236"/>
      <c r="J370" s="237"/>
      <c r="K370" s="237"/>
      <c r="L370" s="237"/>
    </row>
    <row r="371" spans="1:12" s="164" customFormat="1" ht="12.75" customHeight="1" hidden="1">
      <c r="A371" s="442"/>
      <c r="B371" s="490"/>
      <c r="C371" s="463"/>
      <c r="D371" s="465"/>
      <c r="E371" s="456"/>
      <c r="F371" s="171" t="s">
        <v>22</v>
      </c>
      <c r="G371" s="166" t="s">
        <v>23</v>
      </c>
      <c r="H371" s="239">
        <f aca="true" t="shared" si="44" ref="H371:K372">H365+H367+H369</f>
        <v>0</v>
      </c>
      <c r="I371" s="240">
        <f t="shared" si="44"/>
        <v>0</v>
      </c>
      <c r="J371" s="241">
        <f t="shared" si="44"/>
        <v>0</v>
      </c>
      <c r="K371" s="241">
        <f t="shared" si="44"/>
        <v>0</v>
      </c>
      <c r="L371" s="241"/>
    </row>
    <row r="372" spans="1:12" s="164" customFormat="1" ht="13.5" customHeight="1" hidden="1" thickBot="1">
      <c r="A372" s="442"/>
      <c r="B372" s="491"/>
      <c r="C372" s="469"/>
      <c r="D372" s="465"/>
      <c r="E372" s="461"/>
      <c r="F372" s="176">
        <f>F366+F369</f>
        <v>0</v>
      </c>
      <c r="G372" s="190" t="s">
        <v>24</v>
      </c>
      <c r="H372" s="243">
        <f t="shared" si="44"/>
        <v>0</v>
      </c>
      <c r="I372" s="244">
        <f t="shared" si="44"/>
        <v>0</v>
      </c>
      <c r="J372" s="245">
        <f t="shared" si="44"/>
        <v>0</v>
      </c>
      <c r="K372" s="245">
        <f t="shared" si="44"/>
        <v>0</v>
      </c>
      <c r="L372" s="245"/>
    </row>
    <row r="373" spans="1:12" s="164" customFormat="1" ht="4.5" customHeight="1">
      <c r="A373" s="257"/>
      <c r="B373" s="258"/>
      <c r="C373" s="259"/>
      <c r="D373" s="260"/>
      <c r="E373" s="261"/>
      <c r="F373" s="262"/>
      <c r="G373" s="263"/>
      <c r="H373" s="264"/>
      <c r="I373" s="264"/>
      <c r="J373" s="264"/>
      <c r="K373" s="264"/>
      <c r="L373" s="264"/>
    </row>
    <row r="374" spans="1:12" s="164" customFormat="1" ht="3.75" customHeight="1" thickBot="1">
      <c r="A374" s="265"/>
      <c r="B374" s="266"/>
      <c r="C374" s="267"/>
      <c r="D374" s="268"/>
      <c r="E374" s="269"/>
      <c r="F374" s="262"/>
      <c r="G374" s="263"/>
      <c r="H374" s="270"/>
      <c r="I374" s="270"/>
      <c r="J374" s="270"/>
      <c r="K374" s="270"/>
      <c r="L374" s="270"/>
    </row>
    <row r="375" spans="1:12" s="164" customFormat="1" ht="12.75">
      <c r="A375" s="478" t="s">
        <v>202</v>
      </c>
      <c r="B375" s="479"/>
      <c r="C375" s="479"/>
      <c r="D375" s="479"/>
      <c r="E375" s="480"/>
      <c r="F375" s="182" t="s">
        <v>15</v>
      </c>
      <c r="G375" s="271" t="s">
        <v>16</v>
      </c>
      <c r="H375" s="184">
        <f>SUM(H6,H14,H22,H30,H38,H53,H61,H69,H77,H117,H85,H93,H101,H109,H125,H133,H141,H149,H157,H165,H173,H181,H189,H197,H213,H221,H229)+SUM(H237,H245,H253,H261,H269,H277,H285,H293,H301,H309,H317,H325,H333,H341,H349,H357)</f>
        <v>0</v>
      </c>
      <c r="I375" s="272">
        <f>SUM(I6,I14,I22,I30,I38,I53,I61,I69,I77,I117,I85,I93,I101,I109,I125,I133,I141,I149,I157,I165,I173,I181,I189,I197,I213,I221,I229)+SUM(I237,I245,I253,I261,I269,I277,I285,I293,I301,I309,I317,I325,I333,I341,I349,I357)</f>
        <v>0</v>
      </c>
      <c r="J375" s="186">
        <f>SUM(J6,J14,J22,J30,J38,J53,J61,J69,J77,J117,J85,J93,J101,J109,J125,J133,J141,J149,J157,J165,J173,J181,J189,J197,J213,J221,J229)+SUM(J237,J245,J253,J261,J269,J277,J285,J293,J301,J309,J317,J325,J333,J341,J349,J357)</f>
        <v>0</v>
      </c>
      <c r="K375" s="213">
        <f>SUM(K6,K14,K22,K30,K38,K53,K61,K69,K77,K117,K85,K93,K101,K109,K125,K133,K141,K149,K157,K165,K173,K181,K189,K197,K213,K221,K229)+SUM(K237,K245,K253,K261,K269,K277,K285,K293,K301,K309,K317,K325,K333,K341,K349,K357)</f>
        <v>0</v>
      </c>
      <c r="L375" s="213">
        <f>SUM(L6,L14,L22,L30,L38,L53,L61,L69,L85,L93,L101,L109,L125,L133,L141,L149,L157,L165,L173,L181,L189,L197,L205,L213,L221,L229,L237)+SUM(L245,L253,L261,L269,L277,L285,L293,L301,L309,L317,L325,L333,L341,L349,L357,L365)</f>
        <v>0</v>
      </c>
    </row>
    <row r="376" spans="1:12" s="164" customFormat="1" ht="12.75">
      <c r="A376" s="481"/>
      <c r="B376" s="471"/>
      <c r="C376" s="471"/>
      <c r="D376" s="471"/>
      <c r="E376" s="482"/>
      <c r="F376" s="458">
        <f>SUM(H381:L381)</f>
        <v>0</v>
      </c>
      <c r="G376" s="274" t="s">
        <v>17</v>
      </c>
      <c r="H376" s="167">
        <f>SUM(H7,H15,H23,H31,H39,H54,H62,H70,H78,H118,H86,H94,H102,H110,H126,H134,H142,H150,H158,H166,H174,H182,H190,H198,H214,H222,H230)+SUM(H238,H246,H254,H262,H270,H278,H286,H294,H302,H310,H318,H326,H334,H342,H350,H358)</f>
        <v>87484049</v>
      </c>
      <c r="I376" s="275">
        <f>SUM(I7,I15,I23,I31,I39,I54,I62,I70,I78,I118,I86,I94,I102,I110,I126,I134,I142,I150,I158,I166,I174,I182,I190,I198,I214,I222,I230)+SUM(I238,I246,I254,I262,I270,I278,I286,I294,I302,I310,I318,I326,I334,I342,I350,I358)</f>
        <v>117969952</v>
      </c>
      <c r="J376" s="169">
        <f>SUM(J7,J15,J23,J31,J39,J54,J62,J70,J78,J118,J86,J94,J102,J110,J126,J134,J142,J150,J158,J166,J174,J182,J190,J198,J214,J222,J230)+SUM(J238,J246,J254,J262,J270,J278,J286,J294,J302,J310,J318,J326,J334,J342,J350,J358)</f>
        <v>106151274</v>
      </c>
      <c r="K376" s="170">
        <f>SUM(K7,K15,K23,K31,K39,K54,K62,K70,K78,K118,K86,K94,K102,K110,K126,K134,K142,K150,K158,K166,K174,K182,K190,K198,K214,K222,K230)+SUM(K238,K246,K254,K262,K270,K278,K286,K294,K302,K310,K318,K326,K334,K342,K350,K358)</f>
        <v>193635323</v>
      </c>
      <c r="L376" s="188">
        <f>K376/F379</f>
        <v>0.33245263991395857</v>
      </c>
    </row>
    <row r="377" spans="1:12" s="164" customFormat="1" ht="10.5" customHeight="1">
      <c r="A377" s="481"/>
      <c r="B377" s="471"/>
      <c r="C377" s="471"/>
      <c r="D377" s="471"/>
      <c r="E377" s="482"/>
      <c r="F377" s="459"/>
      <c r="G377" s="274" t="s">
        <v>85</v>
      </c>
      <c r="H377" s="167">
        <f>SUM(H8,H16,H24,H32,H40,H55,H63,H71,H79,H119,H87,H95,H103,H111,H127,H135,H143,H151,H159,H167,H175,H183,H191,H199,H215,H223,H231)+SUM(H239,H247,H255,H263,H271,H279,H287,H295,H303,H311,H319,H327,H335,H343,H351,H359)</f>
        <v>0</v>
      </c>
      <c r="I377" s="275">
        <f>SUM(I8,I16,I24,I32,I40,I55,I63,I71,I79,I119,I87,I95,I103,I111,I127,I135,I143,I151,I159,I167,I175,I183,I191,I199,I215,I223,I231)+SUM(I239,I247,I255,I263,I271,I279,I287,I295,I303,I311,I319,I327,I335,I343,I351,I359)</f>
        <v>0</v>
      </c>
      <c r="J377" s="169">
        <f>SUM(J8,J16,J24,J32,J40,J55,J63,J71,J79,J119,J87,J95,J103,J111,J127,J135,J143,J151,J159,J167,J175,J183,J191,J199,J215,J223,J231)+SUM(J239,J247,J255,J263,J271,J279,J287,J295,J303,J311,J319,J327,J335,J343,J351,J359)</f>
        <v>0</v>
      </c>
      <c r="K377" s="170">
        <f>SUM(K8,K16,K24,K32,K40,K55,K63,K71,K79,K119,K87,K95,K103,K111,K127,K135,K143,K151,K159,K167,K175,K183,K191,K199,K215,K223,K231)+SUM(K239,K247,K255,K263,K271,K279,K287,K295,K303,K311,K319,K327,K335,K343,K351,K359)</f>
        <v>0</v>
      </c>
      <c r="L377" s="170">
        <f>SUM(L8,L16,L24,L32,L40,L55,L63,L71,L87,L95,L103,L111,L127,L135,L143,L151,L159,L167,L175,L183,L191,L199,L207,L215,L223,L231,L239)+SUM(L247,L255,L263,L271,L279,L287,L295,L303,L311,L319,L327,L335,L343,L351,L359,L367)</f>
        <v>0</v>
      </c>
    </row>
    <row r="378" spans="1:12" s="164" customFormat="1" ht="9.75" customHeight="1">
      <c r="A378" s="481"/>
      <c r="B378" s="471"/>
      <c r="C378" s="471"/>
      <c r="D378" s="471"/>
      <c r="E378" s="482"/>
      <c r="F378" s="171" t="s">
        <v>18</v>
      </c>
      <c r="G378" s="274" t="s">
        <v>86</v>
      </c>
      <c r="H378" s="167">
        <f>SUM(H9,H17,H25,H33,H41,H56,H64,H72,H80,H120,H88,H96,H104,H112,H128,H136,H144,H152,H160,H168,H176,H184,H192,H200,H216,H224,H232)+SUM(H240,H248,H256,H264,H272,H280,H288,H296,H304,H312,H320,H328,H336,H344,H352,H360)</f>
        <v>0</v>
      </c>
      <c r="I378" s="275">
        <f>SUM(I9,I17,I25,I33,I41,I56,I64,I72,I80,I120,I88,I96,I104,I112,I128,I136,I144,I152,I160,I168,I176,I184,I192,I200,I216,I224,I232)+SUM(I240,I248,I256,I264,I272,I280,I288,I296,I304,I312,I320,I328,I336,I344,I352,I360)</f>
        <v>0</v>
      </c>
      <c r="J378" s="169">
        <f>SUM(J9,J17,J25,J33,J41,J56,J64,J72,J80,J120,J88,J96,J104,J112,J128,J136,J144,J152,J160,J168,J176,J184,J192,J200,J216,J224,J232)+SUM(J240,J248,J256,J264,J272,J280,J288,J296,J304,J312,J320,J328,J336,J344,J352,J360)</f>
        <v>0</v>
      </c>
      <c r="K378" s="170">
        <f>SUM(K9,K17,K25,K33,K41,K56,K64,K72,K80,K120,K88,K96,K104,K112,K128,K136,K144,K152,K160,K168,K176,K184,K192,K200,K216,K224,K232)+SUM(K240,K248,K256,K264,K272,K280,K288,K296,K304,K312,K320,K328,K336,K344,K352,K360)</f>
        <v>0</v>
      </c>
      <c r="L378" s="170">
        <f>SUM(L9,L17,L25,L33,L41,L56,L64,L72,L88,L96,L104,L112,L128,L136,L144,L152,L160,L168,L176,L184,L192,L200,L208,L216,L224,L232,L240)+SUM(L248,L256,L264,L272,L280,L288,L296,L304,L312,L320,L328,L336,L344,L352,L360,L368)</f>
        <v>0</v>
      </c>
    </row>
    <row r="379" spans="1:12" s="164" customFormat="1" ht="10.5" customHeight="1">
      <c r="A379" s="481"/>
      <c r="B379" s="471"/>
      <c r="C379" s="471"/>
      <c r="D379" s="471"/>
      <c r="E379" s="482"/>
      <c r="F379" s="458">
        <f>SUM(F10,F18,F26,F34,F42,F57,F65,F73,F81,F121,F89,F97,F105,F113,F129,F137,F145,F153,F161,F169,F177,F185,F193,F201,F217,F225)+SUM(F233,F241,F249,F257,F265,F273,F281,F289,F297,F305,F313,F321,F329,F337,F345,F353,F361)</f>
        <v>582444835</v>
      </c>
      <c r="G379" s="274" t="s">
        <v>19</v>
      </c>
      <c r="H379" s="167">
        <f>SUM(H10,H18,H26,H34,H42,H57,H65,H73,H81,H121,H89,H97,H105,H113,H129,H137,H145,H153,H161,H169,H177,H185,H193,H201,H217,H225,H233)+SUM(H241,H249,H257,H265,H273,H281,H289,H297,H305,H313,H321,H329,H337,H345,H353,H361)</f>
        <v>0</v>
      </c>
      <c r="I379" s="275">
        <f>SUM(I10,I18,I26,I34,I42,I57,I65,I73,I81,I121,I89,I97,I105,I113,I129,I137,I145,I153,I161,I169,I177,I185,I193,I201,I217,I225,I233)+SUM(I241,I249,I257,I265,I273,I281,I289,I297,I305,I313,I321,I329,I337,I345,I353,I361)</f>
        <v>0</v>
      </c>
      <c r="J379" s="169">
        <f>SUM(J10,J18,J26,J34,J42,J57,J65,J73,J81,J121,J89,J97,J105,J113,J129,J137,J145,J153,J161,J169,J177,J185,J193,J201,J217,J225,J233)+SUM(J241,J249,J257,J265,J273,J281,J289,J297,J305,J313,J321,J329,J337,J345,J353,J361)</f>
        <v>0</v>
      </c>
      <c r="K379" s="170">
        <f>SUM(K10,K18,K26,K34,K42,K57,K65,K73,K81,K121,K89,K97,K105,K113,K129,K137,K145,K153,K161,K169,K177,K185,K193,K201,K217,K225,K233)+SUM(K241,K249,K257,K265,K273,K281,K289,K297,K305,K313,K321,K329,K337,K345,K353,K361)</f>
        <v>0</v>
      </c>
      <c r="L379" s="170">
        <f>SUM(L10,L18,L26,L34,L42,L57,L65,L73,L89,L97,L105,L113,L129,L137,L145,L153,L161,L169,L177,L185,L193,L201,L209,L217,L225,L233,L241)+SUM(L249,L257,L265,L273,L281,L289,L297,L305,L313,L321,L329,L337,L345,L353,L361,L369)</f>
        <v>0</v>
      </c>
    </row>
    <row r="380" spans="1:12" s="164" customFormat="1" ht="10.5" customHeight="1">
      <c r="A380" s="481"/>
      <c r="B380" s="471"/>
      <c r="C380" s="471"/>
      <c r="D380" s="471"/>
      <c r="E380" s="482"/>
      <c r="F380" s="459"/>
      <c r="G380" s="274" t="s">
        <v>21</v>
      </c>
      <c r="H380" s="167">
        <f>SUM(H11,H19,H27,H35,H43,H58,H66,H74,H82,H122,H90,H98,H106,H114,H130,H138,H146,H154,H162,H170,H178,H186,H194,H202,H218,H226,H234)+SUM(H242,H250,H258,H266,H274,H282,H290,H298,H306,H314,H322,H330,H338,H346,H354,H362)</f>
        <v>0</v>
      </c>
      <c r="I380" s="275">
        <f>SUM(I11,I19,I27,I35,I43,I58,I66,I74,I82,I122,I90,I98,I106,I114,I130,I138,I146,I154,I162,I170,I178,I186,I194,I202,I218,I226,I234)+SUM(I242,I250,I258,I266,I274,I282,I290,I298,I306,I314,I322,I330,I338,I346,I354,I362)</f>
        <v>0</v>
      </c>
      <c r="J380" s="169">
        <f>SUM(J11,J19,J27,J35,J43,J58,J66,J74,J82,J122,J90,J98,J106,J114,J130,J138,J146,J154,J162,J170,J178,J186,J194,J202,J218,J226,J234)+SUM(J242,J250,J258,J266,J274,J282,J290,J298,J306,J314,J322,J330,J338,J346,J354,J362)</f>
        <v>0</v>
      </c>
      <c r="K380" s="170">
        <f>SUM(K11,K19,K27,K35,K43,K58,K66,K74,K82,K122,K90,K98,K106,K114,K130,K138,K146,K154,K162,K170,K178,K186,K194,K202,K218,K226,K234)+SUM(K242,K250,K258,K266,K274,K282,K290,K298,K306,K314,K322,K330,K338,K346,K354,K362)</f>
        <v>0</v>
      </c>
      <c r="L380" s="170">
        <f>SUM(L11,L19,L27,L35,L43,L58,L66,L74,L90,L98,L106,L114,L130,L138,L146,L154,L162,L170,L178,L186,L194,L202,L210,L218,L226,L234,L242)+SUM(L250,L258,L266,L274,L282,L290,L298,L306,L314,L322,L330,L338,L346,L354,L362,L370)</f>
        <v>0</v>
      </c>
    </row>
    <row r="381" spans="1:12" s="164" customFormat="1" ht="12.75">
      <c r="A381" s="481"/>
      <c r="B381" s="471"/>
      <c r="C381" s="471"/>
      <c r="D381" s="471"/>
      <c r="E381" s="482"/>
      <c r="F381" s="171" t="s">
        <v>22</v>
      </c>
      <c r="G381" s="274" t="s">
        <v>23</v>
      </c>
      <c r="H381" s="167">
        <f>SUM(H12,H20,H28,H36,H44,H59,H67,H75,H83,H123,H91,H99,H107,H115,H131,H139,H147,H155,H163,H171,H179,H187,H195,H203,H219,H227,H235)+SUM(H243,H251,H259,H267,H275,H283,H291,H299,H307,H315,H323,H331,H339,H347,H355,H363)</f>
        <v>0</v>
      </c>
      <c r="I381" s="275">
        <f>SUM(I12,I20,I28,I36,I44,I59,I67,I75,I83,I123,I91,I99,I107,I115,I131,I139,I147,I155,I163,I171,I179,I187,I195,I203,I219,I227,I235)+SUM(I243,I251,I259,I267,I275,I283,I291,I299,I307,I315,I323,I331,I339,I347,I355,I363)</f>
        <v>0</v>
      </c>
      <c r="J381" s="169">
        <f>SUM(J12,J20,J28,J36,J44,J59,J67,J75,J83,J123,J91,J99,J107,J115,J131,J139,J147,J155,J163,J171,J179,J187,J195,J203,J219,J227,J235)+SUM(J243,J251,J259,J267,J275,J283,J291,J299,J307,J315,J323,J331,J339,J347,J355,J363)</f>
        <v>0</v>
      </c>
      <c r="K381" s="170">
        <f>SUM(K12,K20,K28,K36,K44,K59,K67,K75,K83,K123,K91,K99,K107,K115,K131,K139,K147,K155,K163,K171,K179,K187,K195,K203,K219,K227,K235)+SUM(K243,K251,K259,K267,K275,K283,K291,K299,K307,K315,K323,K331,K339,K347,K355,K363)</f>
        <v>0</v>
      </c>
      <c r="L381" s="170">
        <f>SUM(L12,L20,L28,L36,L44,L59,L67,L75,L91,L99,L107,L115,L131,L139,L147,L155,L163,L171,L179,L187,L195,L203,L211,L219,L227,L235,L243)+SUM(L251,L259,L267,L275,L283,L291,L299,L307,L315,L323,L331,L339,L347,L355,L363,L371)</f>
        <v>0</v>
      </c>
    </row>
    <row r="382" spans="1:12" s="164" customFormat="1" ht="13.5" thickBot="1">
      <c r="A382" s="483"/>
      <c r="B382" s="484"/>
      <c r="C382" s="484"/>
      <c r="D382" s="484"/>
      <c r="E382" s="485"/>
      <c r="F382" s="176">
        <f>F376+F379</f>
        <v>582444835</v>
      </c>
      <c r="G382" s="276" t="s">
        <v>24</v>
      </c>
      <c r="H382" s="277">
        <f>SUM(H13,H21,H29,H37,H45,H60,H68,H76,H84,H124,H92,H100,H108,H116,H132,H140,H148,H156,H164,H172,H180,H188,H196,H204,H220,H228,H236)+SUM(H244,H252,H260,H268,H276,H284,H292,H300,H308,H316,H324,H332,H340,H348,H356,H364)</f>
        <v>87484049</v>
      </c>
      <c r="I382" s="277">
        <f>SUM(I13,I21,I29,I37,I45,I60,I68,I76,I84,I124,I92,I100,I108,I116,I132,I140,I148,I156,I164,I172,I180,I188,I196,I204,I220,I228,I236)+SUM(I244,I252,I260,I268,I276,I284,I292,I300,I308,I316,I324,I332,I340,I348,I356,I364)</f>
        <v>117969952</v>
      </c>
      <c r="J382" s="277">
        <f>SUM(J13,J21,J29,J37,J45,J60,J68,J76,J84,J124,J92,J100,J108,J116,J132,J140,J148,J156,J164,J172,J180,J188,J196,J204,J220,J228,J236)+SUM(J244,J252,J260,J268,J276,J284,J292,J300,J308,J316,J324,J332,J340,J348,J356,J364)</f>
        <v>106151274</v>
      </c>
      <c r="K382" s="277">
        <f>SUM(K13,K21,K29,K37,K45,K60,K68,K76,K84,K124,K92,K100,K108,K116,K132,K140,K148,K156,K164,K172,K180,K188,K196,K204,K220,K228,K236)+SUM(K244,K252,K260,K268,K276,K284,K292,K300,K308,K316,K324,K332,K340,K348,K356,K364)</f>
        <v>193635323</v>
      </c>
      <c r="L382" s="278">
        <f>K382/F382</f>
        <v>0.33245263991395857</v>
      </c>
    </row>
    <row r="383" spans="1:12" s="164" customFormat="1" ht="12.75">
      <c r="A383" s="273"/>
      <c r="B383" s="266"/>
      <c r="C383" s="267"/>
      <c r="D383" s="268"/>
      <c r="E383" s="269"/>
      <c r="F383" s="262"/>
      <c r="G383" s="263"/>
      <c r="H383" s="264"/>
      <c r="I383" s="264"/>
      <c r="J383" s="264"/>
      <c r="K383" s="264"/>
      <c r="L383" s="264"/>
    </row>
    <row r="384" spans="1:12" s="164" customFormat="1" ht="12.75">
      <c r="A384" s="471"/>
      <c r="B384" s="472"/>
      <c r="C384" s="473"/>
      <c r="D384" s="474"/>
      <c r="E384" s="475"/>
      <c r="F384" s="476"/>
      <c r="G384" s="263"/>
      <c r="H384" s="264"/>
      <c r="I384" s="264"/>
      <c r="J384" s="264"/>
      <c r="K384" s="264"/>
      <c r="L384" s="264"/>
    </row>
    <row r="385" spans="1:12" s="164" customFormat="1" ht="12.75">
      <c r="A385" s="471"/>
      <c r="B385" s="472"/>
      <c r="C385" s="473"/>
      <c r="D385" s="474"/>
      <c r="E385" s="475"/>
      <c r="F385" s="477"/>
      <c r="G385" s="263"/>
      <c r="H385" s="264"/>
      <c r="I385" s="264"/>
      <c r="J385" s="264"/>
      <c r="K385" s="264"/>
      <c r="L385" s="264"/>
    </row>
    <row r="386" spans="1:12" s="164" customFormat="1" ht="12.75">
      <c r="A386" s="471"/>
      <c r="B386" s="472"/>
      <c r="C386" s="473"/>
      <c r="D386" s="474"/>
      <c r="E386" s="475"/>
      <c r="F386" s="262"/>
      <c r="G386" s="263"/>
      <c r="H386" s="270"/>
      <c r="I386" s="270"/>
      <c r="J386" s="270"/>
      <c r="K386" s="270"/>
      <c r="L386" s="270"/>
    </row>
    <row r="387" spans="1:12" s="164" customFormat="1" ht="12.75">
      <c r="A387" s="471"/>
      <c r="B387" s="472"/>
      <c r="C387" s="473"/>
      <c r="D387" s="474"/>
      <c r="E387" s="475"/>
      <c r="F387" s="262"/>
      <c r="G387" s="263"/>
      <c r="H387" s="270"/>
      <c r="I387" s="270"/>
      <c r="J387" s="270"/>
      <c r="K387" s="270"/>
      <c r="L387" s="270"/>
    </row>
    <row r="388" spans="1:12" s="164" customFormat="1" ht="12.75">
      <c r="A388" s="471"/>
      <c r="B388" s="472"/>
      <c r="C388" s="473"/>
      <c r="D388" s="474"/>
      <c r="E388" s="475"/>
      <c r="F388" s="262"/>
      <c r="G388" s="263"/>
      <c r="H388" s="264"/>
      <c r="I388" s="264"/>
      <c r="J388" s="264"/>
      <c r="K388" s="264"/>
      <c r="L388" s="264"/>
    </row>
    <row r="389" spans="1:12" s="164" customFormat="1" ht="12.75">
      <c r="A389" s="471"/>
      <c r="B389" s="472"/>
      <c r="C389" s="473"/>
      <c r="D389" s="474"/>
      <c r="E389" s="475"/>
      <c r="F389" s="476"/>
      <c r="G389" s="263"/>
      <c r="H389" s="264"/>
      <c r="I389" s="264"/>
      <c r="J389" s="264"/>
      <c r="K389" s="264"/>
      <c r="L389" s="264"/>
    </row>
    <row r="390" spans="1:12" s="164" customFormat="1" ht="12.75">
      <c r="A390" s="471"/>
      <c r="B390" s="472"/>
      <c r="C390" s="473"/>
      <c r="D390" s="474"/>
      <c r="E390" s="475"/>
      <c r="F390" s="477"/>
      <c r="G390" s="263"/>
      <c r="H390" s="264"/>
      <c r="I390" s="264"/>
      <c r="J390" s="264"/>
      <c r="K390" s="264"/>
      <c r="L390" s="264"/>
    </row>
    <row r="391" spans="1:12" s="164" customFormat="1" ht="12.75">
      <c r="A391" s="471"/>
      <c r="B391" s="472"/>
      <c r="C391" s="473"/>
      <c r="D391" s="474"/>
      <c r="E391" s="475"/>
      <c r="F391" s="262"/>
      <c r="G391" s="263"/>
      <c r="H391" s="264"/>
      <c r="I391" s="264"/>
      <c r="J391" s="264"/>
      <c r="K391" s="264"/>
      <c r="L391" s="264"/>
    </row>
    <row r="392" spans="1:12" s="164" customFormat="1" ht="12.75">
      <c r="A392" s="471"/>
      <c r="B392" s="472"/>
      <c r="C392" s="473"/>
      <c r="D392" s="474"/>
      <c r="E392" s="475"/>
      <c r="F392" s="476"/>
      <c r="G392" s="263"/>
      <c r="H392" s="264"/>
      <c r="I392" s="264"/>
      <c r="J392" s="264"/>
      <c r="K392" s="264"/>
      <c r="L392" s="264"/>
    </row>
    <row r="393" spans="1:12" s="164" customFormat="1" ht="12.75">
      <c r="A393" s="471"/>
      <c r="B393" s="472"/>
      <c r="C393" s="473"/>
      <c r="D393" s="474"/>
      <c r="E393" s="475"/>
      <c r="F393" s="477"/>
      <c r="G393" s="263"/>
      <c r="H393" s="264"/>
      <c r="I393" s="264"/>
      <c r="J393" s="264"/>
      <c r="K393" s="264"/>
      <c r="L393" s="264"/>
    </row>
    <row r="394" spans="1:12" s="164" customFormat="1" ht="12.75">
      <c r="A394" s="471"/>
      <c r="B394" s="472"/>
      <c r="C394" s="473"/>
      <c r="D394" s="474"/>
      <c r="E394" s="475"/>
      <c r="F394" s="262"/>
      <c r="G394" s="263"/>
      <c r="H394" s="270"/>
      <c r="I394" s="270"/>
      <c r="J394" s="270"/>
      <c r="K394" s="270"/>
      <c r="L394" s="270"/>
    </row>
    <row r="395" spans="1:12" s="164" customFormat="1" ht="12.75">
      <c r="A395" s="471"/>
      <c r="B395" s="472"/>
      <c r="C395" s="473"/>
      <c r="D395" s="474"/>
      <c r="E395" s="475"/>
      <c r="F395" s="262"/>
      <c r="G395" s="263"/>
      <c r="H395" s="270"/>
      <c r="I395" s="270"/>
      <c r="J395" s="270"/>
      <c r="K395" s="270"/>
      <c r="L395" s="270"/>
    </row>
    <row r="396" spans="1:12" s="164" customFormat="1" ht="12.75">
      <c r="A396" s="471"/>
      <c r="B396" s="472"/>
      <c r="C396" s="473"/>
      <c r="D396" s="474"/>
      <c r="E396" s="475"/>
      <c r="F396" s="262"/>
      <c r="G396" s="263"/>
      <c r="H396" s="264"/>
      <c r="I396" s="264"/>
      <c r="J396" s="264"/>
      <c r="K396" s="264"/>
      <c r="L396" s="264"/>
    </row>
    <row r="397" spans="1:12" s="164" customFormat="1" ht="12.75">
      <c r="A397" s="471"/>
      <c r="B397" s="472"/>
      <c r="C397" s="473"/>
      <c r="D397" s="474"/>
      <c r="E397" s="475"/>
      <c r="F397" s="476"/>
      <c r="G397" s="263"/>
      <c r="H397" s="264"/>
      <c r="I397" s="264"/>
      <c r="J397" s="264"/>
      <c r="K397" s="264"/>
      <c r="L397" s="264"/>
    </row>
    <row r="398" spans="1:12" s="164" customFormat="1" ht="12.75">
      <c r="A398" s="471"/>
      <c r="B398" s="472"/>
      <c r="C398" s="473"/>
      <c r="D398" s="474"/>
      <c r="E398" s="475"/>
      <c r="F398" s="477"/>
      <c r="G398" s="263"/>
      <c r="H398" s="264"/>
      <c r="I398" s="264"/>
      <c r="J398" s="264"/>
      <c r="K398" s="264"/>
      <c r="L398" s="264"/>
    </row>
    <row r="399" spans="1:12" s="164" customFormat="1" ht="12.75">
      <c r="A399" s="471"/>
      <c r="B399" s="472"/>
      <c r="C399" s="473"/>
      <c r="D399" s="474"/>
      <c r="E399" s="475"/>
      <c r="F399" s="262"/>
      <c r="G399" s="263"/>
      <c r="H399" s="264"/>
      <c r="I399" s="264"/>
      <c r="J399" s="264"/>
      <c r="K399" s="264"/>
      <c r="L399" s="264"/>
    </row>
    <row r="400" spans="1:12" s="164" customFormat="1" ht="12.75">
      <c r="A400" s="471"/>
      <c r="B400" s="472"/>
      <c r="C400" s="473"/>
      <c r="D400" s="474"/>
      <c r="E400" s="475"/>
      <c r="F400" s="476"/>
      <c r="G400" s="263"/>
      <c r="H400" s="264"/>
      <c r="I400" s="264"/>
      <c r="J400" s="264"/>
      <c r="K400" s="264"/>
      <c r="L400" s="264"/>
    </row>
    <row r="401" spans="1:12" s="164" customFormat="1" ht="12.75">
      <c r="A401" s="471"/>
      <c r="B401" s="472"/>
      <c r="C401" s="473"/>
      <c r="D401" s="474"/>
      <c r="E401" s="475"/>
      <c r="F401" s="477"/>
      <c r="G401" s="263"/>
      <c r="H401" s="264"/>
      <c r="I401" s="264"/>
      <c r="J401" s="264"/>
      <c r="K401" s="264"/>
      <c r="L401" s="264"/>
    </row>
    <row r="402" spans="1:12" s="164" customFormat="1" ht="12.75">
      <c r="A402" s="471"/>
      <c r="B402" s="472"/>
      <c r="C402" s="473"/>
      <c r="D402" s="474"/>
      <c r="E402" s="475"/>
      <c r="F402" s="262"/>
      <c r="G402" s="263"/>
      <c r="H402" s="270"/>
      <c r="I402" s="270"/>
      <c r="J402" s="270"/>
      <c r="K402" s="270"/>
      <c r="L402" s="270"/>
    </row>
    <row r="403" spans="1:12" s="164" customFormat="1" ht="12.75">
      <c r="A403" s="471"/>
      <c r="B403" s="472"/>
      <c r="C403" s="473"/>
      <c r="D403" s="474"/>
      <c r="E403" s="475"/>
      <c r="F403" s="262"/>
      <c r="G403" s="263"/>
      <c r="H403" s="270"/>
      <c r="I403" s="270"/>
      <c r="J403" s="270"/>
      <c r="K403" s="270"/>
      <c r="L403" s="270"/>
    </row>
    <row r="404" spans="1:12" s="164" customFormat="1" ht="12.75">
      <c r="A404" s="471"/>
      <c r="B404" s="472"/>
      <c r="C404" s="473"/>
      <c r="D404" s="474"/>
      <c r="E404" s="475"/>
      <c r="F404" s="262"/>
      <c r="G404" s="263"/>
      <c r="H404" s="264"/>
      <c r="I404" s="264"/>
      <c r="J404" s="264"/>
      <c r="K404" s="264"/>
      <c r="L404" s="264"/>
    </row>
    <row r="405" spans="1:12" s="164" customFormat="1" ht="12.75">
      <c r="A405" s="471"/>
      <c r="B405" s="472"/>
      <c r="C405" s="473"/>
      <c r="D405" s="474"/>
      <c r="E405" s="475"/>
      <c r="F405" s="476"/>
      <c r="G405" s="263"/>
      <c r="H405" s="264"/>
      <c r="I405" s="264"/>
      <c r="J405" s="264"/>
      <c r="K405" s="264"/>
      <c r="L405" s="264"/>
    </row>
    <row r="406" spans="1:12" s="164" customFormat="1" ht="12.75">
      <c r="A406" s="471"/>
      <c r="B406" s="472"/>
      <c r="C406" s="473"/>
      <c r="D406" s="474"/>
      <c r="E406" s="475"/>
      <c r="F406" s="477"/>
      <c r="G406" s="263"/>
      <c r="H406" s="264"/>
      <c r="I406" s="264"/>
      <c r="J406" s="264"/>
      <c r="K406" s="264"/>
      <c r="L406" s="264"/>
    </row>
    <row r="407" spans="1:12" s="164" customFormat="1" ht="12.75">
      <c r="A407" s="471"/>
      <c r="B407" s="472"/>
      <c r="C407" s="473"/>
      <c r="D407" s="474"/>
      <c r="E407" s="475"/>
      <c r="F407" s="262"/>
      <c r="G407" s="263"/>
      <c r="H407" s="264"/>
      <c r="I407" s="264"/>
      <c r="J407" s="264"/>
      <c r="K407" s="264"/>
      <c r="L407" s="264"/>
    </row>
    <row r="408" spans="1:12" s="164" customFormat="1" ht="12.75">
      <c r="A408" s="471"/>
      <c r="B408" s="472"/>
      <c r="C408" s="473"/>
      <c r="D408" s="474"/>
      <c r="E408" s="475"/>
      <c r="F408" s="476"/>
      <c r="G408" s="263"/>
      <c r="H408" s="264"/>
      <c r="I408" s="264"/>
      <c r="J408" s="264"/>
      <c r="K408" s="264"/>
      <c r="L408" s="264"/>
    </row>
    <row r="409" spans="1:12" s="164" customFormat="1" ht="12.75">
      <c r="A409" s="471"/>
      <c r="B409" s="472"/>
      <c r="C409" s="473"/>
      <c r="D409" s="474"/>
      <c r="E409" s="475"/>
      <c r="F409" s="477"/>
      <c r="G409" s="263"/>
      <c r="H409" s="264"/>
      <c r="I409" s="264"/>
      <c r="J409" s="264"/>
      <c r="K409" s="264"/>
      <c r="L409" s="264"/>
    </row>
    <row r="410" spans="1:12" s="164" customFormat="1" ht="12.75">
      <c r="A410" s="471"/>
      <c r="B410" s="472"/>
      <c r="C410" s="473"/>
      <c r="D410" s="474"/>
      <c r="E410" s="475"/>
      <c r="F410" s="262"/>
      <c r="G410" s="263"/>
      <c r="H410" s="270"/>
      <c r="I410" s="270"/>
      <c r="J410" s="270"/>
      <c r="K410" s="270"/>
      <c r="L410" s="270"/>
    </row>
    <row r="411" spans="1:12" s="164" customFormat="1" ht="12.75">
      <c r="A411" s="471"/>
      <c r="B411" s="472"/>
      <c r="C411" s="473"/>
      <c r="D411" s="474"/>
      <c r="E411" s="475"/>
      <c r="F411" s="262"/>
      <c r="G411" s="263"/>
      <c r="H411" s="270"/>
      <c r="I411" s="270"/>
      <c r="J411" s="270"/>
      <c r="K411" s="270"/>
      <c r="L411" s="270"/>
    </row>
    <row r="412" spans="1:12" s="164" customFormat="1" ht="12.75">
      <c r="A412" s="471"/>
      <c r="B412" s="472"/>
      <c r="C412" s="473"/>
      <c r="D412" s="474"/>
      <c r="E412" s="475"/>
      <c r="F412" s="262"/>
      <c r="G412" s="263"/>
      <c r="H412" s="264"/>
      <c r="I412" s="264"/>
      <c r="J412" s="264"/>
      <c r="K412" s="264"/>
      <c r="L412" s="264"/>
    </row>
    <row r="413" spans="1:12" s="164" customFormat="1" ht="12.75">
      <c r="A413" s="471"/>
      <c r="B413" s="472"/>
      <c r="C413" s="473"/>
      <c r="D413" s="474"/>
      <c r="E413" s="475"/>
      <c r="F413" s="476"/>
      <c r="G413" s="263"/>
      <c r="H413" s="264"/>
      <c r="I413" s="264"/>
      <c r="J413" s="264"/>
      <c r="K413" s="264"/>
      <c r="L413" s="264"/>
    </row>
    <row r="414" spans="1:12" s="164" customFormat="1" ht="12.75">
      <c r="A414" s="471"/>
      <c r="B414" s="472"/>
      <c r="C414" s="473"/>
      <c r="D414" s="474"/>
      <c r="E414" s="475"/>
      <c r="F414" s="477"/>
      <c r="G414" s="263"/>
      <c r="H414" s="264"/>
      <c r="I414" s="264"/>
      <c r="J414" s="264"/>
      <c r="K414" s="264"/>
      <c r="L414" s="264"/>
    </row>
    <row r="415" spans="1:12" s="164" customFormat="1" ht="12.75">
      <c r="A415" s="471"/>
      <c r="B415" s="472"/>
      <c r="C415" s="473"/>
      <c r="D415" s="474"/>
      <c r="E415" s="475"/>
      <c r="F415" s="262"/>
      <c r="G415" s="263"/>
      <c r="H415" s="264"/>
      <c r="I415" s="264"/>
      <c r="J415" s="264"/>
      <c r="K415" s="264"/>
      <c r="L415" s="264"/>
    </row>
    <row r="416" spans="1:12" s="164" customFormat="1" ht="12.75">
      <c r="A416" s="471"/>
      <c r="B416" s="472"/>
      <c r="C416" s="473"/>
      <c r="D416" s="474"/>
      <c r="E416" s="475"/>
      <c r="F416" s="476"/>
      <c r="G416" s="263"/>
      <c r="H416" s="264"/>
      <c r="I416" s="264"/>
      <c r="J416" s="264"/>
      <c r="K416" s="264"/>
      <c r="L416" s="264"/>
    </row>
    <row r="417" spans="1:12" s="164" customFormat="1" ht="12.75">
      <c r="A417" s="471"/>
      <c r="B417" s="472"/>
      <c r="C417" s="473"/>
      <c r="D417" s="474"/>
      <c r="E417" s="475"/>
      <c r="F417" s="477"/>
      <c r="G417" s="263"/>
      <c r="H417" s="264"/>
      <c r="I417" s="264"/>
      <c r="J417" s="264"/>
      <c r="K417" s="264"/>
      <c r="L417" s="264"/>
    </row>
    <row r="418" spans="1:12" s="164" customFormat="1" ht="12.75">
      <c r="A418" s="471"/>
      <c r="B418" s="472"/>
      <c r="C418" s="473"/>
      <c r="D418" s="474"/>
      <c r="E418" s="475"/>
      <c r="F418" s="262"/>
      <c r="G418" s="263"/>
      <c r="H418" s="270"/>
      <c r="I418" s="270"/>
      <c r="J418" s="270"/>
      <c r="K418" s="270"/>
      <c r="L418" s="270"/>
    </row>
    <row r="419" spans="1:12" s="164" customFormat="1" ht="12.75">
      <c r="A419" s="471"/>
      <c r="B419" s="472"/>
      <c r="C419" s="473"/>
      <c r="D419" s="474"/>
      <c r="E419" s="475"/>
      <c r="F419" s="262"/>
      <c r="G419" s="263"/>
      <c r="H419" s="270"/>
      <c r="I419" s="270"/>
      <c r="J419" s="270"/>
      <c r="K419" s="270"/>
      <c r="L419" s="270"/>
    </row>
    <row r="420" spans="1:12" s="164" customFormat="1" ht="12.75">
      <c r="A420" s="471"/>
      <c r="B420" s="472"/>
      <c r="C420" s="473"/>
      <c r="D420" s="474"/>
      <c r="E420" s="475"/>
      <c r="F420" s="262"/>
      <c r="G420" s="263"/>
      <c r="H420" s="264"/>
      <c r="I420" s="264"/>
      <c r="J420" s="264"/>
      <c r="K420" s="264"/>
      <c r="L420" s="264"/>
    </row>
    <row r="421" spans="1:12" s="164" customFormat="1" ht="12.75">
      <c r="A421" s="471"/>
      <c r="B421" s="472"/>
      <c r="C421" s="473"/>
      <c r="D421" s="474"/>
      <c r="E421" s="475"/>
      <c r="F421" s="476"/>
      <c r="G421" s="263"/>
      <c r="H421" s="264"/>
      <c r="I421" s="264"/>
      <c r="J421" s="264"/>
      <c r="K421" s="264"/>
      <c r="L421" s="264"/>
    </row>
    <row r="422" spans="1:12" s="164" customFormat="1" ht="12.75">
      <c r="A422" s="471"/>
      <c r="B422" s="472"/>
      <c r="C422" s="473"/>
      <c r="D422" s="474"/>
      <c r="E422" s="475"/>
      <c r="F422" s="477"/>
      <c r="G422" s="263"/>
      <c r="H422" s="264"/>
      <c r="I422" s="264"/>
      <c r="J422" s="264"/>
      <c r="K422" s="264"/>
      <c r="L422" s="264"/>
    </row>
    <row r="423" spans="1:12" s="164" customFormat="1" ht="12.75">
      <c r="A423" s="471"/>
      <c r="B423" s="472"/>
      <c r="C423" s="473"/>
      <c r="D423" s="474"/>
      <c r="E423" s="475"/>
      <c r="F423" s="262"/>
      <c r="G423" s="263"/>
      <c r="H423" s="264"/>
      <c r="I423" s="264"/>
      <c r="J423" s="264"/>
      <c r="K423" s="264"/>
      <c r="L423" s="264"/>
    </row>
    <row r="424" spans="1:12" s="164" customFormat="1" ht="12.75">
      <c r="A424" s="471"/>
      <c r="B424" s="472"/>
      <c r="C424" s="473"/>
      <c r="D424" s="474"/>
      <c r="E424" s="475"/>
      <c r="F424" s="476"/>
      <c r="G424" s="263"/>
      <c r="H424" s="264"/>
      <c r="I424" s="264"/>
      <c r="J424" s="264"/>
      <c r="K424" s="264"/>
      <c r="L424" s="264"/>
    </row>
    <row r="425" spans="1:12" s="164" customFormat="1" ht="12.75">
      <c r="A425" s="471"/>
      <c r="B425" s="472"/>
      <c r="C425" s="473"/>
      <c r="D425" s="474"/>
      <c r="E425" s="475"/>
      <c r="F425" s="477"/>
      <c r="G425" s="263"/>
      <c r="H425" s="264"/>
      <c r="I425" s="264"/>
      <c r="J425" s="264"/>
      <c r="K425" s="264"/>
      <c r="L425" s="264"/>
    </row>
    <row r="426" spans="1:12" s="164" customFormat="1" ht="12.75">
      <c r="A426" s="471"/>
      <c r="B426" s="472"/>
      <c r="C426" s="473"/>
      <c r="D426" s="474"/>
      <c r="E426" s="475"/>
      <c r="F426" s="262"/>
      <c r="G426" s="263"/>
      <c r="H426" s="270"/>
      <c r="I426" s="270"/>
      <c r="J426" s="270"/>
      <c r="K426" s="270"/>
      <c r="L426" s="270"/>
    </row>
    <row r="427" spans="1:12" s="164" customFormat="1" ht="12.75">
      <c r="A427" s="471"/>
      <c r="B427" s="472"/>
      <c r="C427" s="473"/>
      <c r="D427" s="474"/>
      <c r="E427" s="475"/>
      <c r="F427" s="262"/>
      <c r="G427" s="263"/>
      <c r="H427" s="270"/>
      <c r="I427" s="270"/>
      <c r="J427" s="270"/>
      <c r="K427" s="270"/>
      <c r="L427" s="270"/>
    </row>
    <row r="428" spans="1:12" s="164" customFormat="1" ht="12.75">
      <c r="A428" s="471"/>
      <c r="B428" s="472"/>
      <c r="C428" s="473"/>
      <c r="D428" s="474"/>
      <c r="E428" s="475"/>
      <c r="F428" s="262"/>
      <c r="G428" s="263"/>
      <c r="H428" s="264"/>
      <c r="I428" s="264"/>
      <c r="J428" s="264"/>
      <c r="K428" s="264"/>
      <c r="L428" s="264"/>
    </row>
    <row r="429" spans="1:12" s="164" customFormat="1" ht="12.75">
      <c r="A429" s="471"/>
      <c r="B429" s="472"/>
      <c r="C429" s="473"/>
      <c r="D429" s="474"/>
      <c r="E429" s="475"/>
      <c r="F429" s="476"/>
      <c r="G429" s="263"/>
      <c r="H429" s="264"/>
      <c r="I429" s="264"/>
      <c r="J429" s="264"/>
      <c r="K429" s="264"/>
      <c r="L429" s="264"/>
    </row>
    <row r="430" spans="1:12" s="164" customFormat="1" ht="12.75">
      <c r="A430" s="471"/>
      <c r="B430" s="472"/>
      <c r="C430" s="473"/>
      <c r="D430" s="474"/>
      <c r="E430" s="475"/>
      <c r="F430" s="477"/>
      <c r="G430" s="263"/>
      <c r="H430" s="264"/>
      <c r="I430" s="264"/>
      <c r="J430" s="264"/>
      <c r="K430" s="264"/>
      <c r="L430" s="264"/>
    </row>
    <row r="431" spans="1:12" s="164" customFormat="1" ht="12.75">
      <c r="A431" s="471"/>
      <c r="B431" s="472"/>
      <c r="C431" s="473"/>
      <c r="D431" s="474"/>
      <c r="E431" s="475"/>
      <c r="F431" s="262"/>
      <c r="G431" s="263"/>
      <c r="H431" s="264"/>
      <c r="I431" s="264"/>
      <c r="J431" s="264"/>
      <c r="K431" s="264"/>
      <c r="L431" s="264"/>
    </row>
    <row r="432" spans="1:12" s="164" customFormat="1" ht="12.75">
      <c r="A432" s="471"/>
      <c r="B432" s="472"/>
      <c r="C432" s="473"/>
      <c r="D432" s="474"/>
      <c r="E432" s="475"/>
      <c r="F432" s="476"/>
      <c r="G432" s="263"/>
      <c r="H432" s="264"/>
      <c r="I432" s="264"/>
      <c r="J432" s="264"/>
      <c r="K432" s="264"/>
      <c r="L432" s="264"/>
    </row>
    <row r="433" spans="1:12" s="164" customFormat="1" ht="12.75">
      <c r="A433" s="471"/>
      <c r="B433" s="472"/>
      <c r="C433" s="473"/>
      <c r="D433" s="474"/>
      <c r="E433" s="475"/>
      <c r="F433" s="477"/>
      <c r="G433" s="263"/>
      <c r="H433" s="264"/>
      <c r="I433" s="264"/>
      <c r="J433" s="264"/>
      <c r="K433" s="264"/>
      <c r="L433" s="264"/>
    </row>
    <row r="434" spans="1:12" s="164" customFormat="1" ht="12.75">
      <c r="A434" s="471"/>
      <c r="B434" s="472"/>
      <c r="C434" s="473"/>
      <c r="D434" s="474"/>
      <c r="E434" s="475"/>
      <c r="F434" s="262"/>
      <c r="G434" s="263"/>
      <c r="H434" s="270"/>
      <c r="I434" s="270"/>
      <c r="J434" s="270"/>
      <c r="K434" s="270"/>
      <c r="L434" s="270"/>
    </row>
    <row r="435" spans="1:12" s="164" customFormat="1" ht="12.75">
      <c r="A435" s="471"/>
      <c r="B435" s="472"/>
      <c r="C435" s="473"/>
      <c r="D435" s="474"/>
      <c r="E435" s="475"/>
      <c r="F435" s="262"/>
      <c r="G435" s="263"/>
      <c r="H435" s="270"/>
      <c r="I435" s="270"/>
      <c r="J435" s="270"/>
      <c r="K435" s="270"/>
      <c r="L435" s="270"/>
    </row>
    <row r="436" spans="1:12" s="164" customFormat="1" ht="12.75">
      <c r="A436" s="471"/>
      <c r="B436" s="472"/>
      <c r="C436" s="473"/>
      <c r="D436" s="474"/>
      <c r="E436" s="475"/>
      <c r="F436" s="262"/>
      <c r="G436" s="263"/>
      <c r="H436" s="264"/>
      <c r="I436" s="264"/>
      <c r="J436" s="264"/>
      <c r="K436" s="264"/>
      <c r="L436" s="264"/>
    </row>
    <row r="437" spans="1:12" s="164" customFormat="1" ht="12.75">
      <c r="A437" s="471"/>
      <c r="B437" s="472"/>
      <c r="C437" s="473"/>
      <c r="D437" s="474"/>
      <c r="E437" s="475"/>
      <c r="F437" s="476"/>
      <c r="G437" s="263"/>
      <c r="H437" s="264"/>
      <c r="I437" s="264"/>
      <c r="J437" s="264"/>
      <c r="K437" s="264"/>
      <c r="L437" s="264"/>
    </row>
    <row r="438" spans="1:12" ht="12.75">
      <c r="A438" s="471"/>
      <c r="B438" s="472"/>
      <c r="C438" s="473"/>
      <c r="D438" s="474"/>
      <c r="E438" s="475"/>
      <c r="F438" s="477"/>
      <c r="G438" s="263"/>
      <c r="H438" s="279"/>
      <c r="I438" s="279"/>
      <c r="J438" s="279"/>
      <c r="K438" s="279"/>
      <c r="L438" s="279"/>
    </row>
    <row r="439" spans="1:12" ht="12.75">
      <c r="A439" s="471"/>
      <c r="B439" s="472"/>
      <c r="C439" s="473"/>
      <c r="D439" s="474"/>
      <c r="E439" s="475"/>
      <c r="F439" s="262"/>
      <c r="G439" s="263"/>
      <c r="H439" s="279"/>
      <c r="I439" s="279"/>
      <c r="J439" s="279"/>
      <c r="K439" s="279"/>
      <c r="L439" s="279"/>
    </row>
    <row r="440" spans="1:12" ht="12.75">
      <c r="A440" s="471"/>
      <c r="B440" s="472"/>
      <c r="C440" s="473"/>
      <c r="D440" s="474"/>
      <c r="E440" s="475"/>
      <c r="F440" s="476"/>
      <c r="G440" s="263"/>
      <c r="H440" s="279"/>
      <c r="I440" s="279"/>
      <c r="J440" s="279"/>
      <c r="K440" s="279"/>
      <c r="L440" s="279"/>
    </row>
    <row r="441" spans="1:12" ht="12.75">
      <c r="A441" s="471"/>
      <c r="B441" s="472"/>
      <c r="C441" s="473"/>
      <c r="D441" s="474"/>
      <c r="E441" s="475"/>
      <c r="F441" s="477"/>
      <c r="G441" s="263"/>
      <c r="H441" s="279"/>
      <c r="I441" s="279"/>
      <c r="J441" s="279"/>
      <c r="K441" s="279"/>
      <c r="L441" s="279"/>
    </row>
    <row r="442" spans="1:12" ht="12.75">
      <c r="A442" s="471"/>
      <c r="B442" s="472"/>
      <c r="C442" s="473"/>
      <c r="D442" s="474"/>
      <c r="E442" s="475"/>
      <c r="F442" s="262"/>
      <c r="G442" s="263"/>
      <c r="H442" s="280"/>
      <c r="I442" s="280"/>
      <c r="J442" s="280"/>
      <c r="K442" s="280"/>
      <c r="L442" s="280"/>
    </row>
    <row r="443" spans="1:12" ht="12.75">
      <c r="A443" s="471"/>
      <c r="B443" s="472"/>
      <c r="C443" s="473"/>
      <c r="D443" s="474"/>
      <c r="E443" s="475"/>
      <c r="F443" s="262"/>
      <c r="G443" s="263"/>
      <c r="H443" s="280"/>
      <c r="I443" s="280"/>
      <c r="J443" s="280"/>
      <c r="K443" s="280"/>
      <c r="L443" s="280"/>
    </row>
    <row r="444" spans="1:12" ht="12.75">
      <c r="A444" s="471"/>
      <c r="B444" s="472"/>
      <c r="C444" s="473"/>
      <c r="D444" s="474"/>
      <c r="E444" s="475"/>
      <c r="F444" s="262"/>
      <c r="G444" s="263"/>
      <c r="H444" s="279"/>
      <c r="I444" s="279"/>
      <c r="J444" s="279"/>
      <c r="K444" s="279"/>
      <c r="L444" s="279"/>
    </row>
    <row r="445" spans="1:12" ht="12.75">
      <c r="A445" s="471"/>
      <c r="B445" s="472"/>
      <c r="C445" s="473"/>
      <c r="D445" s="474"/>
      <c r="E445" s="475"/>
      <c r="F445" s="476"/>
      <c r="G445" s="263"/>
      <c r="H445" s="279"/>
      <c r="I445" s="279"/>
      <c r="J445" s="279"/>
      <c r="K445" s="279"/>
      <c r="L445" s="279"/>
    </row>
    <row r="446" spans="1:12" ht="12.75">
      <c r="A446" s="471"/>
      <c r="B446" s="472"/>
      <c r="C446" s="473"/>
      <c r="D446" s="474"/>
      <c r="E446" s="475"/>
      <c r="F446" s="477"/>
      <c r="G446" s="263"/>
      <c r="H446" s="279"/>
      <c r="I446" s="279"/>
      <c r="J446" s="279"/>
      <c r="K446" s="279"/>
      <c r="L446" s="279"/>
    </row>
    <row r="447" spans="1:12" ht="12.75">
      <c r="A447" s="471"/>
      <c r="B447" s="472"/>
      <c r="C447" s="473"/>
      <c r="D447" s="474"/>
      <c r="E447" s="475"/>
      <c r="F447" s="262"/>
      <c r="G447" s="263"/>
      <c r="H447" s="279"/>
      <c r="I447" s="279"/>
      <c r="J447" s="279"/>
      <c r="K447" s="279"/>
      <c r="L447" s="279"/>
    </row>
    <row r="448" spans="1:12" ht="12.75">
      <c r="A448" s="471"/>
      <c r="B448" s="472"/>
      <c r="C448" s="473"/>
      <c r="D448" s="474"/>
      <c r="E448" s="475"/>
      <c r="F448" s="476"/>
      <c r="G448" s="263"/>
      <c r="H448" s="279"/>
      <c r="I448" s="279"/>
      <c r="J448" s="279"/>
      <c r="K448" s="279"/>
      <c r="L448" s="279"/>
    </row>
    <row r="449" spans="1:12" ht="12.75">
      <c r="A449" s="471"/>
      <c r="B449" s="472"/>
      <c r="C449" s="473"/>
      <c r="D449" s="474"/>
      <c r="E449" s="475"/>
      <c r="F449" s="477"/>
      <c r="G449" s="263"/>
      <c r="H449" s="279"/>
      <c r="I449" s="279"/>
      <c r="J449" s="279"/>
      <c r="K449" s="279"/>
      <c r="L449" s="279"/>
    </row>
    <row r="450" spans="1:12" ht="12.75">
      <c r="A450" s="471"/>
      <c r="B450" s="472"/>
      <c r="C450" s="473"/>
      <c r="D450" s="474"/>
      <c r="E450" s="475"/>
      <c r="F450" s="262"/>
      <c r="G450" s="263"/>
      <c r="H450" s="280"/>
      <c r="I450" s="280"/>
      <c r="J450" s="280"/>
      <c r="K450" s="280"/>
      <c r="L450" s="280"/>
    </row>
    <row r="451" spans="1:12" ht="12.75">
      <c r="A451" s="471"/>
      <c r="B451" s="472"/>
      <c r="C451" s="473"/>
      <c r="D451" s="474"/>
      <c r="E451" s="475"/>
      <c r="F451" s="262"/>
      <c r="G451" s="263"/>
      <c r="H451" s="280"/>
      <c r="I451" s="280"/>
      <c r="J451" s="280"/>
      <c r="K451" s="280"/>
      <c r="L451" s="280"/>
    </row>
    <row r="452" spans="1:12" ht="12.75">
      <c r="A452" s="471"/>
      <c r="B452" s="472"/>
      <c r="C452" s="473"/>
      <c r="D452" s="474"/>
      <c r="E452" s="475"/>
      <c r="F452" s="262"/>
      <c r="G452" s="263"/>
      <c r="H452" s="279"/>
      <c r="I452" s="279"/>
      <c r="J452" s="279"/>
      <c r="K452" s="279"/>
      <c r="L452" s="279"/>
    </row>
    <row r="453" spans="1:12" ht="12.75">
      <c r="A453" s="471"/>
      <c r="B453" s="472"/>
      <c r="C453" s="473"/>
      <c r="D453" s="474"/>
      <c r="E453" s="475"/>
      <c r="F453" s="476"/>
      <c r="G453" s="263"/>
      <c r="H453" s="279"/>
      <c r="I453" s="279"/>
      <c r="J453" s="279"/>
      <c r="K453" s="279"/>
      <c r="L453" s="279"/>
    </row>
    <row r="454" spans="1:12" ht="12.75">
      <c r="A454" s="471"/>
      <c r="B454" s="472"/>
      <c r="C454" s="473"/>
      <c r="D454" s="474"/>
      <c r="E454" s="475"/>
      <c r="F454" s="477"/>
      <c r="G454" s="263"/>
      <c r="H454" s="279"/>
      <c r="I454" s="279"/>
      <c r="J454" s="279"/>
      <c r="K454" s="279"/>
      <c r="L454" s="279"/>
    </row>
    <row r="455" spans="1:12" ht="12.75">
      <c r="A455" s="471"/>
      <c r="B455" s="472"/>
      <c r="C455" s="473"/>
      <c r="D455" s="474"/>
      <c r="E455" s="475"/>
      <c r="F455" s="262"/>
      <c r="G455" s="263"/>
      <c r="H455" s="279"/>
      <c r="I455" s="279"/>
      <c r="J455" s="279"/>
      <c r="K455" s="279"/>
      <c r="L455" s="279"/>
    </row>
    <row r="456" spans="1:12" ht="12.75">
      <c r="A456" s="471"/>
      <c r="B456" s="472"/>
      <c r="C456" s="473"/>
      <c r="D456" s="474"/>
      <c r="E456" s="475"/>
      <c r="F456" s="476"/>
      <c r="G456" s="263"/>
      <c r="H456" s="279"/>
      <c r="I456" s="279"/>
      <c r="J456" s="279"/>
      <c r="K456" s="279"/>
      <c r="L456" s="279"/>
    </row>
    <row r="457" spans="1:12" ht="12.75">
      <c r="A457" s="471"/>
      <c r="B457" s="472"/>
      <c r="C457" s="473"/>
      <c r="D457" s="474"/>
      <c r="E457" s="475"/>
      <c r="F457" s="477"/>
      <c r="G457" s="263"/>
      <c r="H457" s="279"/>
      <c r="I457" s="279"/>
      <c r="J457" s="279"/>
      <c r="K457" s="279"/>
      <c r="L457" s="279"/>
    </row>
    <row r="458" spans="1:12" ht="12.75">
      <c r="A458" s="471"/>
      <c r="B458" s="472"/>
      <c r="C458" s="473"/>
      <c r="D458" s="474"/>
      <c r="E458" s="475"/>
      <c r="F458" s="262"/>
      <c r="G458" s="263"/>
      <c r="H458" s="280"/>
      <c r="I458" s="280"/>
      <c r="J458" s="280"/>
      <c r="K458" s="280"/>
      <c r="L458" s="280"/>
    </row>
    <row r="459" spans="1:12" ht="12.75">
      <c r="A459" s="471"/>
      <c r="B459" s="472"/>
      <c r="C459" s="473"/>
      <c r="D459" s="474"/>
      <c r="E459" s="475"/>
      <c r="F459" s="262"/>
      <c r="G459" s="263"/>
      <c r="H459" s="280"/>
      <c r="I459" s="280"/>
      <c r="J459" s="280"/>
      <c r="K459" s="280"/>
      <c r="L459" s="280"/>
    </row>
  </sheetData>
  <sheetProtection/>
  <mergeCells count="461">
    <mergeCell ref="L3:L4"/>
    <mergeCell ref="C3:C4"/>
    <mergeCell ref="I3:I4"/>
    <mergeCell ref="J3:J4"/>
    <mergeCell ref="K3:K4"/>
    <mergeCell ref="G3:G4"/>
    <mergeCell ref="D3:D4"/>
    <mergeCell ref="E3:E4"/>
    <mergeCell ref="F3:F4"/>
    <mergeCell ref="H3:H4"/>
    <mergeCell ref="A2:L2"/>
    <mergeCell ref="E297:E300"/>
    <mergeCell ref="F297:F298"/>
    <mergeCell ref="A293:A300"/>
    <mergeCell ref="B293:B300"/>
    <mergeCell ref="C293:C300"/>
    <mergeCell ref="D293:D300"/>
    <mergeCell ref="A3:A4"/>
    <mergeCell ref="B3:B4"/>
    <mergeCell ref="F15:F16"/>
    <mergeCell ref="F10:F11"/>
    <mergeCell ref="C165:C172"/>
    <mergeCell ref="D165:D172"/>
    <mergeCell ref="E165:E168"/>
    <mergeCell ref="F166:F167"/>
    <mergeCell ref="E169:E172"/>
    <mergeCell ref="F169:F170"/>
    <mergeCell ref="E14:E17"/>
    <mergeCell ref="D69:D76"/>
    <mergeCell ref="E46:E48"/>
    <mergeCell ref="A6:A13"/>
    <mergeCell ref="B6:B13"/>
    <mergeCell ref="C6:C13"/>
    <mergeCell ref="D6:D13"/>
    <mergeCell ref="A101:A108"/>
    <mergeCell ref="E18:E21"/>
    <mergeCell ref="A22:A29"/>
    <mergeCell ref="B22:B29"/>
    <mergeCell ref="C22:C29"/>
    <mergeCell ref="D22:D29"/>
    <mergeCell ref="D14:D21"/>
    <mergeCell ref="C69:C76"/>
    <mergeCell ref="E26:E29"/>
    <mergeCell ref="E22:E25"/>
    <mergeCell ref="A85:A92"/>
    <mergeCell ref="A93:A100"/>
    <mergeCell ref="B93:B100"/>
    <mergeCell ref="A69:A76"/>
    <mergeCell ref="B69:B76"/>
    <mergeCell ref="A77:A84"/>
    <mergeCell ref="B77:B84"/>
    <mergeCell ref="A53:A60"/>
    <mergeCell ref="B53:B60"/>
    <mergeCell ref="A61:A68"/>
    <mergeCell ref="B61:B68"/>
    <mergeCell ref="C109:C116"/>
    <mergeCell ref="C101:C108"/>
    <mergeCell ref="D101:D108"/>
    <mergeCell ref="C93:C100"/>
    <mergeCell ref="D53:D60"/>
    <mergeCell ref="E38:E41"/>
    <mergeCell ref="E42:E45"/>
    <mergeCell ref="C85:C92"/>
    <mergeCell ref="E85:E88"/>
    <mergeCell ref="C77:C84"/>
    <mergeCell ref="D77:D84"/>
    <mergeCell ref="E77:E80"/>
    <mergeCell ref="C61:C68"/>
    <mergeCell ref="D61:D68"/>
    <mergeCell ref="D109:D116"/>
    <mergeCell ref="F110:F111"/>
    <mergeCell ref="D85:D92"/>
    <mergeCell ref="F89:F90"/>
    <mergeCell ref="D93:D100"/>
    <mergeCell ref="F86:F87"/>
    <mergeCell ref="E89:E92"/>
    <mergeCell ref="E93:E96"/>
    <mergeCell ref="F94:F95"/>
    <mergeCell ref="E97:E100"/>
    <mergeCell ref="F129:F130"/>
    <mergeCell ref="F177:F178"/>
    <mergeCell ref="F198:F199"/>
    <mergeCell ref="F201:F202"/>
    <mergeCell ref="F150:F151"/>
    <mergeCell ref="F158:F159"/>
    <mergeCell ref="F161:F162"/>
    <mergeCell ref="F142:F143"/>
    <mergeCell ref="F145:F146"/>
    <mergeCell ref="F153:F154"/>
    <mergeCell ref="F369:F370"/>
    <mergeCell ref="E369:E372"/>
    <mergeCell ref="C245:C252"/>
    <mergeCell ref="D245:D252"/>
    <mergeCell ref="E293:E296"/>
    <mergeCell ref="F294:F295"/>
    <mergeCell ref="E365:E368"/>
    <mergeCell ref="E341:E344"/>
    <mergeCell ref="E249:E252"/>
    <mergeCell ref="F249:F250"/>
    <mergeCell ref="B245:B252"/>
    <mergeCell ref="A245:A252"/>
    <mergeCell ref="B181:B188"/>
    <mergeCell ref="F366:F367"/>
    <mergeCell ref="E237:E240"/>
    <mergeCell ref="E241:E244"/>
    <mergeCell ref="F246:F247"/>
    <mergeCell ref="F209:F210"/>
    <mergeCell ref="B141:B148"/>
    <mergeCell ref="C141:C148"/>
    <mergeCell ref="D141:D148"/>
    <mergeCell ref="A165:A172"/>
    <mergeCell ref="A157:A164"/>
    <mergeCell ref="B165:B172"/>
    <mergeCell ref="A149:A156"/>
    <mergeCell ref="B149:B156"/>
    <mergeCell ref="B85:B92"/>
    <mergeCell ref="B125:B132"/>
    <mergeCell ref="A125:A132"/>
    <mergeCell ref="A109:A116"/>
    <mergeCell ref="B109:B116"/>
    <mergeCell ref="B101:B108"/>
    <mergeCell ref="A133:A140"/>
    <mergeCell ref="A141:A148"/>
    <mergeCell ref="F342:F343"/>
    <mergeCell ref="E345:E348"/>
    <mergeCell ref="F345:F346"/>
    <mergeCell ref="C157:C164"/>
    <mergeCell ref="E173:E176"/>
    <mergeCell ref="F174:F175"/>
    <mergeCell ref="E177:E180"/>
    <mergeCell ref="F241:F242"/>
    <mergeCell ref="F238:F239"/>
    <mergeCell ref="E157:E160"/>
    <mergeCell ref="F137:F138"/>
    <mergeCell ref="E109:E112"/>
    <mergeCell ref="E101:E104"/>
    <mergeCell ref="F102:F103"/>
    <mergeCell ref="E105:E108"/>
    <mergeCell ref="F105:F106"/>
    <mergeCell ref="E113:E116"/>
    <mergeCell ref="F113:F114"/>
    <mergeCell ref="F126:F127"/>
    <mergeCell ref="E133:E136"/>
    <mergeCell ref="C125:C132"/>
    <mergeCell ref="E245:E248"/>
    <mergeCell ref="D237:D244"/>
    <mergeCell ref="E129:E132"/>
    <mergeCell ref="D173:D180"/>
    <mergeCell ref="D149:D156"/>
    <mergeCell ref="D157:D164"/>
    <mergeCell ref="D125:D132"/>
    <mergeCell ref="E161:E164"/>
    <mergeCell ref="E201:E204"/>
    <mergeCell ref="E209:E212"/>
    <mergeCell ref="E125:E128"/>
    <mergeCell ref="E145:E148"/>
    <mergeCell ref="E141:E144"/>
    <mergeCell ref="E137:E140"/>
    <mergeCell ref="E153:E156"/>
    <mergeCell ref="E149:E152"/>
    <mergeCell ref="C149:C156"/>
    <mergeCell ref="A237:A244"/>
    <mergeCell ref="B237:B244"/>
    <mergeCell ref="C237:C244"/>
    <mergeCell ref="A205:A212"/>
    <mergeCell ref="A213:A220"/>
    <mergeCell ref="B213:B220"/>
    <mergeCell ref="A181:A188"/>
    <mergeCell ref="C181:C188"/>
    <mergeCell ref="B157:B164"/>
    <mergeCell ref="A365:A372"/>
    <mergeCell ref="B365:B372"/>
    <mergeCell ref="A341:A348"/>
    <mergeCell ref="A173:A180"/>
    <mergeCell ref="A197:A204"/>
    <mergeCell ref="B197:B204"/>
    <mergeCell ref="A357:A364"/>
    <mergeCell ref="B357:B364"/>
    <mergeCell ref="B205:B212"/>
    <mergeCell ref="A253:A260"/>
    <mergeCell ref="C365:C372"/>
    <mergeCell ref="D365:D372"/>
    <mergeCell ref="B133:B140"/>
    <mergeCell ref="C133:C140"/>
    <mergeCell ref="D133:D140"/>
    <mergeCell ref="B341:B348"/>
    <mergeCell ref="C341:C348"/>
    <mergeCell ref="D341:D348"/>
    <mergeCell ref="B173:B180"/>
    <mergeCell ref="C173:C180"/>
    <mergeCell ref="F134:F135"/>
    <mergeCell ref="A38:A45"/>
    <mergeCell ref="B38:B45"/>
    <mergeCell ref="D30:D37"/>
    <mergeCell ref="A30:A37"/>
    <mergeCell ref="F54:F55"/>
    <mergeCell ref="E57:E60"/>
    <mergeCell ref="F57:F58"/>
    <mergeCell ref="E53:E56"/>
    <mergeCell ref="C53:C60"/>
    <mergeCell ref="F7:F8"/>
    <mergeCell ref="E10:E13"/>
    <mergeCell ref="F31:F32"/>
    <mergeCell ref="E34:E37"/>
    <mergeCell ref="F34:F35"/>
    <mergeCell ref="E30:E33"/>
    <mergeCell ref="F18:F19"/>
    <mergeCell ref="F23:F24"/>
    <mergeCell ref="F26:F27"/>
    <mergeCell ref="E6:E9"/>
    <mergeCell ref="A14:A21"/>
    <mergeCell ref="B14:B21"/>
    <mergeCell ref="C14:C21"/>
    <mergeCell ref="B30:B37"/>
    <mergeCell ref="C30:C37"/>
    <mergeCell ref="A46:A52"/>
    <mergeCell ref="B46:B52"/>
    <mergeCell ref="F39:F40"/>
    <mergeCell ref="C46:C52"/>
    <mergeCell ref="D46:D52"/>
    <mergeCell ref="F42:F43"/>
    <mergeCell ref="E49:E52"/>
    <mergeCell ref="F49:F50"/>
    <mergeCell ref="C38:C45"/>
    <mergeCell ref="D38:D45"/>
    <mergeCell ref="F70:F71"/>
    <mergeCell ref="E73:E76"/>
    <mergeCell ref="F73:F74"/>
    <mergeCell ref="E61:E64"/>
    <mergeCell ref="F62:F63"/>
    <mergeCell ref="E65:E68"/>
    <mergeCell ref="F65:F66"/>
    <mergeCell ref="E69:E72"/>
    <mergeCell ref="E357:E360"/>
    <mergeCell ref="F358:F359"/>
    <mergeCell ref="F190:F191"/>
    <mergeCell ref="E193:E196"/>
    <mergeCell ref="F193:F194"/>
    <mergeCell ref="E205:E208"/>
    <mergeCell ref="F206:F207"/>
    <mergeCell ref="E213:E216"/>
    <mergeCell ref="E197:E200"/>
    <mergeCell ref="E221:E224"/>
    <mergeCell ref="E361:E364"/>
    <mergeCell ref="F361:F362"/>
    <mergeCell ref="E181:E184"/>
    <mergeCell ref="F182:F183"/>
    <mergeCell ref="E185:E188"/>
    <mergeCell ref="E189:E192"/>
    <mergeCell ref="F185:F186"/>
    <mergeCell ref="F214:F215"/>
    <mergeCell ref="E217:E220"/>
    <mergeCell ref="F217:F218"/>
    <mergeCell ref="C357:C364"/>
    <mergeCell ref="D357:D364"/>
    <mergeCell ref="C189:C196"/>
    <mergeCell ref="D189:D196"/>
    <mergeCell ref="C197:C204"/>
    <mergeCell ref="D197:D204"/>
    <mergeCell ref="C205:C212"/>
    <mergeCell ref="D205:D212"/>
    <mergeCell ref="D181:D188"/>
    <mergeCell ref="C213:C220"/>
    <mergeCell ref="D213:D220"/>
    <mergeCell ref="A221:A228"/>
    <mergeCell ref="B221:B228"/>
    <mergeCell ref="C221:C228"/>
    <mergeCell ref="D221:D228"/>
    <mergeCell ref="A189:A196"/>
    <mergeCell ref="B189:B196"/>
    <mergeCell ref="F222:F223"/>
    <mergeCell ref="E225:E228"/>
    <mergeCell ref="F225:F226"/>
    <mergeCell ref="A229:A236"/>
    <mergeCell ref="B229:B236"/>
    <mergeCell ref="C229:C236"/>
    <mergeCell ref="D229:D236"/>
    <mergeCell ref="E229:E232"/>
    <mergeCell ref="F230:F231"/>
    <mergeCell ref="E233:E236"/>
    <mergeCell ref="F233:F234"/>
    <mergeCell ref="B253:B260"/>
    <mergeCell ref="C253:C260"/>
    <mergeCell ref="D253:D260"/>
    <mergeCell ref="E253:E256"/>
    <mergeCell ref="F254:F255"/>
    <mergeCell ref="E257:E260"/>
    <mergeCell ref="F257:F258"/>
    <mergeCell ref="A261:A268"/>
    <mergeCell ref="B261:B268"/>
    <mergeCell ref="C261:C268"/>
    <mergeCell ref="D261:D268"/>
    <mergeCell ref="E261:E264"/>
    <mergeCell ref="F262:F263"/>
    <mergeCell ref="E265:E268"/>
    <mergeCell ref="F265:F266"/>
    <mergeCell ref="A269:A276"/>
    <mergeCell ref="B269:B276"/>
    <mergeCell ref="C269:C276"/>
    <mergeCell ref="D269:D276"/>
    <mergeCell ref="E269:E272"/>
    <mergeCell ref="F270:F271"/>
    <mergeCell ref="E273:E276"/>
    <mergeCell ref="F273:F274"/>
    <mergeCell ref="A277:A284"/>
    <mergeCell ref="B277:B284"/>
    <mergeCell ref="C277:C284"/>
    <mergeCell ref="D277:D284"/>
    <mergeCell ref="E277:E280"/>
    <mergeCell ref="F278:F279"/>
    <mergeCell ref="E281:E284"/>
    <mergeCell ref="F281:F282"/>
    <mergeCell ref="F353:F354"/>
    <mergeCell ref="A349:A356"/>
    <mergeCell ref="B349:B356"/>
    <mergeCell ref="C349:C356"/>
    <mergeCell ref="D349:D356"/>
    <mergeCell ref="E353:E356"/>
    <mergeCell ref="E349:E352"/>
    <mergeCell ref="F350:F351"/>
    <mergeCell ref="E333:E336"/>
    <mergeCell ref="F334:F335"/>
    <mergeCell ref="E337:E340"/>
    <mergeCell ref="F337:F338"/>
    <mergeCell ref="A333:A340"/>
    <mergeCell ref="B333:B340"/>
    <mergeCell ref="C333:C340"/>
    <mergeCell ref="D333:D340"/>
    <mergeCell ref="A285:A292"/>
    <mergeCell ref="B285:B292"/>
    <mergeCell ref="C285:C292"/>
    <mergeCell ref="D285:D292"/>
    <mergeCell ref="F286:F287"/>
    <mergeCell ref="E289:E292"/>
    <mergeCell ref="F289:F290"/>
    <mergeCell ref="E285:E288"/>
    <mergeCell ref="A301:A308"/>
    <mergeCell ref="B301:B308"/>
    <mergeCell ref="C301:C308"/>
    <mergeCell ref="D301:D308"/>
    <mergeCell ref="E301:E304"/>
    <mergeCell ref="F302:F303"/>
    <mergeCell ref="E305:E308"/>
    <mergeCell ref="F305:F306"/>
    <mergeCell ref="E309:E312"/>
    <mergeCell ref="F310:F311"/>
    <mergeCell ref="E313:E316"/>
    <mergeCell ref="F313:F314"/>
    <mergeCell ref="A325:A332"/>
    <mergeCell ref="B325:B332"/>
    <mergeCell ref="C325:C332"/>
    <mergeCell ref="D325:D332"/>
    <mergeCell ref="E325:E328"/>
    <mergeCell ref="F326:F327"/>
    <mergeCell ref="E329:E332"/>
    <mergeCell ref="F329:F330"/>
    <mergeCell ref="F376:F377"/>
    <mergeCell ref="F379:F380"/>
    <mergeCell ref="A375:E382"/>
    <mergeCell ref="A384:A387"/>
    <mergeCell ref="B384:B387"/>
    <mergeCell ref="C384:C387"/>
    <mergeCell ref="D384:D387"/>
    <mergeCell ref="E384:E387"/>
    <mergeCell ref="F384:F385"/>
    <mergeCell ref="A388:A395"/>
    <mergeCell ref="B388:B395"/>
    <mergeCell ref="C388:C395"/>
    <mergeCell ref="D388:D395"/>
    <mergeCell ref="E388:E391"/>
    <mergeCell ref="F389:F390"/>
    <mergeCell ref="E392:E395"/>
    <mergeCell ref="F392:F393"/>
    <mergeCell ref="A396:A403"/>
    <mergeCell ref="B396:B403"/>
    <mergeCell ref="C396:C403"/>
    <mergeCell ref="D396:D403"/>
    <mergeCell ref="E396:E399"/>
    <mergeCell ref="F397:F398"/>
    <mergeCell ref="E400:E403"/>
    <mergeCell ref="F400:F401"/>
    <mergeCell ref="A404:A411"/>
    <mergeCell ref="B404:B411"/>
    <mergeCell ref="C404:C411"/>
    <mergeCell ref="D404:D411"/>
    <mergeCell ref="E404:E407"/>
    <mergeCell ref="F405:F406"/>
    <mergeCell ref="E408:E411"/>
    <mergeCell ref="F408:F409"/>
    <mergeCell ref="A412:A419"/>
    <mergeCell ref="B412:B419"/>
    <mergeCell ref="C412:C419"/>
    <mergeCell ref="D412:D419"/>
    <mergeCell ref="E412:E415"/>
    <mergeCell ref="F413:F414"/>
    <mergeCell ref="E416:E419"/>
    <mergeCell ref="F416:F417"/>
    <mergeCell ref="A420:A427"/>
    <mergeCell ref="B420:B427"/>
    <mergeCell ref="C420:C427"/>
    <mergeCell ref="D420:D427"/>
    <mergeCell ref="E420:E423"/>
    <mergeCell ref="F421:F422"/>
    <mergeCell ref="E424:E427"/>
    <mergeCell ref="F424:F425"/>
    <mergeCell ref="A428:A435"/>
    <mergeCell ref="B428:B435"/>
    <mergeCell ref="C428:C435"/>
    <mergeCell ref="D428:D435"/>
    <mergeCell ref="E428:E431"/>
    <mergeCell ref="F429:F430"/>
    <mergeCell ref="E432:E435"/>
    <mergeCell ref="F432:F433"/>
    <mergeCell ref="A436:A443"/>
    <mergeCell ref="B436:B443"/>
    <mergeCell ref="C436:C443"/>
    <mergeCell ref="D436:D443"/>
    <mergeCell ref="E436:E439"/>
    <mergeCell ref="F437:F438"/>
    <mergeCell ref="E440:E443"/>
    <mergeCell ref="F440:F441"/>
    <mergeCell ref="A444:A451"/>
    <mergeCell ref="B444:B451"/>
    <mergeCell ref="C444:C451"/>
    <mergeCell ref="D444:D451"/>
    <mergeCell ref="E444:E447"/>
    <mergeCell ref="F445:F446"/>
    <mergeCell ref="E448:E451"/>
    <mergeCell ref="F448:F449"/>
    <mergeCell ref="E452:E455"/>
    <mergeCell ref="F453:F454"/>
    <mergeCell ref="E456:E459"/>
    <mergeCell ref="F456:F457"/>
    <mergeCell ref="A452:A459"/>
    <mergeCell ref="B452:B459"/>
    <mergeCell ref="C452:C459"/>
    <mergeCell ref="D452:D459"/>
    <mergeCell ref="A317:A324"/>
    <mergeCell ref="B317:B324"/>
    <mergeCell ref="C317:C324"/>
    <mergeCell ref="D317:D324"/>
    <mergeCell ref="A309:A316"/>
    <mergeCell ref="B309:B316"/>
    <mergeCell ref="C309:C316"/>
    <mergeCell ref="D309:D316"/>
    <mergeCell ref="E317:E320"/>
    <mergeCell ref="F318:F319"/>
    <mergeCell ref="E321:E324"/>
    <mergeCell ref="F321:F322"/>
    <mergeCell ref="A117:A124"/>
    <mergeCell ref="B117:B124"/>
    <mergeCell ref="C117:C124"/>
    <mergeCell ref="D117:D124"/>
    <mergeCell ref="F121:F122"/>
    <mergeCell ref="F78:F79"/>
    <mergeCell ref="E81:E84"/>
    <mergeCell ref="F81:F82"/>
    <mergeCell ref="E117:E120"/>
    <mergeCell ref="F118:F119"/>
    <mergeCell ref="E121:E124"/>
    <mergeCell ref="F97:F98"/>
  </mergeCells>
  <printOptions/>
  <pageMargins left="0.38" right="0.23" top="0.43" bottom="0.32" header="0.17" footer="0.16"/>
  <pageSetup horizontalDpi="600" verticalDpi="600" orientation="landscape" paperSize="9" r:id="rId1"/>
  <rowBreaks count="1" manualBreakCount="1">
    <brk id="3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kbjsa</dc:creator>
  <cp:keywords/>
  <dc:description/>
  <cp:lastModifiedBy>kbaza</cp:lastModifiedBy>
  <cp:lastPrinted>2012-03-27T07:27:00Z</cp:lastPrinted>
  <dcterms:created xsi:type="dcterms:W3CDTF">2012-01-23T10:03:21Z</dcterms:created>
  <dcterms:modified xsi:type="dcterms:W3CDTF">2012-04-13T12:24:58Z</dcterms:modified>
  <cp:category/>
  <cp:version/>
  <cp:contentType/>
  <cp:contentStatus/>
</cp:coreProperties>
</file>