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315" windowWidth="9435" windowHeight="4545" activeTab="1"/>
  </bookViews>
  <sheets>
    <sheet name="doch bieżące I - VI 2012" sheetId="1" r:id="rId1"/>
    <sheet name="doch majątk. I - VI 2012" sheetId="2" r:id="rId2"/>
  </sheets>
  <definedNames>
    <definedName name="_xlnm.Print_Titles" localSheetId="0">'doch bieżące I - VI 2012'!$2:$3</definedName>
    <definedName name="_xlnm.Print_Titles" localSheetId="1">'doch majątk. I - VI 2012'!$2:$2</definedName>
  </definedNames>
  <calcPr fullCalcOnLoad="1"/>
</workbook>
</file>

<file path=xl/sharedStrings.xml><?xml version="1.0" encoding="utf-8"?>
<sst xmlns="http://schemas.openxmlformats.org/spreadsheetml/2006/main" count="255" uniqueCount="222">
  <si>
    <t xml:space="preserve">                                                                                                                </t>
  </si>
  <si>
    <t>dochody z dzierżawy</t>
  </si>
  <si>
    <t>wpływy z lokali użytkowych</t>
  </si>
  <si>
    <t>użytkowanie wieczyste</t>
  </si>
  <si>
    <t>pozostałe</t>
  </si>
  <si>
    <t>dochody z najmu i dzierżawy skł. majątkowych gminy oddanych w użytkowanie jednostkom i zakł. budżetowym</t>
  </si>
  <si>
    <t>wpływy z czynszów za mieszkania służbowe</t>
  </si>
  <si>
    <t>z WFOŚ "Sinice - wróg czy przyjaciel"</t>
  </si>
  <si>
    <t>Z WFOŚ-u na na realizację projektu "Czynna ochrona gatunkowa roślin z rodzaju Drosera (rosiczki) oraz Sphagnum (torfowce) występujących na terenie województwa pomorskiego"</t>
  </si>
  <si>
    <t>z WFOŚ "Badanie jakości wody i sporządzenie profilu wody w kąpieliskach morskich w Gdyni"</t>
  </si>
  <si>
    <t xml:space="preserve">Inne dochody własne </t>
  </si>
  <si>
    <t>wpływy Zarządu Komunikacji Miejskiej</t>
  </si>
  <si>
    <t>wpływy ze sprzedaży biletów na "tramwaj wodny"</t>
  </si>
  <si>
    <t>wpływy Urzędu Miasta</t>
  </si>
  <si>
    <t>wpływy z opłat rodziców za pobyt dzieci w żłobku</t>
  </si>
  <si>
    <t>wpływy z opłat rodziców za pobyt dzieci w przedszkolu</t>
  </si>
  <si>
    <t>wpływy z usług opiekuńczych i opłaty za pobyt w ośrodkach wsparcia</t>
  </si>
  <si>
    <t>wpływy z opłat za korzystanie z basenów</t>
  </si>
  <si>
    <t>wpływy z usług Centrum Aktywności Seniora</t>
  </si>
  <si>
    <t xml:space="preserve">wpływy z opłat za pobyt w domu opieki społecznej </t>
  </si>
  <si>
    <t>rozliczenie mediów zużywanych przez Krytą Pływalnie przy ZS nr 10</t>
  </si>
  <si>
    <t>25% dochodów z nieruchom.Skarbu Państwa</t>
  </si>
  <si>
    <t xml:space="preserve">5% dochodów uzysk. na rzecz budżetu państwa w związku z real. zad. zleconych </t>
  </si>
  <si>
    <t>opłaty za usuwanie pojazdów z pasa drogowego</t>
  </si>
  <si>
    <t>odsetki od środków na rachunkach bankowych</t>
  </si>
  <si>
    <t>pozostałe dochody</t>
  </si>
  <si>
    <t>grzywny i kary - Straż Miejska</t>
  </si>
  <si>
    <t>różne dochody jednostek organizacyjnych miasta</t>
  </si>
  <si>
    <t>Dotacje od jednostek samorządu terytorialnego</t>
  </si>
  <si>
    <t xml:space="preserve">zadania oświatowe </t>
  </si>
  <si>
    <t>obsługa mieszkańców Sopotu przez Powiatowy Urząd Pracy w Gdyni</t>
  </si>
  <si>
    <t xml:space="preserve">rodziny zastępcze </t>
  </si>
  <si>
    <t>środki dla Powiatowego Zespołu ds.Orzekania o Niepełnosprawności zgodnie z zawartym porozumieniem pomiędzy Miastem Gdynia, a Miastem Sopot</t>
  </si>
  <si>
    <t>warsztaty terapii zajęciowej</t>
  </si>
  <si>
    <t>placówki opiekuńczo - wychowawcze</t>
  </si>
  <si>
    <t>środki z gmin ościennych na organizację usług komunikacyjnych na ich terenie przez ZKM w Gdyni na podstawie porozumień</t>
  </si>
  <si>
    <t>środki z Sejmiku Województwa Pomorskiego na dofinansowanie lokalnego transportu zbiorowego na liniach komunikacyjnych regularnego transportu wodnego po akwenie Zatoki Gdańskiej i Zatoki Puckiej</t>
  </si>
  <si>
    <t>dotacje z Helu i Jastarni na dofinansowanie funkcjonowania "Tramwaju wodnego"</t>
  </si>
  <si>
    <t>Dotacje i inne środki zewnętrzne na dofinansowanie zadań własnych</t>
  </si>
  <si>
    <t>wpływy ze sprzedaży map, danych z ewidencji gruntów i budynków oraz innych materiałów i informacji z zasobów powiatowych</t>
  </si>
  <si>
    <t>projekt "Ochrona wód Zatoki Gdańskiej" - refundacja poniesionych wydatków</t>
  </si>
  <si>
    <t>refundacja wydatków poniesionych na realizację projektu "Kompleksowa termomodernizacja dziewięciu budynków placówek oświatowych na terenie Gdyni"</t>
  </si>
  <si>
    <t xml:space="preserve">środki na realizację projektu "Dobry zawód gwarancją sukcesu" </t>
  </si>
  <si>
    <t>środki z Funduszu Rozwoju Systemu Edukacji na realizację zadania "Wymiana młodzieży"</t>
  </si>
  <si>
    <t>dotacja od Fundacji Współpracy Polsko - Niemieckiej na realizację projektu "Razem dla europejskiego dialogu - 25 - lecie partnerstwa miast Gdyni i Kilonii"</t>
  </si>
  <si>
    <t>dofinansowanie projektu "Efektywny samorząd - kompetentna kadra w Urzędzie Miasta Gdyni i Gminy Kosakowo"</t>
  </si>
  <si>
    <t>Projekt "Kreator innowacyjności - Laboratorium biotechnologiczne w praktyce"</t>
  </si>
  <si>
    <t>dotacja z Narodowego Centrum Kultury na realizację Ogólnopolskiego programu rozwoju chórów szkolnych Ministra Kultury i Dziedzictwa Narodowego "Śpiewająca Polska"</t>
  </si>
  <si>
    <t>Projekt "Eksperyment na plaży"</t>
  </si>
  <si>
    <t>% wykonania</t>
  </si>
  <si>
    <t>realizacja rządowego programu wspierania niektórych osób pobieracących świadczenie pielęgnacyjne</t>
  </si>
  <si>
    <t>projekt "SEGMENT"</t>
  </si>
  <si>
    <t>projekt "Diske"</t>
  </si>
  <si>
    <t>Projekt " Świadomość ekologiczna młodzieży - nauczanie przez doświadczenie"</t>
  </si>
  <si>
    <t>Projekt "TROLLEY"</t>
  </si>
  <si>
    <t>dotacja dla Ochotniczej Straży Pożarnej Wiczlino</t>
  </si>
  <si>
    <t>środki z Funduszu Rozwoju Kultury Fizycznej na dofinansowanie programu szkolenia młodzieży uzdolnionej sportowo</t>
  </si>
  <si>
    <t>grant dla ZPS na realizacje projektu "Realizacja warsztatów aktywności twórczej"</t>
  </si>
  <si>
    <t>środki na dofinansowanie programu "Uczenie się przez całe życie" Projekt Partnerski COMENIUS</t>
  </si>
  <si>
    <t>"Rozwój elektronicznych usług publicznych w Gdyni"</t>
  </si>
  <si>
    <t>projekt "Doświadczenia ponad granicami gdyńsko - helsinborskie partnerstwo na rzecz osób niepełnosprawnych"</t>
  </si>
  <si>
    <t>projekt "EXPO 2010"</t>
  </si>
  <si>
    <t>projekt "INTERFACE""</t>
  </si>
  <si>
    <t>Projekt "South - NORth Axis"</t>
  </si>
  <si>
    <t>środki z budżetu Polsko – Litewskiego Funduszu Wymiany Młodzieży na realizację projektu „Poznajemy się przez sztukę”</t>
  </si>
  <si>
    <t>projekt TQS REVES</t>
  </si>
  <si>
    <t>dofinansowanie projektu "Rozwój proekologicznego transportu publicznego na Obszarze Metropolitarnym Trójmiasta"</t>
  </si>
  <si>
    <t>projekt " Wzmocnienie współpracy między Akademią Medyczną w Gdańsku a PPNT i GPNT"</t>
  </si>
  <si>
    <t>Program Współpracy Transgranicznej Południowy Bałtyk 2007-2013 "eduPEOPLE"</t>
  </si>
  <si>
    <t>udział w targach Let s EXPO</t>
  </si>
  <si>
    <t>Program Współpracy Transgranicznej Południowy Bałtyk 2007-2013 "Diske"</t>
  </si>
  <si>
    <t>projekt "Przyroda - eksperyment o nieograniczonych możliwościach"</t>
  </si>
  <si>
    <t>Udziały we wpływach z podatków dochodowych</t>
  </si>
  <si>
    <t xml:space="preserve">udziały w podatku dochodowym od osób fizycznych </t>
  </si>
  <si>
    <t>udziały w podatku dochodowym od osób prawnych</t>
  </si>
  <si>
    <t>część oświatowa</t>
  </si>
  <si>
    <t>część równoważąca</t>
  </si>
  <si>
    <t>III.  DOTACJE CELOWE Z BUDŻETU PAŃSTWA</t>
  </si>
  <si>
    <t>NA ZADANIA ZLECONE</t>
  </si>
  <si>
    <t>Komenda Powiatowa Państwowej Straży Pożarnej (na zadania bieżące)</t>
  </si>
  <si>
    <r>
      <t xml:space="preserve">opieka społeczna, </t>
    </r>
    <r>
      <rPr>
        <i/>
        <sz val="8"/>
        <rFont val="Arial CE"/>
        <family val="2"/>
      </rPr>
      <t>w tym:</t>
    </r>
  </si>
  <si>
    <t xml:space="preserve"> ośrodki wsparcia</t>
  </si>
  <si>
    <t>ośrodki pomocy społecznej</t>
  </si>
  <si>
    <t>realizacja programu korekcyjno - edukacyjnego dla sprawców przemocy w rodzinie</t>
  </si>
  <si>
    <t xml:space="preserve"> składki na ubezp. zdrowotne</t>
  </si>
  <si>
    <t>świadczenia rodzinne</t>
  </si>
  <si>
    <t xml:space="preserve"> usługi opiekuńcze, specjalistyczne usługi opiekuńcze</t>
  </si>
  <si>
    <t>zespół ds. orzekania o stopniu niepełnosprawn.</t>
  </si>
  <si>
    <t xml:space="preserve">składki na ubezpieczenia zdrowotne </t>
  </si>
  <si>
    <t>koszty wydawania decyzji w sprawie świadczeń zdrowotnych</t>
  </si>
  <si>
    <t>wybory Prezydenta Rzeczypospolitej Polskiej</t>
  </si>
  <si>
    <t>wybory do rad gmin, rad powiatów i sejmików województw oraz wyborów wójtów, burmistrzów i prezydentów miast</t>
  </si>
  <si>
    <t>aktualizacja spisu wyborców</t>
  </si>
  <si>
    <t xml:space="preserve">spis rolny </t>
  </si>
  <si>
    <t xml:space="preserve">prace geodezyjne i kartograficzne </t>
  </si>
  <si>
    <t>opracowania geodezyjne i kartograficzne</t>
  </si>
  <si>
    <t>gospodarka gruntami i nieruchomościami</t>
  </si>
  <si>
    <t>kwalifikacja wojskowa</t>
  </si>
  <si>
    <t>NA ZADANIA REALIZOWANE NA MOCY POROZUMIEŃ Z ORGANAMI ADMINISTRACJI RZĄDOWEJ</t>
  </si>
  <si>
    <t>utrzymanie grobów wojennych</t>
  </si>
  <si>
    <t>uruchomienie punktu konsultacyjno - diagnostycznego dla rodzin i dzieci z FAS</t>
  </si>
  <si>
    <t>NA FINANSOWANIE LUB DOFINANSOWANIE ZADAŃ WŁASNYCH</t>
  </si>
  <si>
    <t>program "Radosna szkoła"</t>
  </si>
  <si>
    <t>stypendia oraz inne formy pomocy dla uczniów</t>
  </si>
  <si>
    <t>zadania z zakresu opieki społecznej:</t>
  </si>
  <si>
    <t>Pomoc państwa w zakresie dożywiania</t>
  </si>
  <si>
    <t>Dom Pomocy Społecznej</t>
  </si>
  <si>
    <t>opieka w domach o zasięgu ponadgminnym</t>
  </si>
  <si>
    <t>składki na ubezpieczenia zdrowotne</t>
  </si>
  <si>
    <t>zasiłki i pomoc w naturze</t>
  </si>
  <si>
    <t>zasiłki stałe</t>
  </si>
  <si>
    <t>DOCHODY MAJĄTKOWE OGÓŁEM</t>
  </si>
  <si>
    <t>wpływy ze sprzedaży mienia komunalnego</t>
  </si>
  <si>
    <t>przekształcenie prawa użytkowania wieczystego w prawo własności</t>
  </si>
  <si>
    <t xml:space="preserve">sprzedaż składników majątkowych </t>
  </si>
  <si>
    <t>środki otrzymane z Gmin, Powiatów i z Samorządu Województwa Pomorskiego na budowę Obwodnicy Północnej Aglomeracji Trójmiejskiej</t>
  </si>
  <si>
    <t>lokalne inicjatywy inwestycyjne</t>
  </si>
  <si>
    <t xml:space="preserve"> "Rozwój Komunikacji Rowerowej Aglomeracji Trójmiejskiej w latach 2007 - 2013""</t>
  </si>
  <si>
    <t>przebudowa układu drogowego węzła Św.Maksymiliana wraz z budową tunelu drogowego pod Drogą Gdyńską, torami SKM i PKP w Gdyni</t>
  </si>
  <si>
    <t>Komenda Powiatowa Państwowej Straży Pożarnej (na zadania inwestycyjne)</t>
  </si>
  <si>
    <t>I.</t>
  </si>
  <si>
    <t>ŁĄCZNIE DOCHODY BIEŻĄCE I MAJĄTKOWE</t>
  </si>
  <si>
    <t>rozliczenia z lat ubiegłych oraz zwroty dotacji wykorzystanych niezgodnie z przeznaczeniem lub pobranych w nadmiernej wysokości</t>
  </si>
  <si>
    <t>kształcenie uczniów w Wojewódzkim Ośrodku Doskonalenia Uczniów</t>
  </si>
  <si>
    <t xml:space="preserve">Wykonanie </t>
  </si>
  <si>
    <t>zwroty dotacji wykorzystanych niezgodnie z przeznaczeniem lub pobranych w nadmiernej wysokości</t>
  </si>
  <si>
    <t>wpływy do budżetu nadwyżki środków obrotowych Hali Widowiskowo-Sportowej</t>
  </si>
  <si>
    <t>Wykonanie</t>
  </si>
  <si>
    <t>odsetki od należności podatkowych pobieranych przez US</t>
  </si>
  <si>
    <t>wpływy za pobyt dzieci w placówkach opiekuńczo - wychowawczych</t>
  </si>
  <si>
    <t>spis powszechny</t>
  </si>
  <si>
    <t>wpływy Gdyńskiego Centrum Innowacji</t>
  </si>
  <si>
    <t>wpływy Gdyńskiego Ośrodka Sportu i Rekreacji</t>
  </si>
  <si>
    <t>projekt "Młodzież w działaniu"</t>
  </si>
  <si>
    <t>środki na realizację projektu w ramach Polsko - Litewskiego Funduszu Wymiany Młodzieży</t>
  </si>
  <si>
    <t>"Wdrożenie zintegrowanego systemu zarządzania ruchem TRISTAR w Gdańsku, Gdyni i Sopocie"</t>
  </si>
  <si>
    <t>"Rodzina bliżej siebie"</t>
  </si>
  <si>
    <t>Projekt "Jestem z Pomorza - Jestem eko"</t>
  </si>
  <si>
    <t>Projekt "Bałtycki Festiwal Nauki"</t>
  </si>
  <si>
    <t>projekt "Policyjna foczka"</t>
  </si>
  <si>
    <t>III.  SUBWENCJA OGÓLNA</t>
  </si>
  <si>
    <t>IV.  DOTACJE CELOWE Z BUDŻETU PAŃSTWA</t>
  </si>
  <si>
    <t>administracja państwowa</t>
  </si>
  <si>
    <t>Powiatowy Inspektorat Nadzoru Budowlanego</t>
  </si>
  <si>
    <t>refundacja kosztów projektu "Pomorski Park Naukowo-Technologiczny- Rozbudowa etap 3"</t>
  </si>
  <si>
    <t>podatek Vat przekazany przez Halę Widowiskowo - Sportową</t>
  </si>
  <si>
    <t xml:space="preserve">Plan </t>
  </si>
  <si>
    <t>II. ŚRODKI Z UE NA DOFINANSOWANIE REALIZACJI PROJEKTÓW</t>
  </si>
  <si>
    <t>II.   ŚRODKI Z UE NA DOFINANSOWANIE REALIZACJI PROJEKTÓW</t>
  </si>
  <si>
    <t>dochody związane z gromadzeniem środków z opłat i kar za korzystanie ze środowiska</t>
  </si>
  <si>
    <t xml:space="preserve">należna miastu część zwrotów zaliczek alimentacyjnych uzyskanych na rzecz budżetu państwa </t>
  </si>
  <si>
    <t>zwrot podatku akcyzowego zawartego w cenie oleju napędowego wykorzystywanego do produkcji rolnej</t>
  </si>
  <si>
    <t>z Funduszu Ochrony Środowiska na dofinansowanie realizacji zadania "Wsparcie działań propagujących ekologiczne formy transportu na trasie Gdynia - Półwysep Helski"</t>
  </si>
  <si>
    <t>środki od Samorządu Województwa Pomorskiego na dofinansowanie lokalnego transportu zbiorowego na liniach komunikacyjnych regularnego transportu wodnego po akwenie Ztoki Gdańskiej i Zatoki Puckiej</t>
  </si>
  <si>
    <t>"Praktyka czyni mistrza - nowatorski program praktyk na studiach pedagogicznych PWSA"</t>
  </si>
  <si>
    <t>"Odkryj moje możliwości"</t>
  </si>
  <si>
    <t xml:space="preserve">wkład beneficjentów w realizację zadania: rozówj turystyki w rejonie Zatoki Gdańskiej </t>
  </si>
  <si>
    <t>refundacja kosztów projektu "Pomorski Park Naukowo-Technologiczny- Rozbudowa etap 4"</t>
  </si>
  <si>
    <t>z Ministerstwa Pracy i Polityki Społecznej na dofinansowanie realizacji zadania "Wspólnie przeciw przemocy - wsparcie systemu przeciwdziałania przemocy w Gdyni"</t>
  </si>
  <si>
    <t>sfinansowanie pobytu dzieci cudzoziemców w rodzinach zastępczych</t>
  </si>
  <si>
    <t xml:space="preserve">różnica </t>
  </si>
  <si>
    <t>z Wojewódzkiego Funduszu Ochrony Środowiska i Gospodarki Wodnej środki na usuwanie wyrobów zawierających azbest z terenu miasta Gdyni</t>
  </si>
  <si>
    <t xml:space="preserve">projekt "Urzędnik na plus 2012" </t>
  </si>
  <si>
    <t>"Bohnian Green Logistic Corridor"</t>
  </si>
  <si>
    <t xml:space="preserve">opłaty osób zobowiązanych alimentacyjnie za umieszczenie w DPS członków ich rodzin </t>
  </si>
  <si>
    <t>wybory do sejmu i senatu</t>
  </si>
  <si>
    <t>"Program wsparcia społecznego osób z zaburzeniami"</t>
  </si>
  <si>
    <t>środki z PZU na zakupy inwestycyjne</t>
  </si>
  <si>
    <t>budowa małej infrastruktury służącej ochronie przyrody na obszarze rezerwatu Kępa Redłowska w Gdyni</t>
  </si>
  <si>
    <t>funkcjonowanie punktu katechetycznego</t>
  </si>
  <si>
    <t xml:space="preserve">opłaty za egzaminy i dokumenty wydawane w związku z wykonywaniem transportu drogowego oraz inne opłaty pobierane przez UM </t>
  </si>
  <si>
    <t>refundacja 60% świadczenia wypłaconego na rzecz osób uczestniczących w systemie prac społecznie użytecznych ze środków Funduszu Pracy</t>
  </si>
  <si>
    <t>Projekt DesignShip - Program Współpracy Transgranicznej Południowy Bałtyk</t>
  </si>
  <si>
    <t>projekt Baltic Fashion - Program Współpracy Transgranicznej Bałtyk</t>
  </si>
  <si>
    <t>projekt "Segment" - Program "Inteligentna Energia - Europa"</t>
  </si>
  <si>
    <t>"Leonardo da Vinci" - Program uczenie się przez całe życie</t>
  </si>
  <si>
    <t>Rozbudowa przystani rybackiej w Gdyni - Obuże - etap I</t>
  </si>
  <si>
    <t>Rozbudowa przystani rybackiej w Gdyni - Obuże - etap II</t>
  </si>
  <si>
    <t>Rozbudowa przystani rybackiej w Gdyni - Oksywie - etap II</t>
  </si>
  <si>
    <t>projekt "Mój biznes II" - Kapitał Ludzki 2007 - 2011</t>
  </si>
  <si>
    <t>projekt "Mój biznes II" Kapitał Ludzki 2007 - 2011</t>
  </si>
  <si>
    <t>Lp.</t>
  </si>
  <si>
    <t>Treść</t>
  </si>
  <si>
    <t>DOCHODY BIEŻĄCE OGÓŁEM</t>
  </si>
  <si>
    <r>
      <t xml:space="preserve">I. </t>
    </r>
    <r>
      <rPr>
        <b/>
        <sz val="10"/>
        <rFont val="Arial CE"/>
        <family val="2"/>
      </rPr>
      <t xml:space="preserve"> DOCHODY WŁASNE, w tym:</t>
    </r>
  </si>
  <si>
    <t>Podatki i opłaty pobierane przez miasto</t>
  </si>
  <si>
    <t xml:space="preserve">podatek od nieruchomości </t>
  </si>
  <si>
    <t xml:space="preserve">podatek od środków transportowych </t>
  </si>
  <si>
    <t>podatek rolny</t>
  </si>
  <si>
    <t xml:space="preserve">podatek leśny </t>
  </si>
  <si>
    <t>zaległości z podatków zniesionych</t>
  </si>
  <si>
    <t xml:space="preserve">rekompensata utraconych dochodów (z PFRON - u) z tytułu zwolnień w podatkach </t>
  </si>
  <si>
    <t>opłata skarbowa</t>
  </si>
  <si>
    <t>dochody z tyt. ustawy o przeciwdziałaniu alkoholizmowi</t>
  </si>
  <si>
    <t>opłaty komunikacyjna</t>
  </si>
  <si>
    <t>opłaty lokalne (opłata targowa i miejscowa)</t>
  </si>
  <si>
    <t>opłaty za parkowanie, za zajęcie pasa drogowego, umieszczanie reklam i stoisk w pasie drogowym i in.</t>
  </si>
  <si>
    <t>opłata adiacencka i renta planistyczna</t>
  </si>
  <si>
    <t>odsetki i opłata prolongacyjna</t>
  </si>
  <si>
    <t>Podatki pobierane przez urzędy skarbowe</t>
  </si>
  <si>
    <t>karta podatkowa</t>
  </si>
  <si>
    <t>podatek od spadków i darowizn</t>
  </si>
  <si>
    <t xml:space="preserve">podatek od czynności cywilnoprawnych </t>
  </si>
  <si>
    <t>Dochody z majątku miasta</t>
  </si>
  <si>
    <t>projekt " Dojrzała przedsiębiorczość 50+"</t>
  </si>
  <si>
    <t>z Funduszu Pracy na finansowanie kosztów wynagrodzeń i składek na ubezpieczenie pracowników Powiatowego Urzędu Pracy</t>
  </si>
  <si>
    <t>dotacje z tytułu podpisanych porozumień z Powiatem Puckim i Gminą Kosakowo na wykonanie remontu skrzyżowania ulic: Płk. Dąbka - Kmdr. Czernickiego - Wiejskiej - Szkolnej</t>
  </si>
  <si>
    <t>„Narodowy program przebudowy dróg lokalnych – Etap II Bezpieczeństwo - Dostępność - Rozwój"</t>
  </si>
  <si>
    <t>wpływy z tytułu podpisania umowy z Narodowym Centrum Badań i Rozwoju na realizację projektu BioBusiness Laboratorium</t>
  </si>
  <si>
    <t>z WFOŚ na realizację projektu "Chrońmy środowisko, które znamy" - szkolenia terenowe z Centrum Nauki EXPERYMENT</t>
  </si>
  <si>
    <t xml:space="preserve">Projekt „Dynamika morskiego rynku pracy i atrakcyjne otoczenie miast portowych Południowego Bałtyku”         </t>
  </si>
  <si>
    <t>środki z Gminy Szemud w związku z przejęciem zadań w zakresie gospodarki odpadami komunalnymi</t>
  </si>
  <si>
    <t>dofinansowanie robót budowlanych w obiekcie służącym rehabilitacji ze środków PFRON</t>
  </si>
  <si>
    <t>wykonanie zadań powierzonych przez Wojewódzkiego Konserwatora Zabytków w Gdańsku</t>
  </si>
  <si>
    <t>Projekt "Budowa małej infrastruktury służącej ochronie przyrody na obszarze rezerwatu Kępa Redłowska w Gdyni"</t>
  </si>
  <si>
    <t>z WFOŚ na realizację imprezy popularno - naukowej "Pan Kulka w świecie czystej energii"</t>
  </si>
  <si>
    <t>zwrot podatku Vat za 2011r. dotyczy PPNT - ETAP 3</t>
  </si>
  <si>
    <t>zwrot podatku Vat za 2011r. dotyczy PPNT - ETAP 4</t>
  </si>
  <si>
    <t>opłaty za działalność w zakresie poszukiwania i rozpoznawania złóż kopalin</t>
  </si>
  <si>
    <t>wpływy Domu Dziecka - zwrot kosztów zużycia energii za budynek przekazany ABK 4</t>
  </si>
  <si>
    <t>Wykonanie dochodów bieżących budżetu miasta Gdyni według źródeł            za okres I - VI 2012r.</t>
  </si>
  <si>
    <t>Wykonanie dochodów majątkowych budżetu miasta Gdyni według źródeł                   za okres I - VI 2012r.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</si>
</sst>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.0%"/>
    <numFmt numFmtId="173" formatCode="[$-415]d\ mmmm\ yyyy"/>
    <numFmt numFmtId="174" formatCode="0.0"/>
    <numFmt numFmtId="175" formatCode="#,##0.0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  <numFmt numFmtId="180" formatCode="#,##0.000"/>
  </numFmts>
  <fonts count="18">
    <font>
      <sz val="10"/>
      <name val="Arial CE"/>
      <family val="0"/>
    </font>
    <font>
      <b/>
      <sz val="13"/>
      <name val="Arial CE"/>
      <family val="2"/>
    </font>
    <font>
      <b/>
      <sz val="8"/>
      <name val="Arial CE"/>
      <family val="0"/>
    </font>
    <font>
      <i/>
      <sz val="8"/>
      <name val="Arial CE"/>
      <family val="0"/>
    </font>
    <font>
      <b/>
      <i/>
      <sz val="10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b/>
      <sz val="9"/>
      <name val="Arial CE"/>
      <family val="2"/>
    </font>
    <font>
      <sz val="10"/>
      <name val="MS Sans Serif"/>
      <family val="0"/>
    </font>
    <font>
      <sz val="8"/>
      <name val="Arial CE"/>
      <family val="0"/>
    </font>
    <font>
      <b/>
      <i/>
      <sz val="8"/>
      <name val="Arial CE"/>
      <family val="2"/>
    </font>
    <font>
      <sz val="8"/>
      <name val="MS Sans Serif"/>
      <family val="2"/>
    </font>
    <font>
      <i/>
      <sz val="8"/>
      <name val="Times New Roman"/>
      <family val="1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color indexed="10"/>
      <name val="Arial CE"/>
      <family val="2"/>
    </font>
    <font>
      <sz val="10"/>
      <color indexed="10"/>
      <name val="Arial CE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3" fontId="2" fillId="0" borderId="1" xfId="19" applyNumberFormat="1" applyFont="1" applyFill="1" applyBorder="1" applyAlignment="1">
      <alignment horizontal="center" vertical="center" wrapText="1"/>
      <protection/>
    </xf>
    <xf numFmtId="1" fontId="2" fillId="0" borderId="1" xfId="19" applyNumberFormat="1" applyFont="1" applyFill="1" applyBorder="1" applyAlignment="1">
      <alignment horizontal="center" vertical="center"/>
      <protection/>
    </xf>
    <xf numFmtId="3" fontId="2" fillId="0" borderId="1" xfId="19" applyNumberFormat="1" applyFont="1" applyFill="1" applyBorder="1" applyAlignment="1">
      <alignment horizontal="center" vertical="center" wrapText="1"/>
      <protection/>
    </xf>
    <xf numFmtId="3" fontId="5" fillId="0" borderId="2" xfId="19" applyNumberFormat="1" applyFont="1" applyFill="1" applyBorder="1" applyAlignment="1">
      <alignment horizontal="right" vertical="center" wrapText="1"/>
      <protection/>
    </xf>
    <xf numFmtId="3" fontId="5" fillId="0" borderId="1" xfId="19" applyNumberFormat="1" applyFont="1" applyFill="1" applyBorder="1" applyAlignment="1">
      <alignment horizontal="right" vertical="center" wrapText="1"/>
      <protection/>
    </xf>
    <xf numFmtId="3" fontId="5" fillId="0" borderId="2" xfId="19" applyNumberFormat="1" applyFont="1" applyFill="1" applyBorder="1" applyAlignment="1">
      <alignment vertical="center"/>
      <protection/>
    </xf>
    <xf numFmtId="1" fontId="7" fillId="0" borderId="1" xfId="19" applyNumberFormat="1" applyFont="1" applyFill="1" applyBorder="1" applyAlignment="1">
      <alignment horizontal="center" vertical="center"/>
      <protection/>
    </xf>
    <xf numFmtId="4" fontId="7" fillId="0" borderId="1" xfId="19" applyNumberFormat="1" applyFont="1" applyFill="1" applyBorder="1" applyAlignment="1">
      <alignment vertical="center" wrapText="1"/>
      <protection/>
    </xf>
    <xf numFmtId="3" fontId="7" fillId="0" borderId="1" xfId="19" applyNumberFormat="1" applyFont="1" applyFill="1" applyBorder="1" applyAlignment="1">
      <alignment vertical="center"/>
      <protection/>
    </xf>
    <xf numFmtId="0" fontId="2" fillId="0" borderId="1" xfId="18" applyFont="1" applyFill="1" applyBorder="1" applyAlignment="1">
      <alignment horizontal="center" vertical="center"/>
      <protection/>
    </xf>
    <xf numFmtId="0" fontId="9" fillId="0" borderId="1" xfId="18" applyFont="1" applyFill="1" applyBorder="1" applyAlignment="1">
      <alignment horizontal="left" vertical="center" wrapText="1"/>
      <protection/>
    </xf>
    <xf numFmtId="3" fontId="9" fillId="0" borderId="1" xfId="19" applyNumberFormat="1" applyFont="1" applyFill="1" applyBorder="1" applyAlignment="1">
      <alignment horizontal="right" vertical="center" wrapText="1"/>
      <protection/>
    </xf>
    <xf numFmtId="3" fontId="2" fillId="0" borderId="1" xfId="19" applyNumberFormat="1" applyFont="1" applyFill="1" applyBorder="1" applyAlignment="1">
      <alignment horizontal="right" vertical="center" wrapText="1"/>
      <protection/>
    </xf>
    <xf numFmtId="0" fontId="9" fillId="0" borderId="1" xfId="18" applyFont="1" applyFill="1" applyBorder="1" applyAlignment="1">
      <alignment horizontal="left" vertical="center" wrapText="1"/>
      <protection/>
    </xf>
    <xf numFmtId="0" fontId="10" fillId="0" borderId="1" xfId="18" applyFont="1" applyFill="1" applyBorder="1" applyAlignment="1">
      <alignment horizontal="center" vertical="center"/>
      <protection/>
    </xf>
    <xf numFmtId="0" fontId="9" fillId="0" borderId="1" xfId="18" applyFont="1" applyFill="1" applyBorder="1" applyAlignment="1">
      <alignment vertical="center" wrapText="1"/>
      <protection/>
    </xf>
    <xf numFmtId="3" fontId="3" fillId="0" borderId="1" xfId="19" applyNumberFormat="1" applyFont="1" applyFill="1" applyBorder="1" applyAlignment="1">
      <alignment horizontal="right" vertical="center" wrapText="1"/>
      <protection/>
    </xf>
    <xf numFmtId="0" fontId="2" fillId="0" borderId="1" xfId="18" applyFont="1" applyFill="1" applyBorder="1" applyAlignment="1">
      <alignment horizontal="center" vertical="center"/>
      <protection/>
    </xf>
    <xf numFmtId="0" fontId="9" fillId="0" borderId="1" xfId="18" applyFont="1" applyFill="1" applyBorder="1" applyAlignment="1">
      <alignment horizontal="center" vertical="center"/>
      <protection/>
    </xf>
    <xf numFmtId="4" fontId="9" fillId="0" borderId="1" xfId="19" applyNumberFormat="1" applyFont="1" applyFill="1" applyBorder="1" applyAlignment="1">
      <alignment horizontal="left" vertical="center" wrapText="1"/>
      <protection/>
    </xf>
    <xf numFmtId="1" fontId="9" fillId="0" borderId="1" xfId="19" applyNumberFormat="1" applyFont="1" applyFill="1" applyBorder="1" applyAlignment="1">
      <alignment horizontal="center" vertical="center"/>
      <protection/>
    </xf>
    <xf numFmtId="4" fontId="9" fillId="0" borderId="1" xfId="19" applyNumberFormat="1" applyFont="1" applyFill="1" applyBorder="1" applyAlignment="1">
      <alignment vertical="center" wrapText="1"/>
      <protection/>
    </xf>
    <xf numFmtId="1" fontId="9" fillId="0" borderId="1" xfId="19" applyNumberFormat="1" applyFont="1" applyFill="1" applyBorder="1" applyAlignment="1">
      <alignment horizontal="center" vertical="center"/>
      <protection/>
    </xf>
    <xf numFmtId="4" fontId="9" fillId="0" borderId="1" xfId="19" applyNumberFormat="1" applyFont="1" applyFill="1" applyBorder="1" applyAlignment="1">
      <alignment vertical="center" wrapText="1"/>
      <protection/>
    </xf>
    <xf numFmtId="4" fontId="7" fillId="0" borderId="1" xfId="19" applyNumberFormat="1" applyFont="1" applyFill="1" applyBorder="1" applyAlignment="1">
      <alignment horizontal="left" vertical="center" wrapText="1"/>
      <protection/>
    </xf>
    <xf numFmtId="0" fontId="9" fillId="0" borderId="1" xfId="18" applyFont="1" applyFill="1" applyBorder="1" applyAlignment="1">
      <alignment vertical="center" wrapText="1"/>
      <protection/>
    </xf>
    <xf numFmtId="3" fontId="7" fillId="0" borderId="1" xfId="19" applyNumberFormat="1" applyFont="1" applyFill="1" applyBorder="1" applyAlignment="1">
      <alignment horizontal="right" vertical="center" wrapText="1"/>
      <protection/>
    </xf>
    <xf numFmtId="0" fontId="3" fillId="0" borderId="1" xfId="18" applyFont="1" applyFill="1" applyBorder="1" applyAlignment="1">
      <alignment horizontal="center" vertical="center"/>
      <protection/>
    </xf>
    <xf numFmtId="0" fontId="3" fillId="0" borderId="1" xfId="18" applyFont="1" applyFill="1" applyBorder="1" applyAlignment="1">
      <alignment vertical="center" wrapText="1"/>
      <protection/>
    </xf>
    <xf numFmtId="0" fontId="3" fillId="0" borderId="1" xfId="18" applyFont="1" applyFill="1" applyBorder="1" applyAlignment="1">
      <alignment horizontal="center" vertical="center"/>
      <protection/>
    </xf>
    <xf numFmtId="0" fontId="3" fillId="0" borderId="1" xfId="18" applyFont="1" applyFill="1" applyBorder="1" applyAlignment="1">
      <alignment vertical="center" wrapText="1"/>
      <protection/>
    </xf>
    <xf numFmtId="9" fontId="9" fillId="0" borderId="1" xfId="18" applyNumberFormat="1" applyFont="1" applyFill="1" applyBorder="1" applyAlignment="1">
      <alignment vertical="center" wrapText="1"/>
      <protection/>
    </xf>
    <xf numFmtId="0" fontId="9" fillId="0" borderId="1" xfId="18" applyFont="1" applyFill="1" applyBorder="1" applyAlignment="1">
      <alignment horizontal="center" vertical="center"/>
      <protection/>
    </xf>
    <xf numFmtId="0" fontId="11" fillId="0" borderId="1" xfId="18" applyFont="1" applyFill="1" applyBorder="1" applyAlignment="1">
      <alignment horizontal="left" vertical="center" wrapText="1"/>
      <protection/>
    </xf>
    <xf numFmtId="4" fontId="9" fillId="0" borderId="1" xfId="19" applyNumberFormat="1" applyFont="1" applyFill="1" applyBorder="1" applyAlignment="1">
      <alignment horizontal="left" vertical="center" wrapText="1"/>
      <protection/>
    </xf>
    <xf numFmtId="0" fontId="9" fillId="0" borderId="1" xfId="0" applyFont="1" applyFill="1" applyBorder="1" applyAlignment="1">
      <alignment/>
    </xf>
    <xf numFmtId="3" fontId="9" fillId="0" borderId="1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11" fillId="0" borderId="1" xfId="18" applyFont="1" applyFill="1" applyBorder="1" applyAlignment="1">
      <alignment vertical="center" wrapText="1"/>
      <protection/>
    </xf>
    <xf numFmtId="3" fontId="7" fillId="0" borderId="1" xfId="19" applyNumberFormat="1" applyFont="1" applyFill="1" applyBorder="1" applyAlignment="1">
      <alignment horizontal="center" vertical="center"/>
      <protection/>
    </xf>
    <xf numFmtId="3" fontId="7" fillId="0" borderId="1" xfId="19" applyNumberFormat="1" applyFont="1" applyFill="1" applyBorder="1" applyAlignment="1">
      <alignment horizontal="left" vertical="center" wrapText="1"/>
      <protection/>
    </xf>
    <xf numFmtId="1" fontId="9" fillId="0" borderId="1" xfId="19" applyNumberFormat="1" applyFont="1" applyFill="1" applyBorder="1" applyAlignment="1">
      <alignment vertical="center" wrapText="1"/>
      <protection/>
    </xf>
    <xf numFmtId="1" fontId="3" fillId="0" borderId="1" xfId="19" applyNumberFormat="1" applyFont="1" applyFill="1" applyBorder="1" applyAlignment="1">
      <alignment horizontal="center" vertical="center"/>
      <protection/>
    </xf>
    <xf numFmtId="1" fontId="3" fillId="0" borderId="1" xfId="19" applyNumberFormat="1" applyFont="1" applyFill="1" applyBorder="1" applyAlignment="1">
      <alignment horizontal="right" vertical="center" wrapText="1"/>
      <protection/>
    </xf>
    <xf numFmtId="4" fontId="9" fillId="0" borderId="1" xfId="19" applyNumberFormat="1" applyFont="1" applyFill="1" applyBorder="1" applyAlignment="1">
      <alignment horizontal="center" vertical="center"/>
      <protection/>
    </xf>
    <xf numFmtId="1" fontId="9" fillId="0" borderId="1" xfId="19" applyNumberFormat="1" applyFont="1" applyFill="1" applyBorder="1" applyAlignment="1">
      <alignment horizontal="left" vertical="center" wrapText="1"/>
      <protection/>
    </xf>
    <xf numFmtId="1" fontId="10" fillId="0" borderId="1" xfId="19" applyNumberFormat="1" applyFont="1" applyFill="1" applyBorder="1" applyAlignment="1">
      <alignment horizontal="center" vertical="center"/>
      <protection/>
    </xf>
    <xf numFmtId="0" fontId="12" fillId="0" borderId="1" xfId="18" applyFont="1" applyFill="1" applyBorder="1" applyAlignment="1">
      <alignment horizontal="right" vertical="center" wrapText="1"/>
      <protection/>
    </xf>
    <xf numFmtId="1" fontId="12" fillId="0" borderId="1" xfId="19" applyNumberFormat="1" applyFont="1" applyFill="1" applyBorder="1" applyAlignment="1">
      <alignment horizontal="right" vertical="center" wrapText="1"/>
      <protection/>
    </xf>
    <xf numFmtId="3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172" fontId="2" fillId="0" borderId="1" xfId="19" applyNumberFormat="1" applyFont="1" applyFill="1" applyBorder="1" applyAlignment="1">
      <alignment horizontal="center" vertical="center" wrapText="1"/>
      <protection/>
    </xf>
    <xf numFmtId="3" fontId="3" fillId="0" borderId="1" xfId="19" applyNumberFormat="1" applyFont="1" applyFill="1" applyBorder="1" applyAlignment="1">
      <alignment horizontal="right" vertical="center" wrapText="1"/>
      <protection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/>
    </xf>
    <xf numFmtId="3" fontId="5" fillId="0" borderId="3" xfId="0" applyNumberFormat="1" applyFont="1" applyFill="1" applyBorder="1" applyAlignment="1">
      <alignment horizontal="center"/>
    </xf>
    <xf numFmtId="3" fontId="0" fillId="0" borderId="0" xfId="0" applyNumberFormat="1" applyFont="1" applyFill="1" applyAlignment="1">
      <alignment/>
    </xf>
    <xf numFmtId="4" fontId="2" fillId="0" borderId="1" xfId="19" applyNumberFormat="1" applyFont="1" applyFill="1" applyBorder="1" applyAlignment="1">
      <alignment horizontal="center" vertical="center" wrapText="1"/>
      <protection/>
    </xf>
    <xf numFmtId="1" fontId="2" fillId="0" borderId="1" xfId="19" applyNumberFormat="1" applyFont="1" applyFill="1" applyBorder="1" applyAlignment="1">
      <alignment horizontal="center" vertical="center" wrapText="1"/>
      <protection/>
    </xf>
    <xf numFmtId="3" fontId="5" fillId="0" borderId="0" xfId="0" applyNumberFormat="1" applyFont="1" applyFill="1" applyBorder="1" applyAlignment="1">
      <alignment horizontal="center"/>
    </xf>
    <xf numFmtId="1" fontId="6" fillId="0" borderId="1" xfId="19" applyNumberFormat="1" applyFont="1" applyFill="1" applyBorder="1" applyAlignment="1">
      <alignment horizontal="left" vertical="center" wrapText="1"/>
      <protection/>
    </xf>
    <xf numFmtId="3" fontId="6" fillId="0" borderId="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" fontId="2" fillId="0" borderId="1" xfId="19" applyNumberFormat="1" applyFont="1" applyFill="1" applyBorder="1" applyAlignment="1">
      <alignment horizontal="center" vertical="center"/>
      <protection/>
    </xf>
    <xf numFmtId="172" fontId="9" fillId="0" borderId="1" xfId="19" applyNumberFormat="1" applyFont="1" applyFill="1" applyBorder="1" applyAlignment="1">
      <alignment horizontal="center" vertical="center" wrapText="1"/>
      <protection/>
    </xf>
    <xf numFmtId="0" fontId="9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13" fillId="0" borderId="0" xfId="0" applyFont="1" applyFill="1" applyAlignment="1">
      <alignment/>
    </xf>
    <xf numFmtId="1" fontId="2" fillId="0" borderId="1" xfId="19" applyNumberFormat="1" applyFont="1" applyFill="1" applyBorder="1" applyAlignment="1">
      <alignment horizontal="center" vertical="center" wrapText="1"/>
      <protection/>
    </xf>
    <xf numFmtId="4" fontId="2" fillId="0" borderId="1" xfId="19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0" fontId="17" fillId="0" borderId="0" xfId="0" applyFont="1" applyFill="1" applyAlignment="1">
      <alignment/>
    </xf>
    <xf numFmtId="1" fontId="16" fillId="0" borderId="1" xfId="19" applyNumberFormat="1" applyFont="1" applyFill="1" applyBorder="1" applyAlignment="1">
      <alignment horizontal="center" vertical="center"/>
      <protection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wrapText="1"/>
    </xf>
    <xf numFmtId="172" fontId="2" fillId="0" borderId="0" xfId="19" applyNumberFormat="1" applyFont="1" applyFill="1" applyBorder="1" applyAlignment="1">
      <alignment horizontal="center" vertical="center" wrapText="1"/>
      <protection/>
    </xf>
    <xf numFmtId="4" fontId="6" fillId="0" borderId="1" xfId="19" applyNumberFormat="1" applyFont="1" applyFill="1" applyBorder="1" applyAlignment="1">
      <alignment horizontal="left" vertical="center" wrapText="1"/>
      <protection/>
    </xf>
    <xf numFmtId="4" fontId="2" fillId="0" borderId="1" xfId="19" applyNumberFormat="1" applyFont="1" applyFill="1" applyBorder="1" applyAlignment="1">
      <alignment horizontal="left" vertical="center" wrapText="1"/>
      <protection/>
    </xf>
    <xf numFmtId="4" fontId="1" fillId="0" borderId="0" xfId="19" applyNumberFormat="1" applyFont="1" applyFill="1" applyBorder="1" applyAlignment="1">
      <alignment horizontal="center" vertical="center" wrapText="1"/>
      <protection/>
    </xf>
    <xf numFmtId="1" fontId="6" fillId="0" borderId="3" xfId="19" applyNumberFormat="1" applyFont="1" applyFill="1" applyBorder="1" applyAlignment="1">
      <alignment horizontal="left" vertical="center" wrapText="1"/>
      <protection/>
    </xf>
    <xf numFmtId="1" fontId="6" fillId="0" borderId="2" xfId="19" applyNumberFormat="1" applyFont="1" applyFill="1" applyBorder="1" applyAlignment="1">
      <alignment horizontal="left" vertical="center" wrapText="1"/>
      <protection/>
    </xf>
    <xf numFmtId="4" fontId="4" fillId="0" borderId="3" xfId="19" applyNumberFormat="1" applyFont="1" applyFill="1" applyBorder="1" applyAlignment="1">
      <alignment horizontal="center" vertical="center" wrapText="1"/>
      <protection/>
    </xf>
    <xf numFmtId="4" fontId="4" fillId="0" borderId="2" xfId="19" applyNumberFormat="1" applyFont="1" applyFill="1" applyBorder="1" applyAlignment="1">
      <alignment horizontal="center" vertical="center" wrapText="1"/>
      <protection/>
    </xf>
    <xf numFmtId="1" fontId="2" fillId="0" borderId="1" xfId="19" applyNumberFormat="1" applyFont="1" applyFill="1" applyBorder="1" applyAlignment="1">
      <alignment horizontal="center" vertical="center" wrapText="1"/>
      <protection/>
    </xf>
    <xf numFmtId="4" fontId="2" fillId="0" borderId="1" xfId="19" applyNumberFormat="1" applyFont="1" applyFill="1" applyBorder="1" applyAlignment="1">
      <alignment horizontal="center" vertical="center" wrapText="1"/>
      <protection/>
    </xf>
    <xf numFmtId="4" fontId="1" fillId="0" borderId="3" xfId="19" applyNumberFormat="1" applyFont="1" applyFill="1" applyBorder="1" applyAlignment="1">
      <alignment horizontal="center" vertical="center" wrapText="1"/>
      <protection/>
    </xf>
    <xf numFmtId="4" fontId="1" fillId="0" borderId="4" xfId="19" applyNumberFormat="1" applyFont="1" applyFill="1" applyBorder="1" applyAlignment="1">
      <alignment horizontal="center" vertical="center" wrapText="1"/>
      <protection/>
    </xf>
    <xf numFmtId="4" fontId="1" fillId="0" borderId="2" xfId="19" applyNumberFormat="1" applyFont="1" applyFill="1" applyBorder="1" applyAlignment="1">
      <alignment horizontal="center" vertical="center" wrapText="1"/>
      <protection/>
    </xf>
    <xf numFmtId="3" fontId="2" fillId="0" borderId="5" xfId="19" applyNumberFormat="1" applyFont="1" applyFill="1" applyBorder="1" applyAlignment="1">
      <alignment horizontal="center" vertical="center" wrapText="1"/>
      <protection/>
    </xf>
    <xf numFmtId="3" fontId="2" fillId="0" borderId="6" xfId="19" applyNumberFormat="1" applyFont="1" applyFill="1" applyBorder="1" applyAlignment="1">
      <alignment horizontal="center" vertical="center" wrapText="1"/>
      <protection/>
    </xf>
  </cellXfs>
  <cellStyles count="10">
    <cellStyle name="Normal" xfId="0"/>
    <cellStyle name="Comma" xfId="15"/>
    <cellStyle name="Comma [0]" xfId="16"/>
    <cellStyle name="Hyperlink" xfId="17"/>
    <cellStyle name="Normalny_B_99" xfId="18"/>
    <cellStyle name="Normalny_d_stawkimax" xfId="19"/>
    <cellStyle name="Followed Hyperlink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5"/>
  <sheetViews>
    <sheetView workbookViewId="0" topLeftCell="A1">
      <pane ySplit="3" topLeftCell="BM4" activePane="bottomLeft" state="frozen"/>
      <selection pane="topLeft" activeCell="A1" sqref="A1"/>
      <selection pane="bottomLeft" activeCell="A2" sqref="A2"/>
    </sheetView>
  </sheetViews>
  <sheetFormatPr defaultColWidth="9.00390625" defaultRowHeight="12.75"/>
  <cols>
    <col min="1" max="1" width="3.25390625" style="71" customWidth="1"/>
    <col min="2" max="2" width="48.25390625" style="71" customWidth="1"/>
    <col min="3" max="3" width="13.375" style="63" customWidth="1"/>
    <col min="4" max="4" width="12.625" style="57" customWidth="1"/>
    <col min="5" max="5" width="10.875" style="57" customWidth="1"/>
    <col min="6" max="16384" width="9.125" style="71" customWidth="1"/>
  </cols>
  <sheetData>
    <row r="1" spans="1:5" ht="37.5" customHeight="1">
      <c r="A1" s="79" t="s">
        <v>220</v>
      </c>
      <c r="B1" s="79"/>
      <c r="C1" s="79"/>
      <c r="D1" s="79"/>
      <c r="E1" s="79"/>
    </row>
    <row r="2" spans="1:5" ht="22.5">
      <c r="A2" s="59" t="s">
        <v>181</v>
      </c>
      <c r="B2" s="58" t="s">
        <v>182</v>
      </c>
      <c r="C2" s="1" t="s">
        <v>146</v>
      </c>
      <c r="D2" s="1" t="s">
        <v>124</v>
      </c>
      <c r="E2" s="1" t="s">
        <v>49</v>
      </c>
    </row>
    <row r="3" spans="1:5" ht="12.75">
      <c r="A3" s="2">
        <v>1</v>
      </c>
      <c r="B3" s="2">
        <v>2</v>
      </c>
      <c r="C3" s="1">
        <v>3</v>
      </c>
      <c r="D3" s="1">
        <v>4</v>
      </c>
      <c r="E3" s="3">
        <v>5</v>
      </c>
    </row>
    <row r="4" spans="1:5" ht="15.75" customHeight="1">
      <c r="A4" s="82" t="s">
        <v>183</v>
      </c>
      <c r="B4" s="83"/>
      <c r="C4" s="4">
        <f>SUM(C5,C117,C150,C153)</f>
        <v>982877566</v>
      </c>
      <c r="D4" s="4">
        <f>SUM(D5,D117,D150,D153)</f>
        <v>510754678.76000005</v>
      </c>
      <c r="E4" s="65">
        <f aca="true" t="shared" si="0" ref="E4:E67">D4/C4</f>
        <v>0.5196523925544558</v>
      </c>
    </row>
    <row r="5" spans="1:5" ht="15.75" customHeight="1">
      <c r="A5" s="77" t="s">
        <v>184</v>
      </c>
      <c r="B5" s="78"/>
      <c r="C5" s="6">
        <f>SUM(C6,C21,C26,C33,C66,C114,C83)</f>
        <v>673904149</v>
      </c>
      <c r="D5" s="6">
        <f>SUM(D6,D21,D26,D33,D66,D114,D83)</f>
        <v>330752180.97</v>
      </c>
      <c r="E5" s="65">
        <f t="shared" si="0"/>
        <v>0.49080003656425036</v>
      </c>
    </row>
    <row r="6" spans="1:5" ht="12.75">
      <c r="A6" s="7">
        <v>1</v>
      </c>
      <c r="B6" s="8" t="s">
        <v>185</v>
      </c>
      <c r="C6" s="9">
        <f>SUM(C7:C20)</f>
        <v>178981250</v>
      </c>
      <c r="D6" s="9">
        <f>SUM(D7:D20)</f>
        <v>95041031.45</v>
      </c>
      <c r="E6" s="65">
        <f t="shared" si="0"/>
        <v>0.5310111056325733</v>
      </c>
    </row>
    <row r="7" spans="1:5" ht="12.75">
      <c r="A7" s="10"/>
      <c r="B7" s="11" t="s">
        <v>186</v>
      </c>
      <c r="C7" s="12">
        <f>108326000+20350000+4000000+1000000+8000000</f>
        <v>141676000</v>
      </c>
      <c r="D7" s="12">
        <f>61493749.83+13898988.76</f>
        <v>75392738.59</v>
      </c>
      <c r="E7" s="65">
        <f t="shared" si="0"/>
        <v>0.5321489778791044</v>
      </c>
    </row>
    <row r="8" spans="1:5" ht="12.75">
      <c r="A8" s="10"/>
      <c r="B8" s="14" t="s">
        <v>187</v>
      </c>
      <c r="C8" s="12">
        <f>6000000+2190000</f>
        <v>8190000</v>
      </c>
      <c r="D8" s="12">
        <f>3220207.9+1059129.29</f>
        <v>4279337.1899999995</v>
      </c>
      <c r="E8" s="65">
        <f t="shared" si="0"/>
        <v>0.5225075934065934</v>
      </c>
    </row>
    <row r="9" spans="1:5" ht="12.75">
      <c r="A9" s="15"/>
      <c r="B9" s="16" t="s">
        <v>188</v>
      </c>
      <c r="C9" s="12">
        <f>3200+42500</f>
        <v>45700</v>
      </c>
      <c r="D9" s="12">
        <f>6671+42364.87</f>
        <v>49035.87</v>
      </c>
      <c r="E9" s="65">
        <f t="shared" si="0"/>
        <v>1.072994967177243</v>
      </c>
    </row>
    <row r="10" spans="1:5" ht="12.75">
      <c r="A10" s="18"/>
      <c r="B10" s="11" t="s">
        <v>189</v>
      </c>
      <c r="C10" s="12">
        <f>75000+4550</f>
        <v>79550</v>
      </c>
      <c r="D10" s="12">
        <f>56562+3565.6</f>
        <v>60127.6</v>
      </c>
      <c r="E10" s="65">
        <f t="shared" si="0"/>
        <v>0.7558466373350095</v>
      </c>
    </row>
    <row r="11" spans="1:5" ht="12.75" hidden="1">
      <c r="A11" s="18"/>
      <c r="B11" s="16" t="s">
        <v>190</v>
      </c>
      <c r="C11" s="12"/>
      <c r="D11" s="12">
        <v>0</v>
      </c>
      <c r="E11" s="65" t="e">
        <f t="shared" si="0"/>
        <v>#DIV/0!</v>
      </c>
    </row>
    <row r="12" spans="1:5" ht="22.5">
      <c r="A12" s="19"/>
      <c r="B12" s="20" t="s">
        <v>191</v>
      </c>
      <c r="C12" s="12">
        <v>245000</v>
      </c>
      <c r="D12" s="12">
        <v>70576</v>
      </c>
      <c r="E12" s="65">
        <f t="shared" si="0"/>
        <v>0.28806530612244896</v>
      </c>
    </row>
    <row r="13" spans="1:5" ht="12.75">
      <c r="A13" s="10"/>
      <c r="B13" s="14" t="s">
        <v>192</v>
      </c>
      <c r="C13" s="12">
        <v>4100000</v>
      </c>
      <c r="D13" s="12">
        <v>1722389.04</v>
      </c>
      <c r="E13" s="65">
        <f t="shared" si="0"/>
        <v>0.4200948878048781</v>
      </c>
    </row>
    <row r="14" spans="1:5" ht="12.75">
      <c r="A14" s="10"/>
      <c r="B14" s="14" t="s">
        <v>193</v>
      </c>
      <c r="C14" s="12">
        <f>4800000+300000</f>
        <v>5100000</v>
      </c>
      <c r="D14" s="12">
        <v>4127123.7</v>
      </c>
      <c r="E14" s="65">
        <f t="shared" si="0"/>
        <v>0.8092399411764706</v>
      </c>
    </row>
    <row r="15" spans="1:5" ht="12.75">
      <c r="A15" s="21"/>
      <c r="B15" s="22" t="s">
        <v>194</v>
      </c>
      <c r="C15" s="12">
        <v>5000000</v>
      </c>
      <c r="D15" s="12">
        <v>2497165.12</v>
      </c>
      <c r="E15" s="65">
        <f t="shared" si="0"/>
        <v>0.499433024</v>
      </c>
    </row>
    <row r="16" spans="1:5" ht="12.75">
      <c r="A16" s="18"/>
      <c r="B16" s="16" t="s">
        <v>195</v>
      </c>
      <c r="C16" s="12">
        <f>575000+50000</f>
        <v>625000</v>
      </c>
      <c r="D16" s="12">
        <f>168706+21280.99</f>
        <v>189986.99</v>
      </c>
      <c r="E16" s="65">
        <f t="shared" si="0"/>
        <v>0.30397918399999996</v>
      </c>
    </row>
    <row r="17" spans="1:5" ht="22.5" customHeight="1">
      <c r="A17" s="18"/>
      <c r="B17" s="16" t="s">
        <v>196</v>
      </c>
      <c r="C17" s="12">
        <f>45900+34200+12219900+620000</f>
        <v>12920000</v>
      </c>
      <c r="D17" s="12">
        <f>5037.45+94559+5313847.27+8366.2+33727.26</f>
        <v>5455537.18</v>
      </c>
      <c r="E17" s="65">
        <f t="shared" si="0"/>
        <v>0.4222551996904024</v>
      </c>
    </row>
    <row r="18" spans="1:5" ht="12.75">
      <c r="A18" s="19"/>
      <c r="B18" s="11" t="s">
        <v>197</v>
      </c>
      <c r="C18" s="12">
        <v>250000</v>
      </c>
      <c r="D18" s="12">
        <v>51338.61</v>
      </c>
      <c r="E18" s="65">
        <f t="shared" si="0"/>
        <v>0.20535444</v>
      </c>
    </row>
    <row r="19" spans="1:5" ht="22.5">
      <c r="A19" s="19"/>
      <c r="B19" s="11" t="s">
        <v>218</v>
      </c>
      <c r="C19" s="12"/>
      <c r="D19" s="12">
        <v>1602.39</v>
      </c>
      <c r="E19" s="65"/>
    </row>
    <row r="20" spans="1:5" ht="12.75">
      <c r="A20" s="23"/>
      <c r="B20" s="24" t="s">
        <v>198</v>
      </c>
      <c r="C20" s="12">
        <f>450000+300000</f>
        <v>750000</v>
      </c>
      <c r="D20" s="12">
        <f>944184.46+199888.71</f>
        <v>1144073.17</v>
      </c>
      <c r="E20" s="65">
        <f t="shared" si="0"/>
        <v>1.5254308933333331</v>
      </c>
    </row>
    <row r="21" spans="1:5" ht="17.25" customHeight="1">
      <c r="A21" s="7">
        <v>2</v>
      </c>
      <c r="B21" s="25" t="s">
        <v>199</v>
      </c>
      <c r="C21" s="9">
        <f>SUM(C22:C25)</f>
        <v>34800000</v>
      </c>
      <c r="D21" s="9">
        <f>SUM(D22:D25)</f>
        <v>23194051.389999997</v>
      </c>
      <c r="E21" s="65">
        <f t="shared" si="0"/>
        <v>0.6664957295977011</v>
      </c>
    </row>
    <row r="22" spans="1:5" ht="12.75">
      <c r="A22" s="10"/>
      <c r="B22" s="26" t="s">
        <v>200</v>
      </c>
      <c r="C22" s="12">
        <v>700000</v>
      </c>
      <c r="D22" s="12">
        <v>332318.01</v>
      </c>
      <c r="E22" s="65">
        <f t="shared" si="0"/>
        <v>0.4747400142857143</v>
      </c>
    </row>
    <row r="23" spans="1:5" ht="12.75">
      <c r="A23" s="10"/>
      <c r="B23" s="26" t="s">
        <v>201</v>
      </c>
      <c r="C23" s="12">
        <v>4100000</v>
      </c>
      <c r="D23" s="12">
        <v>2239972.76</v>
      </c>
      <c r="E23" s="65">
        <f t="shared" si="0"/>
        <v>0.5463348195121951</v>
      </c>
    </row>
    <row r="24" spans="1:5" ht="12.75">
      <c r="A24" s="10"/>
      <c r="B24" s="26" t="s">
        <v>202</v>
      </c>
      <c r="C24" s="12">
        <v>30000000</v>
      </c>
      <c r="D24" s="12">
        <f>10085822.58+10521912.57+3580</f>
        <v>20611315.15</v>
      </c>
      <c r="E24" s="65">
        <f t="shared" si="0"/>
        <v>0.6870438383333333</v>
      </c>
    </row>
    <row r="25" spans="1:5" ht="12.75">
      <c r="A25" s="10"/>
      <c r="B25" s="26" t="s">
        <v>128</v>
      </c>
      <c r="C25" s="12"/>
      <c r="D25" s="12">
        <f>10445.47</f>
        <v>10445.47</v>
      </c>
      <c r="E25" s="65"/>
    </row>
    <row r="26" spans="1:5" ht="12.75">
      <c r="A26" s="7">
        <v>3</v>
      </c>
      <c r="B26" s="8" t="s">
        <v>203</v>
      </c>
      <c r="C26" s="27">
        <f>SUM(C27:C30)</f>
        <v>24104841</v>
      </c>
      <c r="D26" s="27">
        <f>SUM(D27:D30)</f>
        <v>13570752.64</v>
      </c>
      <c r="E26" s="65">
        <f t="shared" si="0"/>
        <v>0.5629886809873585</v>
      </c>
    </row>
    <row r="27" spans="1:5" ht="12.75">
      <c r="A27" s="10" t="s">
        <v>0</v>
      </c>
      <c r="B27" s="26" t="s">
        <v>1</v>
      </c>
      <c r="C27" s="12">
        <v>10000000</v>
      </c>
      <c r="D27" s="12">
        <v>4084266.63</v>
      </c>
      <c r="E27" s="65">
        <f t="shared" si="0"/>
        <v>0.40842666299999997</v>
      </c>
    </row>
    <row r="28" spans="1:5" ht="12.75">
      <c r="A28" s="10"/>
      <c r="B28" s="26" t="s">
        <v>2</v>
      </c>
      <c r="C28" s="12">
        <v>3000000</v>
      </c>
      <c r="D28" s="12">
        <v>1557366.79</v>
      </c>
      <c r="E28" s="65">
        <f t="shared" si="0"/>
        <v>0.5191222633333333</v>
      </c>
    </row>
    <row r="29" spans="1:5" ht="12.75">
      <c r="A29" s="10"/>
      <c r="B29" s="26" t="s">
        <v>3</v>
      </c>
      <c r="C29" s="12">
        <v>8000000</v>
      </c>
      <c r="D29" s="12">
        <v>5936120.32</v>
      </c>
      <c r="E29" s="65">
        <f t="shared" si="0"/>
        <v>0.7420150400000001</v>
      </c>
    </row>
    <row r="30" spans="1:5" ht="12.75">
      <c r="A30" s="10"/>
      <c r="B30" s="26" t="s">
        <v>4</v>
      </c>
      <c r="C30" s="12">
        <f>SUM(C31:C32)</f>
        <v>3104841</v>
      </c>
      <c r="D30" s="12">
        <f>SUM(D31:D32)</f>
        <v>1992998.9</v>
      </c>
      <c r="E30" s="65">
        <f t="shared" si="0"/>
        <v>0.6419004709097824</v>
      </c>
    </row>
    <row r="31" spans="1:5" ht="22.5" customHeight="1">
      <c r="A31" s="28"/>
      <c r="B31" s="29" t="s">
        <v>5</v>
      </c>
      <c r="C31" s="12">
        <f>250000+1243097+27600+25000+1325000+90000</f>
        <v>2960697</v>
      </c>
      <c r="D31" s="17">
        <f>7405.04+631065.38+114933.63+1200+9318.88+1160668.26</f>
        <v>1924591.19</v>
      </c>
      <c r="E31" s="65">
        <f t="shared" si="0"/>
        <v>0.6500466579322369</v>
      </c>
    </row>
    <row r="32" spans="1:5" ht="12.75">
      <c r="A32" s="30"/>
      <c r="B32" s="31" t="s">
        <v>6</v>
      </c>
      <c r="C32" s="12">
        <f>10100+5500+8440+23200+89039+7615+200+50</f>
        <v>144144</v>
      </c>
      <c r="D32" s="17">
        <f>42335.23+9328.86+4263.04+2183.76+4525.78+5771.04</f>
        <v>68407.71</v>
      </c>
      <c r="E32" s="65">
        <f t="shared" si="0"/>
        <v>0.47457896270396277</v>
      </c>
    </row>
    <row r="33" spans="1:5" ht="12.75">
      <c r="A33" s="7">
        <v>4</v>
      </c>
      <c r="B33" s="8" t="s">
        <v>10</v>
      </c>
      <c r="C33" s="27">
        <f>SUM(C34:C60)</f>
        <v>102175640</v>
      </c>
      <c r="D33" s="27">
        <f>SUM(D34:D60)</f>
        <v>57061666.12000003</v>
      </c>
      <c r="E33" s="65">
        <f t="shared" si="0"/>
        <v>0.5584664419033737</v>
      </c>
    </row>
    <row r="34" spans="1:5" ht="12.75">
      <c r="A34" s="10"/>
      <c r="B34" s="26" t="s">
        <v>11</v>
      </c>
      <c r="C34" s="12">
        <f>40000+2100000+60100000+5128000+600000</f>
        <v>67968000</v>
      </c>
      <c r="D34" s="12">
        <f>33691150.52+32438.34+220365.52-240828.88</f>
        <v>33703125.50000001</v>
      </c>
      <c r="E34" s="65">
        <f t="shared" si="0"/>
        <v>0.49586754796374777</v>
      </c>
    </row>
    <row r="35" spans="1:5" ht="12.75">
      <c r="A35" s="10"/>
      <c r="B35" s="26" t="s">
        <v>12</v>
      </c>
      <c r="C35" s="12">
        <f>2791125+148019</f>
        <v>2939144</v>
      </c>
      <c r="D35" s="12">
        <v>240828.88</v>
      </c>
      <c r="E35" s="65">
        <f t="shared" si="0"/>
        <v>0.08193844194091886</v>
      </c>
    </row>
    <row r="36" spans="1:5" ht="22.5">
      <c r="A36" s="10"/>
      <c r="B36" s="26" t="s">
        <v>149</v>
      </c>
      <c r="C36" s="12">
        <f>219000+1181000+1143000+11330+454311</f>
        <v>3008641</v>
      </c>
      <c r="D36" s="12">
        <f>974834.81+1825012.99</f>
        <v>2799847.8</v>
      </c>
      <c r="E36" s="65">
        <f t="shared" si="0"/>
        <v>0.9306021555911788</v>
      </c>
    </row>
    <row r="37" spans="1:5" ht="33.75">
      <c r="A37" s="10"/>
      <c r="B37" s="26" t="s">
        <v>39</v>
      </c>
      <c r="C37" s="12">
        <f>950000+1000</f>
        <v>951000</v>
      </c>
      <c r="D37" s="12">
        <f>395505.64+82.4</f>
        <v>395588.04000000004</v>
      </c>
      <c r="E37" s="65">
        <f t="shared" si="0"/>
        <v>0.4159705993690852</v>
      </c>
    </row>
    <row r="38" spans="1:5" s="63" customFormat="1" ht="18" customHeight="1">
      <c r="A38" s="10"/>
      <c r="B38" s="26" t="s">
        <v>216</v>
      </c>
      <c r="C38" s="12">
        <f>1768042-251899</f>
        <v>1516143</v>
      </c>
      <c r="D38" s="12">
        <v>1516143</v>
      </c>
      <c r="E38" s="65">
        <f t="shared" si="0"/>
        <v>1</v>
      </c>
    </row>
    <row r="39" spans="1:5" s="63" customFormat="1" ht="15" customHeight="1">
      <c r="A39" s="10"/>
      <c r="B39" s="26" t="s">
        <v>217</v>
      </c>
      <c r="C39" s="12">
        <f>1344358-323042</f>
        <v>1021316</v>
      </c>
      <c r="D39" s="12">
        <v>993000</v>
      </c>
      <c r="E39" s="65">
        <f t="shared" si="0"/>
        <v>0.9722749863901085</v>
      </c>
    </row>
    <row r="40" spans="1:5" ht="12.75">
      <c r="A40" s="10"/>
      <c r="B40" s="26" t="s">
        <v>13</v>
      </c>
      <c r="C40" s="12">
        <v>312000</v>
      </c>
      <c r="D40" s="12">
        <v>182390.68</v>
      </c>
      <c r="E40" s="65">
        <f t="shared" si="0"/>
        <v>0.5845855128205127</v>
      </c>
    </row>
    <row r="41" spans="1:5" ht="12.75">
      <c r="A41" s="10"/>
      <c r="B41" s="26" t="s">
        <v>14</v>
      </c>
      <c r="C41" s="12">
        <f>470000+500</f>
        <v>470500</v>
      </c>
      <c r="D41" s="12">
        <v>327867.7</v>
      </c>
      <c r="E41" s="65">
        <f t="shared" si="0"/>
        <v>0.6968495217853348</v>
      </c>
    </row>
    <row r="42" spans="1:5" ht="12.75">
      <c r="A42" s="10"/>
      <c r="B42" s="26" t="s">
        <v>15</v>
      </c>
      <c r="C42" s="12">
        <f>9842927+18693</f>
        <v>9861620</v>
      </c>
      <c r="D42" s="12">
        <v>5373654.45</v>
      </c>
      <c r="E42" s="65">
        <f t="shared" si="0"/>
        <v>0.5449058521825014</v>
      </c>
    </row>
    <row r="43" spans="1:5" ht="22.5">
      <c r="A43" s="10"/>
      <c r="B43" s="26" t="s">
        <v>219</v>
      </c>
      <c r="C43" s="12">
        <v>7400</v>
      </c>
      <c r="D43" s="12">
        <v>28798.82</v>
      </c>
      <c r="E43" s="65">
        <f t="shared" si="0"/>
        <v>3.8917324324324323</v>
      </c>
    </row>
    <row r="44" spans="1:5" ht="22.5">
      <c r="A44" s="10"/>
      <c r="B44" s="26" t="s">
        <v>16</v>
      </c>
      <c r="C44" s="12">
        <f>850000+950000</f>
        <v>1800000</v>
      </c>
      <c r="D44" s="12">
        <f>401790.36+370033.46</f>
        <v>771823.8200000001</v>
      </c>
      <c r="E44" s="65">
        <f t="shared" si="0"/>
        <v>0.4287910111111111</v>
      </c>
    </row>
    <row r="45" spans="1:5" ht="22.5">
      <c r="A45" s="10"/>
      <c r="B45" s="26" t="s">
        <v>164</v>
      </c>
      <c r="C45" s="12">
        <v>115800</v>
      </c>
      <c r="D45" s="12">
        <v>67273.07</v>
      </c>
      <c r="E45" s="65">
        <f t="shared" si="0"/>
        <v>0.5809418825561313</v>
      </c>
    </row>
    <row r="46" spans="1:5" ht="33.75">
      <c r="A46" s="10"/>
      <c r="B46" s="26" t="s">
        <v>171</v>
      </c>
      <c r="C46" s="12">
        <v>192720</v>
      </c>
      <c r="D46" s="12">
        <v>80838.4</v>
      </c>
      <c r="E46" s="65">
        <f t="shared" si="0"/>
        <v>0.41946035699460354</v>
      </c>
    </row>
    <row r="47" spans="1:5" ht="22.5">
      <c r="A47" s="10"/>
      <c r="B47" s="26" t="s">
        <v>129</v>
      </c>
      <c r="C47" s="12"/>
      <c r="D47" s="12">
        <v>9749.38</v>
      </c>
      <c r="E47" s="65"/>
    </row>
    <row r="48" spans="1:5" ht="12.75">
      <c r="A48" s="10"/>
      <c r="B48" s="26" t="s">
        <v>17</v>
      </c>
      <c r="C48" s="12">
        <v>2086205</v>
      </c>
      <c r="D48" s="12">
        <v>1191657.99</v>
      </c>
      <c r="E48" s="65">
        <f t="shared" si="0"/>
        <v>0.571208481429198</v>
      </c>
    </row>
    <row r="49" spans="1:5" ht="12.75">
      <c r="A49" s="10"/>
      <c r="B49" s="26" t="s">
        <v>131</v>
      </c>
      <c r="C49" s="12">
        <f>1167151+44000+108000+75000</f>
        <v>1394151</v>
      </c>
      <c r="D49" s="12">
        <f>610213.47+224054.78+296138</f>
        <v>1130406.25</v>
      </c>
      <c r="E49" s="65">
        <f t="shared" si="0"/>
        <v>0.8108205280489703</v>
      </c>
    </row>
    <row r="50" spans="1:5" ht="12.75">
      <c r="A50" s="10"/>
      <c r="B50" s="26" t="s">
        <v>18</v>
      </c>
      <c r="C50" s="12">
        <v>213000</v>
      </c>
      <c r="D50" s="12">
        <v>133491.5</v>
      </c>
      <c r="E50" s="65">
        <f t="shared" si="0"/>
        <v>0.6267206572769953</v>
      </c>
    </row>
    <row r="51" spans="1:5" ht="12.75">
      <c r="A51" s="10"/>
      <c r="B51" s="26" t="s">
        <v>132</v>
      </c>
      <c r="C51" s="12">
        <f>945000+265000</f>
        <v>1210000</v>
      </c>
      <c r="D51" s="12">
        <f>799452+586801.75</f>
        <v>1386253.75</v>
      </c>
      <c r="E51" s="65">
        <f t="shared" si="0"/>
        <v>1.145664256198347</v>
      </c>
    </row>
    <row r="52" spans="1:5" s="63" customFormat="1" ht="12.75">
      <c r="A52" s="10"/>
      <c r="B52" s="26" t="s">
        <v>19</v>
      </c>
      <c r="C52" s="12">
        <v>600000</v>
      </c>
      <c r="D52" s="12">
        <v>319937.6</v>
      </c>
      <c r="E52" s="65">
        <f t="shared" si="0"/>
        <v>0.5332293333333333</v>
      </c>
    </row>
    <row r="53" spans="1:5" ht="22.5" hidden="1">
      <c r="A53" s="10"/>
      <c r="B53" s="26" t="s">
        <v>20</v>
      </c>
      <c r="C53" s="12"/>
      <c r="D53" s="12"/>
      <c r="E53" s="65" t="e">
        <f t="shared" si="0"/>
        <v>#DIV/0!</v>
      </c>
    </row>
    <row r="54" spans="1:5" ht="39" customHeight="1">
      <c r="A54" s="10"/>
      <c r="B54" s="26" t="s">
        <v>170</v>
      </c>
      <c r="C54" s="12">
        <f>54000+35000</f>
        <v>89000</v>
      </c>
      <c r="D54" s="12">
        <f>29332+148892.03</f>
        <v>178224.03</v>
      </c>
      <c r="E54" s="65">
        <f t="shared" si="0"/>
        <v>2.002517191011236</v>
      </c>
    </row>
    <row r="55" spans="1:5" ht="22.5">
      <c r="A55" s="10"/>
      <c r="B55" s="32" t="s">
        <v>150</v>
      </c>
      <c r="C55" s="12">
        <v>390000</v>
      </c>
      <c r="D55" s="12">
        <v>255173.78</v>
      </c>
      <c r="E55" s="65">
        <f t="shared" si="0"/>
        <v>0.6542917435897436</v>
      </c>
    </row>
    <row r="56" spans="1:5" ht="12.75">
      <c r="A56" s="33"/>
      <c r="B56" s="14" t="s">
        <v>21</v>
      </c>
      <c r="C56" s="12">
        <v>2121325</v>
      </c>
      <c r="D56" s="12">
        <v>2792235.02</v>
      </c>
      <c r="E56" s="65">
        <f t="shared" si="0"/>
        <v>1.316269322239638</v>
      </c>
    </row>
    <row r="57" spans="1:5" ht="22.5">
      <c r="A57" s="33"/>
      <c r="B57" s="26" t="s">
        <v>22</v>
      </c>
      <c r="C57" s="12">
        <f>1806+800+1821+3864</f>
        <v>8291</v>
      </c>
      <c r="D57" s="12">
        <f>13.12+1297.35+486.85+1270.99+1710.72</f>
        <v>4779.03</v>
      </c>
      <c r="E57" s="65">
        <f t="shared" si="0"/>
        <v>0.5764117718007478</v>
      </c>
    </row>
    <row r="58" spans="1:5" ht="15.75" customHeight="1">
      <c r="A58" s="10"/>
      <c r="B58" s="26" t="s">
        <v>23</v>
      </c>
      <c r="C58" s="12"/>
      <c r="D58" s="12">
        <v>29316.27</v>
      </c>
      <c r="E58" s="65"/>
    </row>
    <row r="59" spans="1:5" ht="17.25" customHeight="1">
      <c r="A59" s="21"/>
      <c r="B59" s="22" t="s">
        <v>24</v>
      </c>
      <c r="C59" s="12">
        <f>2000000+1500000</f>
        <v>3500000</v>
      </c>
      <c r="D59" s="12">
        <v>1725420.8</v>
      </c>
      <c r="E59" s="65">
        <f t="shared" si="0"/>
        <v>0.49297737142857145</v>
      </c>
    </row>
    <row r="60" spans="1:5" ht="12.75">
      <c r="A60" s="10"/>
      <c r="B60" s="26" t="s">
        <v>25</v>
      </c>
      <c r="C60" s="12">
        <f>SUM(C61:C65)</f>
        <v>399384</v>
      </c>
      <c r="D60" s="12">
        <f>SUM(D61:D65)</f>
        <v>1423840.56</v>
      </c>
      <c r="E60" s="65">
        <f t="shared" si="0"/>
        <v>3.5650916411273363</v>
      </c>
    </row>
    <row r="61" spans="1:5" ht="12.75">
      <c r="A61" s="30"/>
      <c r="B61" s="31" t="s">
        <v>26</v>
      </c>
      <c r="C61" s="12">
        <v>250000</v>
      </c>
      <c r="D61" s="17">
        <v>75453.8</v>
      </c>
      <c r="E61" s="65">
        <f t="shared" si="0"/>
        <v>0.3018152</v>
      </c>
    </row>
    <row r="62" spans="1:5" ht="15.75" customHeight="1">
      <c r="A62" s="15"/>
      <c r="B62" s="31" t="s">
        <v>27</v>
      </c>
      <c r="C62" s="12">
        <f>4540+51214+2000+400+500+6900+1650+2180+20000+60000</f>
        <v>149384</v>
      </c>
      <c r="D62" s="17">
        <f>43050.81+3597.75+179523+26.09+576.68+10.79+309.5+27155.37+112921.73+8937.79+217+301.51+27171.06+4796.59+1786.68+5575.14+316.04+7070.6+0.7+2050+70.2+4714.62+9515.94+4.11+156.75+61.52+811.88+24.8+4255.76+2920.89+4.5+12.14+369.82+0.42+0.08+3350+77.2+1722.48+17.6+47.65+164.6+247.3+0.77+400+87.91+2.3+16331.52+2131.95+7629.68+6649.11+180+13.04+256.95+2466+0.29+469+70.38+8125.95+259.76+3519.16+30568.93+11.36+239.15+156+6956.49+37183+263.42+422.77+8237.28+61.26+13025.81+15.45+3000+269+151767.33+579.08+13140.72+41506.97+10912.69+10760.26</f>
        <v>831615.8299999998</v>
      </c>
      <c r="E62" s="65">
        <f t="shared" si="0"/>
        <v>5.56696721201735</v>
      </c>
    </row>
    <row r="63" spans="1:5" ht="25.5" customHeight="1" hidden="1">
      <c r="A63" s="15"/>
      <c r="B63" s="31" t="s">
        <v>126</v>
      </c>
      <c r="C63" s="12"/>
      <c r="D63" s="17"/>
      <c r="E63" s="65" t="e">
        <f t="shared" si="0"/>
        <v>#DIV/0!</v>
      </c>
    </row>
    <row r="64" spans="1:5" ht="24.75" customHeight="1" hidden="1">
      <c r="A64" s="15"/>
      <c r="B64" s="31" t="s">
        <v>145</v>
      </c>
      <c r="C64" s="12"/>
      <c r="D64" s="17"/>
      <c r="E64" s="65" t="e">
        <f t="shared" si="0"/>
        <v>#DIV/0!</v>
      </c>
    </row>
    <row r="65" spans="1:5" ht="34.5" customHeight="1">
      <c r="A65" s="15"/>
      <c r="B65" s="31" t="s">
        <v>122</v>
      </c>
      <c r="C65" s="12"/>
      <c r="D65" s="17">
        <f>7.03+268.82+18159.75+404.3+3864.89+760.2+7549.81+2.5+43439.4+9304.94+12812.8+76.05+34812.83+15725.96+0.75+150+5443.2+2629.96+775.5+26608.88+308.44+69+230468.52+521+18873+9.42+942.28+628.03+5036.58+21+48399.22+16+28680.87</f>
        <v>516770.93000000005</v>
      </c>
      <c r="E65" s="65"/>
    </row>
    <row r="66" spans="1:5" ht="12.75">
      <c r="A66" s="7">
        <v>5</v>
      </c>
      <c r="B66" s="8" t="s">
        <v>28</v>
      </c>
      <c r="C66" s="27">
        <f>SUM(C67:C82)</f>
        <v>10709279</v>
      </c>
      <c r="D66" s="27">
        <f>SUM(D67:D82)</f>
        <v>4647445.6</v>
      </c>
      <c r="E66" s="65">
        <f t="shared" si="0"/>
        <v>0.43396437799407406</v>
      </c>
    </row>
    <row r="67" spans="1:5" ht="14.25" customHeight="1">
      <c r="A67" s="21"/>
      <c r="B67" s="34" t="s">
        <v>29</v>
      </c>
      <c r="C67" s="12">
        <f>60600+251130+74448</f>
        <v>386178</v>
      </c>
      <c r="D67" s="12">
        <f>13359.03+55169.18</f>
        <v>68528.21</v>
      </c>
      <c r="E67" s="65">
        <f t="shared" si="0"/>
        <v>0.17745239242007574</v>
      </c>
    </row>
    <row r="68" spans="1:5" ht="24.75" customHeight="1">
      <c r="A68" s="21"/>
      <c r="B68" s="35" t="s">
        <v>30</v>
      </c>
      <c r="C68" s="12">
        <v>403800</v>
      </c>
      <c r="D68" s="12">
        <v>235688.46</v>
      </c>
      <c r="E68" s="65">
        <f aca="true" t="shared" si="1" ref="E68:E131">D68/C68</f>
        <v>0.5836762258543834</v>
      </c>
    </row>
    <row r="69" spans="1:5" ht="14.25" customHeight="1">
      <c r="A69" s="21"/>
      <c r="B69" s="35" t="s">
        <v>31</v>
      </c>
      <c r="C69" s="12">
        <v>350000</v>
      </c>
      <c r="D69" s="12">
        <v>214684.5</v>
      </c>
      <c r="E69" s="65">
        <f t="shared" si="1"/>
        <v>0.6133842857142857</v>
      </c>
    </row>
    <row r="70" spans="1:5" ht="14.25" customHeight="1">
      <c r="A70" s="21"/>
      <c r="B70" s="35" t="s">
        <v>169</v>
      </c>
      <c r="C70" s="12"/>
      <c r="D70" s="12">
        <v>52.01</v>
      </c>
      <c r="E70" s="65"/>
    </row>
    <row r="71" spans="1:5" ht="26.25" customHeight="1" hidden="1">
      <c r="A71" s="21"/>
      <c r="B71" s="35" t="s">
        <v>123</v>
      </c>
      <c r="C71" s="12"/>
      <c r="D71" s="12"/>
      <c r="E71" s="65" t="e">
        <f t="shared" si="1"/>
        <v>#DIV/0!</v>
      </c>
    </row>
    <row r="72" spans="1:5" ht="26.25" customHeight="1" hidden="1">
      <c r="A72" s="21"/>
      <c r="B72" s="35" t="s">
        <v>156</v>
      </c>
      <c r="C72" s="12"/>
      <c r="D72" s="12"/>
      <c r="E72" s="65" t="e">
        <f t="shared" si="1"/>
        <v>#DIV/0!</v>
      </c>
    </row>
    <row r="73" spans="1:5" ht="33.75">
      <c r="A73" s="21"/>
      <c r="B73" s="35" t="s">
        <v>32</v>
      </c>
      <c r="C73" s="12">
        <v>62000</v>
      </c>
      <c r="D73" s="12">
        <v>15222</v>
      </c>
      <c r="E73" s="65">
        <f t="shared" si="1"/>
        <v>0.24551612903225806</v>
      </c>
    </row>
    <row r="74" spans="1:5" ht="15" customHeight="1">
      <c r="A74" s="21"/>
      <c r="B74" s="35" t="s">
        <v>33</v>
      </c>
      <c r="C74" s="12">
        <v>4932</v>
      </c>
      <c r="D74" s="12">
        <v>822</v>
      </c>
      <c r="E74" s="65">
        <f t="shared" si="1"/>
        <v>0.16666666666666666</v>
      </c>
    </row>
    <row r="75" spans="1:5" ht="12.75">
      <c r="A75" s="21"/>
      <c r="B75" s="35" t="s">
        <v>34</v>
      </c>
      <c r="C75" s="12">
        <v>50000</v>
      </c>
      <c r="D75" s="12">
        <v>18431.21</v>
      </c>
      <c r="E75" s="65">
        <f t="shared" si="1"/>
        <v>0.36862419999999996</v>
      </c>
    </row>
    <row r="76" spans="1:5" ht="22.5">
      <c r="A76" s="33"/>
      <c r="B76" s="14" t="s">
        <v>35</v>
      </c>
      <c r="C76" s="12">
        <f>8412438+420055</f>
        <v>8832493</v>
      </c>
      <c r="D76" s="12">
        <v>3994017.21</v>
      </c>
      <c r="E76" s="65">
        <f t="shared" si="1"/>
        <v>0.4521959100335545</v>
      </c>
    </row>
    <row r="77" spans="1:5" ht="45" hidden="1">
      <c r="A77" s="21"/>
      <c r="B77" s="35" t="s">
        <v>36</v>
      </c>
      <c r="C77" s="12"/>
      <c r="D77" s="12"/>
      <c r="E77" s="65" t="e">
        <f t="shared" si="1"/>
        <v>#DIV/0!</v>
      </c>
    </row>
    <row r="78" spans="1:5" ht="26.25" customHeight="1">
      <c r="A78" s="33"/>
      <c r="B78" s="14" t="s">
        <v>37</v>
      </c>
      <c r="C78" s="12">
        <f>329876+494814+90000-494814</f>
        <v>419876</v>
      </c>
      <c r="D78" s="12"/>
      <c r="E78" s="65">
        <f t="shared" si="1"/>
        <v>0</v>
      </c>
    </row>
    <row r="79" spans="1:5" ht="38.25" customHeight="1" hidden="1">
      <c r="A79" s="33"/>
      <c r="B79" s="35" t="s">
        <v>115</v>
      </c>
      <c r="C79" s="12"/>
      <c r="D79" s="12"/>
      <c r="E79" s="65" t="e">
        <f t="shared" si="1"/>
        <v>#DIV/0!</v>
      </c>
    </row>
    <row r="80" spans="1:5" ht="33.75">
      <c r="A80" s="33"/>
      <c r="B80" s="35" t="s">
        <v>206</v>
      </c>
      <c r="C80" s="12">
        <f>100000+100000</f>
        <v>200000</v>
      </c>
      <c r="D80" s="12">
        <f>100000</f>
        <v>100000</v>
      </c>
      <c r="E80" s="65">
        <f t="shared" si="1"/>
        <v>0.5</v>
      </c>
    </row>
    <row r="81" spans="1:5" ht="49.5" customHeight="1" hidden="1">
      <c r="A81" s="33"/>
      <c r="B81" s="14" t="s">
        <v>153</v>
      </c>
      <c r="C81" s="12"/>
      <c r="D81" s="12"/>
      <c r="E81" s="65"/>
    </row>
    <row r="82" spans="1:5" ht="22.5" hidden="1">
      <c r="A82" s="33"/>
      <c r="B82" s="14" t="s">
        <v>125</v>
      </c>
      <c r="C82" s="12"/>
      <c r="D82" s="12"/>
      <c r="E82" s="65"/>
    </row>
    <row r="83" spans="1:5" ht="24">
      <c r="A83" s="7">
        <v>6</v>
      </c>
      <c r="B83" s="8" t="s">
        <v>38</v>
      </c>
      <c r="C83" s="27">
        <f>SUM(C84:C113)</f>
        <v>1673277</v>
      </c>
      <c r="D83" s="27">
        <f>SUM(D84:D113)</f>
        <v>639475.6</v>
      </c>
      <c r="E83" s="65">
        <f t="shared" si="1"/>
        <v>0.3821695989366973</v>
      </c>
    </row>
    <row r="84" spans="1:5" ht="27.75" customHeight="1">
      <c r="A84" s="21"/>
      <c r="B84" s="35" t="s">
        <v>205</v>
      </c>
      <c r="C84" s="12">
        <f>281400-2900</f>
        <v>278500</v>
      </c>
      <c r="D84" s="12">
        <v>138000</v>
      </c>
      <c r="E84" s="65">
        <f t="shared" si="1"/>
        <v>0.4955116696588869</v>
      </c>
    </row>
    <row r="85" spans="1:5" ht="12.75" hidden="1">
      <c r="A85" s="21"/>
      <c r="B85" s="14" t="s">
        <v>42</v>
      </c>
      <c r="C85" s="12"/>
      <c r="D85" s="12"/>
      <c r="E85" s="65" t="e">
        <f t="shared" si="1"/>
        <v>#DIV/0!</v>
      </c>
    </row>
    <row r="86" spans="1:5" ht="12.75">
      <c r="A86" s="21"/>
      <c r="B86" s="14" t="s">
        <v>179</v>
      </c>
      <c r="C86" s="12">
        <f>288502-39691</f>
        <v>248811</v>
      </c>
      <c r="D86" s="12">
        <v>130282.1</v>
      </c>
      <c r="E86" s="65">
        <f t="shared" si="1"/>
        <v>0.523618730683129</v>
      </c>
    </row>
    <row r="87" spans="1:5" ht="22.5" hidden="1">
      <c r="A87" s="21"/>
      <c r="B87" s="14" t="s">
        <v>43</v>
      </c>
      <c r="C87" s="12"/>
      <c r="D87" s="12"/>
      <c r="E87" s="65" t="e">
        <f t="shared" si="1"/>
        <v>#DIV/0!</v>
      </c>
    </row>
    <row r="88" spans="1:5" ht="33.75" hidden="1">
      <c r="A88" s="21"/>
      <c r="B88" s="14" t="s">
        <v>44</v>
      </c>
      <c r="C88" s="12"/>
      <c r="D88" s="12"/>
      <c r="E88" s="65" t="e">
        <f t="shared" si="1"/>
        <v>#DIV/0!</v>
      </c>
    </row>
    <row r="89" spans="1:5" ht="22.5" hidden="1">
      <c r="A89" s="21"/>
      <c r="B89" s="35" t="s">
        <v>45</v>
      </c>
      <c r="C89" s="12"/>
      <c r="D89" s="12"/>
      <c r="E89" s="65" t="e">
        <f t="shared" si="1"/>
        <v>#DIV/0!</v>
      </c>
    </row>
    <row r="90" spans="1:5" ht="22.5" hidden="1">
      <c r="A90" s="36"/>
      <c r="B90" s="14" t="s">
        <v>46</v>
      </c>
      <c r="C90" s="12"/>
      <c r="D90" s="12"/>
      <c r="E90" s="65" t="e">
        <f t="shared" si="1"/>
        <v>#DIV/0!</v>
      </c>
    </row>
    <row r="91" spans="1:5" ht="12.75" hidden="1">
      <c r="A91" s="36"/>
      <c r="B91" s="14" t="s">
        <v>137</v>
      </c>
      <c r="C91" s="12"/>
      <c r="D91" s="12"/>
      <c r="E91" s="65" t="e">
        <f t="shared" si="1"/>
        <v>#DIV/0!</v>
      </c>
    </row>
    <row r="92" spans="1:5" ht="12.75" hidden="1">
      <c r="A92" s="36"/>
      <c r="B92" s="14" t="s">
        <v>138</v>
      </c>
      <c r="C92" s="12"/>
      <c r="D92" s="12"/>
      <c r="E92" s="65" t="e">
        <f t="shared" si="1"/>
        <v>#DIV/0!</v>
      </c>
    </row>
    <row r="93" spans="1:5" ht="33.75">
      <c r="A93" s="36"/>
      <c r="B93" s="14" t="s">
        <v>8</v>
      </c>
      <c r="C93" s="12">
        <v>52000</v>
      </c>
      <c r="D93" s="12"/>
      <c r="E93" s="65">
        <f t="shared" si="1"/>
        <v>0</v>
      </c>
    </row>
    <row r="94" spans="1:5" ht="22.5">
      <c r="A94" s="36"/>
      <c r="B94" s="14" t="s">
        <v>208</v>
      </c>
      <c r="C94" s="12">
        <v>188712</v>
      </c>
      <c r="D94" s="12">
        <v>188712</v>
      </c>
      <c r="E94" s="65">
        <f t="shared" si="1"/>
        <v>1</v>
      </c>
    </row>
    <row r="95" spans="1:5" ht="22.5">
      <c r="A95" s="36"/>
      <c r="B95" s="14" t="s">
        <v>209</v>
      </c>
      <c r="C95" s="12">
        <v>20000</v>
      </c>
      <c r="D95" s="12"/>
      <c r="E95" s="65">
        <f t="shared" si="1"/>
        <v>0</v>
      </c>
    </row>
    <row r="96" spans="1:5" ht="16.5" customHeight="1">
      <c r="A96" s="36"/>
      <c r="B96" s="14" t="s">
        <v>7</v>
      </c>
      <c r="C96" s="12">
        <v>5008</v>
      </c>
      <c r="D96" s="12">
        <v>18992</v>
      </c>
      <c r="E96" s="65">
        <f t="shared" si="1"/>
        <v>3.792332268370607</v>
      </c>
    </row>
    <row r="97" spans="1:5" ht="30" customHeight="1">
      <c r="A97" s="36"/>
      <c r="B97" s="14" t="s">
        <v>215</v>
      </c>
      <c r="C97" s="12">
        <v>6500</v>
      </c>
      <c r="D97" s="12">
        <v>6500</v>
      </c>
      <c r="E97" s="65">
        <f t="shared" si="1"/>
        <v>1</v>
      </c>
    </row>
    <row r="98" spans="1:5" ht="33.75">
      <c r="A98" s="36"/>
      <c r="B98" s="14" t="s">
        <v>161</v>
      </c>
      <c r="C98" s="12">
        <v>4042</v>
      </c>
      <c r="D98" s="12"/>
      <c r="E98" s="65">
        <f t="shared" si="1"/>
        <v>0</v>
      </c>
    </row>
    <row r="99" spans="1:5" ht="33.75">
      <c r="A99" s="36"/>
      <c r="B99" s="14" t="s">
        <v>152</v>
      </c>
      <c r="C99" s="12">
        <v>230000</v>
      </c>
      <c r="D99" s="12"/>
      <c r="E99" s="65">
        <f t="shared" si="1"/>
        <v>0</v>
      </c>
    </row>
    <row r="100" spans="1:5" ht="30.75" customHeight="1" hidden="1">
      <c r="A100" s="36"/>
      <c r="B100" s="14" t="s">
        <v>9</v>
      </c>
      <c r="C100" s="12"/>
      <c r="D100" s="12"/>
      <c r="E100" s="65" t="e">
        <f t="shared" si="1"/>
        <v>#DIV/0!</v>
      </c>
    </row>
    <row r="101" spans="1:5" ht="47.25" customHeight="1" hidden="1">
      <c r="A101" s="36"/>
      <c r="B101" s="14" t="s">
        <v>158</v>
      </c>
      <c r="C101" s="12"/>
      <c r="D101" s="12"/>
      <c r="E101" s="65" t="e">
        <f t="shared" si="1"/>
        <v>#DIV/0!</v>
      </c>
    </row>
    <row r="102" spans="1:5" ht="22.5" hidden="1">
      <c r="A102" s="36"/>
      <c r="B102" s="14" t="s">
        <v>134</v>
      </c>
      <c r="C102" s="12"/>
      <c r="D102" s="12"/>
      <c r="E102" s="65" t="e">
        <f t="shared" si="1"/>
        <v>#DIV/0!</v>
      </c>
    </row>
    <row r="103" spans="1:5" ht="12.75">
      <c r="A103" s="36"/>
      <c r="B103" s="35" t="s">
        <v>136</v>
      </c>
      <c r="C103" s="12">
        <v>217897</v>
      </c>
      <c r="D103" s="12"/>
      <c r="E103" s="65">
        <f t="shared" si="1"/>
        <v>0</v>
      </c>
    </row>
    <row r="104" spans="1:5" ht="15" customHeight="1">
      <c r="A104" s="36"/>
      <c r="B104" s="35" t="s">
        <v>155</v>
      </c>
      <c r="C104" s="12">
        <f>180136+77609</f>
        <v>257745</v>
      </c>
      <c r="D104" s="12">
        <v>77609.18</v>
      </c>
      <c r="E104" s="65">
        <f t="shared" si="1"/>
        <v>0.3011083823158548</v>
      </c>
    </row>
    <row r="105" spans="1:5" ht="22.5">
      <c r="A105" s="36"/>
      <c r="B105" s="35" t="s">
        <v>154</v>
      </c>
      <c r="C105" s="12">
        <f>1326-1326+498</f>
        <v>498</v>
      </c>
      <c r="D105" s="12"/>
      <c r="E105" s="65">
        <f t="shared" si="1"/>
        <v>0</v>
      </c>
    </row>
    <row r="106" spans="1:5" ht="12.75">
      <c r="A106" s="36"/>
      <c r="B106" s="35" t="s">
        <v>204</v>
      </c>
      <c r="C106" s="12">
        <v>5524</v>
      </c>
      <c r="D106" s="12">
        <v>2580.32</v>
      </c>
      <c r="E106" s="65">
        <f t="shared" si="1"/>
        <v>0.4671107892831282</v>
      </c>
    </row>
    <row r="107" spans="1:5" ht="33.75" hidden="1">
      <c r="A107" s="21"/>
      <c r="B107" s="14" t="s">
        <v>47</v>
      </c>
      <c r="C107" s="12"/>
      <c r="D107" s="12"/>
      <c r="E107" s="65" t="e">
        <f t="shared" si="1"/>
        <v>#DIV/0!</v>
      </c>
    </row>
    <row r="108" spans="1:5" ht="12.75" hidden="1">
      <c r="A108" s="21"/>
      <c r="B108" s="14" t="s">
        <v>48</v>
      </c>
      <c r="C108" s="12"/>
      <c r="D108" s="12"/>
      <c r="E108" s="65" t="e">
        <f t="shared" si="1"/>
        <v>#DIV/0!</v>
      </c>
    </row>
    <row r="109" spans="1:5" ht="22.5" hidden="1">
      <c r="A109" s="21"/>
      <c r="B109" s="14" t="s">
        <v>53</v>
      </c>
      <c r="C109" s="12"/>
      <c r="D109" s="12"/>
      <c r="E109" s="65" t="e">
        <f t="shared" si="1"/>
        <v>#DIV/0!</v>
      </c>
    </row>
    <row r="110" spans="1:5" ht="12.75" hidden="1">
      <c r="A110" s="21"/>
      <c r="B110" s="14" t="s">
        <v>54</v>
      </c>
      <c r="C110" s="12"/>
      <c r="D110" s="12"/>
      <c r="E110" s="65" t="e">
        <f t="shared" si="1"/>
        <v>#DIV/0!</v>
      </c>
    </row>
    <row r="111" spans="1:5" ht="12.75" hidden="1">
      <c r="A111" s="21"/>
      <c r="B111" s="14" t="s">
        <v>55</v>
      </c>
      <c r="C111" s="12"/>
      <c r="D111" s="12"/>
      <c r="E111" s="65" t="e">
        <f t="shared" si="1"/>
        <v>#DIV/0!</v>
      </c>
    </row>
    <row r="112" spans="1:5" ht="22.5">
      <c r="A112" s="21"/>
      <c r="B112" s="35" t="s">
        <v>56</v>
      </c>
      <c r="C112" s="12">
        <f>52640+52700+52700</f>
        <v>158040</v>
      </c>
      <c r="D112" s="12">
        <f>25574+25613+25613</f>
        <v>76800</v>
      </c>
      <c r="E112" s="65">
        <f t="shared" si="1"/>
        <v>0.4859529233105543</v>
      </c>
    </row>
    <row r="113" spans="1:5" ht="22.5" hidden="1">
      <c r="A113" s="21"/>
      <c r="B113" s="35" t="s">
        <v>57</v>
      </c>
      <c r="C113" s="12"/>
      <c r="D113" s="12"/>
      <c r="E113" s="65" t="e">
        <f t="shared" si="1"/>
        <v>#DIV/0!</v>
      </c>
    </row>
    <row r="114" spans="1:5" ht="12.75">
      <c r="A114" s="7">
        <v>7</v>
      </c>
      <c r="B114" s="8" t="s">
        <v>72</v>
      </c>
      <c r="C114" s="27">
        <f>SUM(C115:C116)</f>
        <v>321459862</v>
      </c>
      <c r="D114" s="27">
        <f>SUM(D115:D116)</f>
        <v>136597758.17000002</v>
      </c>
      <c r="E114" s="65">
        <f t="shared" si="1"/>
        <v>0.4249294369758674</v>
      </c>
    </row>
    <row r="115" spans="1:5" ht="12.75">
      <c r="A115" s="21"/>
      <c r="B115" s="22" t="s">
        <v>73</v>
      </c>
      <c r="C115" s="12">
        <f>66680665+242392349-9107650-2505502</f>
        <v>297459862</v>
      </c>
      <c r="D115" s="12">
        <f>98416471+27073764</f>
        <v>125490235</v>
      </c>
      <c r="E115" s="65">
        <f t="shared" si="1"/>
        <v>0.4218728340565155</v>
      </c>
    </row>
    <row r="116" spans="1:5" ht="12.75">
      <c r="A116" s="21"/>
      <c r="B116" s="22" t="s">
        <v>74</v>
      </c>
      <c r="C116" s="12">
        <f>24000000</f>
        <v>24000000</v>
      </c>
      <c r="D116" s="12">
        <f>9189799.13+1917724.04</f>
        <v>11107523.170000002</v>
      </c>
      <c r="E116" s="65">
        <f t="shared" si="1"/>
        <v>0.46281346541666674</v>
      </c>
    </row>
    <row r="117" spans="1:5" ht="30.75" customHeight="1">
      <c r="A117" s="77" t="s">
        <v>147</v>
      </c>
      <c r="B117" s="77"/>
      <c r="C117" s="27">
        <f>SUM(C118:C149)</f>
        <v>14885382</v>
      </c>
      <c r="D117" s="27">
        <f>SUM(D118:D149)</f>
        <v>1590421.56</v>
      </c>
      <c r="E117" s="65">
        <f t="shared" si="1"/>
        <v>0.1068445243796901</v>
      </c>
    </row>
    <row r="118" spans="1:5" ht="12.75" hidden="1">
      <c r="A118" s="21"/>
      <c r="B118" s="14" t="s">
        <v>42</v>
      </c>
      <c r="C118" s="12"/>
      <c r="D118" s="12"/>
      <c r="E118" s="65" t="e">
        <f t="shared" si="1"/>
        <v>#DIV/0!</v>
      </c>
    </row>
    <row r="119" spans="1:5" ht="22.5">
      <c r="A119" s="33"/>
      <c r="B119" s="14" t="s">
        <v>58</v>
      </c>
      <c r="C119" s="12">
        <f>15532+15443+15254-15254+15254</f>
        <v>46229</v>
      </c>
      <c r="D119" s="12">
        <f>8210.3+277.36+834.97+335.89+5267.6</f>
        <v>14926.119999999999</v>
      </c>
      <c r="E119" s="65">
        <f t="shared" si="1"/>
        <v>0.32287352095005295</v>
      </c>
    </row>
    <row r="120" spans="1:5" ht="12.75">
      <c r="A120" s="21"/>
      <c r="B120" s="22" t="s">
        <v>175</v>
      </c>
      <c r="C120" s="12">
        <v>169254</v>
      </c>
      <c r="D120" s="12"/>
      <c r="E120" s="65">
        <f t="shared" si="1"/>
        <v>0</v>
      </c>
    </row>
    <row r="121" spans="1:5" ht="12.75">
      <c r="A121" s="21"/>
      <c r="B121" s="14" t="s">
        <v>59</v>
      </c>
      <c r="C121" s="12">
        <f>250835+4551446+269395+1158437</f>
        <v>6230113</v>
      </c>
      <c r="D121" s="12">
        <f>203406.87+47564.96</f>
        <v>250971.83</v>
      </c>
      <c r="E121" s="65">
        <f t="shared" si="1"/>
        <v>0.040283672222317636</v>
      </c>
    </row>
    <row r="122" spans="1:5" ht="22.5" hidden="1">
      <c r="A122" s="21"/>
      <c r="B122" s="14" t="s">
        <v>60</v>
      </c>
      <c r="C122" s="12"/>
      <c r="D122" s="12"/>
      <c r="E122" s="65" t="e">
        <f t="shared" si="1"/>
        <v>#DIV/0!</v>
      </c>
    </row>
    <row r="123" spans="1:5" ht="12.75" hidden="1">
      <c r="A123" s="21"/>
      <c r="B123" s="14" t="s">
        <v>174</v>
      </c>
      <c r="C123" s="12">
        <v>0</v>
      </c>
      <c r="D123" s="12"/>
      <c r="E123" s="65" t="e">
        <f t="shared" si="1"/>
        <v>#DIV/0!</v>
      </c>
    </row>
    <row r="124" spans="1:5" ht="12.75">
      <c r="A124" s="21"/>
      <c r="B124" s="14" t="s">
        <v>180</v>
      </c>
      <c r="C124" s="12">
        <f>1634840-224915</f>
        <v>1409925</v>
      </c>
      <c r="D124" s="12">
        <v>732541.89</v>
      </c>
      <c r="E124" s="65">
        <f t="shared" si="1"/>
        <v>0.5195608915367839</v>
      </c>
    </row>
    <row r="125" spans="1:5" ht="12.75" hidden="1">
      <c r="A125" s="21"/>
      <c r="B125" s="14" t="s">
        <v>61</v>
      </c>
      <c r="C125" s="12"/>
      <c r="D125" s="12"/>
      <c r="E125" s="65" t="e">
        <f t="shared" si="1"/>
        <v>#DIV/0!</v>
      </c>
    </row>
    <row r="126" spans="1:5" ht="12.75">
      <c r="A126" s="21"/>
      <c r="B126" s="14" t="s">
        <v>54</v>
      </c>
      <c r="C126" s="12">
        <v>75408</v>
      </c>
      <c r="D126" s="12">
        <v>39046.68</v>
      </c>
      <c r="E126" s="65">
        <f t="shared" si="1"/>
        <v>0.5178055378739657</v>
      </c>
    </row>
    <row r="127" spans="1:5" ht="12.75">
      <c r="A127" s="21"/>
      <c r="B127" s="14" t="s">
        <v>62</v>
      </c>
      <c r="C127" s="12">
        <v>309570</v>
      </c>
      <c r="D127" s="12">
        <v>43029.01</v>
      </c>
      <c r="E127" s="65">
        <f t="shared" si="1"/>
        <v>0.1389960590496495</v>
      </c>
    </row>
    <row r="128" spans="1:5" ht="12.75">
      <c r="A128" s="21"/>
      <c r="B128" s="14" t="s">
        <v>63</v>
      </c>
      <c r="C128" s="12">
        <v>221000</v>
      </c>
      <c r="D128" s="12"/>
      <c r="E128" s="65">
        <f t="shared" si="1"/>
        <v>0</v>
      </c>
    </row>
    <row r="129" spans="1:5" ht="22.5" hidden="1">
      <c r="A129" s="21"/>
      <c r="B129" s="14" t="s">
        <v>64</v>
      </c>
      <c r="C129" s="12"/>
      <c r="D129" s="12"/>
      <c r="E129" s="65" t="e">
        <f t="shared" si="1"/>
        <v>#DIV/0!</v>
      </c>
    </row>
    <row r="130" spans="1:5" ht="12.75" hidden="1">
      <c r="A130" s="21"/>
      <c r="B130" s="14" t="s">
        <v>65</v>
      </c>
      <c r="C130" s="12"/>
      <c r="D130" s="12"/>
      <c r="E130" s="65" t="e">
        <f t="shared" si="1"/>
        <v>#DIV/0!</v>
      </c>
    </row>
    <row r="131" spans="1:5" ht="12.75">
      <c r="A131" s="21"/>
      <c r="B131" s="35" t="s">
        <v>162</v>
      </c>
      <c r="C131" s="12">
        <f>128521+156</f>
        <v>128677</v>
      </c>
      <c r="D131" s="12">
        <v>128676.95</v>
      </c>
      <c r="E131" s="65">
        <f t="shared" si="1"/>
        <v>0.9999996114301701</v>
      </c>
    </row>
    <row r="132" spans="1:5" ht="12.75">
      <c r="A132" s="21"/>
      <c r="B132" s="35" t="s">
        <v>204</v>
      </c>
      <c r="C132" s="12">
        <v>31300</v>
      </c>
      <c r="D132" s="12">
        <f>10636.78+3985</f>
        <v>14621.78</v>
      </c>
      <c r="E132" s="65">
        <f aca="true" t="shared" si="2" ref="E132:E195">D132/C132</f>
        <v>0.4671495207667732</v>
      </c>
    </row>
    <row r="133" spans="1:5" ht="12.75">
      <c r="A133" s="21"/>
      <c r="B133" s="35" t="s">
        <v>133</v>
      </c>
      <c r="C133" s="12"/>
      <c r="D133" s="12">
        <f>6589.36+10068.84+4337.98</f>
        <v>20996.18</v>
      </c>
      <c r="E133" s="65"/>
    </row>
    <row r="134" spans="1:5" ht="12.75">
      <c r="A134" s="21"/>
      <c r="B134" s="35" t="s">
        <v>136</v>
      </c>
      <c r="C134" s="12">
        <v>3526034</v>
      </c>
      <c r="D134" s="12"/>
      <c r="E134" s="65">
        <f t="shared" si="2"/>
        <v>0</v>
      </c>
    </row>
    <row r="135" spans="1:5" ht="12.75">
      <c r="A135" s="21"/>
      <c r="B135" s="35" t="s">
        <v>155</v>
      </c>
      <c r="C135" s="12">
        <v>1020768</v>
      </c>
      <c r="D135" s="12"/>
      <c r="E135" s="65">
        <f t="shared" si="2"/>
        <v>0</v>
      </c>
    </row>
    <row r="136" spans="1:5" ht="12.75" hidden="1">
      <c r="A136" s="21"/>
      <c r="B136" s="35" t="s">
        <v>163</v>
      </c>
      <c r="C136" s="12">
        <v>0</v>
      </c>
      <c r="D136" s="12"/>
      <c r="E136" s="65" t="e">
        <f t="shared" si="2"/>
        <v>#DIV/0!</v>
      </c>
    </row>
    <row r="137" spans="1:5" ht="22.5">
      <c r="A137" s="21"/>
      <c r="B137" s="14" t="s">
        <v>66</v>
      </c>
      <c r="C137" s="12"/>
      <c r="D137" s="12">
        <v>60520.92</v>
      </c>
      <c r="E137" s="65"/>
    </row>
    <row r="138" spans="1:5" ht="22.5">
      <c r="A138" s="21"/>
      <c r="B138" s="14" t="s">
        <v>67</v>
      </c>
      <c r="C138" s="12"/>
      <c r="D138" s="12">
        <v>32544.12</v>
      </c>
      <c r="E138" s="65"/>
    </row>
    <row r="139" spans="1:5" ht="22.5">
      <c r="A139" s="21"/>
      <c r="B139" s="14" t="s">
        <v>68</v>
      </c>
      <c r="C139" s="12">
        <v>93106</v>
      </c>
      <c r="D139" s="12"/>
      <c r="E139" s="65">
        <f t="shared" si="2"/>
        <v>0</v>
      </c>
    </row>
    <row r="140" spans="1:5" ht="12.75">
      <c r="A140" s="21"/>
      <c r="B140" s="14" t="s">
        <v>69</v>
      </c>
      <c r="C140" s="12"/>
      <c r="D140" s="12">
        <v>94169.5</v>
      </c>
      <c r="E140" s="65"/>
    </row>
    <row r="141" spans="1:5" s="72" customFormat="1" ht="16.5" customHeight="1">
      <c r="A141" s="73"/>
      <c r="B141" s="14" t="s">
        <v>51</v>
      </c>
      <c r="C141" s="12">
        <v>138803</v>
      </c>
      <c r="D141" s="12"/>
      <c r="E141" s="65">
        <f t="shared" si="2"/>
        <v>0</v>
      </c>
    </row>
    <row r="142" spans="1:5" s="72" customFormat="1" ht="16.5" customHeight="1">
      <c r="A142" s="73"/>
      <c r="B142" s="14" t="s">
        <v>52</v>
      </c>
      <c r="C142" s="12">
        <v>230836</v>
      </c>
      <c r="D142" s="12">
        <v>95597.81</v>
      </c>
      <c r="E142" s="65">
        <f t="shared" si="2"/>
        <v>0.41413735292588677</v>
      </c>
    </row>
    <row r="143" spans="1:5" ht="18" customHeight="1">
      <c r="A143" s="21"/>
      <c r="B143" s="14" t="s">
        <v>173</v>
      </c>
      <c r="C143" s="12">
        <v>264162</v>
      </c>
      <c r="D143" s="12"/>
      <c r="E143" s="65">
        <f t="shared" si="2"/>
        <v>0</v>
      </c>
    </row>
    <row r="144" spans="1:5" ht="22.5">
      <c r="A144" s="21"/>
      <c r="B144" s="14" t="s">
        <v>172</v>
      </c>
      <c r="C144" s="12">
        <v>453668</v>
      </c>
      <c r="D144" s="12">
        <v>62778.77</v>
      </c>
      <c r="E144" s="65">
        <f t="shared" si="2"/>
        <v>0.13838042356965885</v>
      </c>
    </row>
    <row r="145" spans="1:5" ht="30" customHeight="1">
      <c r="A145" s="21"/>
      <c r="B145" s="14" t="s">
        <v>210</v>
      </c>
      <c r="C145" s="12">
        <v>73463</v>
      </c>
      <c r="D145" s="12"/>
      <c r="E145" s="65">
        <f t="shared" si="2"/>
        <v>0</v>
      </c>
    </row>
    <row r="146" spans="1:5" ht="22.5">
      <c r="A146" s="21"/>
      <c r="B146" s="35" t="s">
        <v>154</v>
      </c>
      <c r="C146" s="12">
        <f>7514-4692</f>
        <v>2822</v>
      </c>
      <c r="D146" s="12"/>
      <c r="E146" s="65">
        <f t="shared" si="2"/>
        <v>0</v>
      </c>
    </row>
    <row r="147" spans="1:5" ht="22.5">
      <c r="A147" s="21"/>
      <c r="B147" s="14" t="s">
        <v>70</v>
      </c>
      <c r="C147" s="12">
        <v>460244</v>
      </c>
      <c r="D147" s="12"/>
      <c r="E147" s="65">
        <f t="shared" si="2"/>
        <v>0</v>
      </c>
    </row>
    <row r="148" spans="1:5" ht="22.5" hidden="1">
      <c r="A148" s="21"/>
      <c r="B148" s="14" t="s">
        <v>71</v>
      </c>
      <c r="C148" s="12"/>
      <c r="D148" s="12"/>
      <c r="E148" s="65" t="e">
        <f t="shared" si="2"/>
        <v>#DIV/0!</v>
      </c>
    </row>
    <row r="149" spans="1:5" ht="22.5" hidden="1">
      <c r="A149" s="21"/>
      <c r="B149" s="35" t="s">
        <v>45</v>
      </c>
      <c r="C149" s="12"/>
      <c r="D149" s="12"/>
      <c r="E149" s="65" t="e">
        <f t="shared" si="2"/>
        <v>#DIV/0!</v>
      </c>
    </row>
    <row r="150" spans="1:5" ht="21.75" customHeight="1">
      <c r="A150" s="77" t="s">
        <v>140</v>
      </c>
      <c r="B150" s="77"/>
      <c r="C150" s="5">
        <f>SUM(C151:C152)</f>
        <v>214438869</v>
      </c>
      <c r="D150" s="5">
        <f>SUM(D151:D152)</f>
        <v>131395886</v>
      </c>
      <c r="E150" s="65">
        <f t="shared" si="2"/>
        <v>0.6127428605305693</v>
      </c>
    </row>
    <row r="151" spans="1:5" ht="12.75">
      <c r="A151" s="21">
        <v>1</v>
      </c>
      <c r="B151" s="22" t="s">
        <v>75</v>
      </c>
      <c r="C151" s="12">
        <f>118483187+91302915-256833</f>
        <v>209529269</v>
      </c>
      <c r="D151" s="12">
        <v>128941088</v>
      </c>
      <c r="E151" s="65">
        <f t="shared" si="2"/>
        <v>0.615384612447629</v>
      </c>
    </row>
    <row r="152" spans="1:5" ht="12.75">
      <c r="A152" s="21">
        <v>2</v>
      </c>
      <c r="B152" s="39" t="s">
        <v>76</v>
      </c>
      <c r="C152" s="12">
        <f>4909583+17</f>
        <v>4909600</v>
      </c>
      <c r="D152" s="12">
        <v>2454798</v>
      </c>
      <c r="E152" s="65">
        <f t="shared" si="2"/>
        <v>0.49999959263483784</v>
      </c>
    </row>
    <row r="153" spans="1:5" ht="29.25" customHeight="1">
      <c r="A153" s="80" t="s">
        <v>141</v>
      </c>
      <c r="B153" s="81"/>
      <c r="C153" s="5">
        <f>SUM(C154,C181,C188)</f>
        <v>79649166</v>
      </c>
      <c r="D153" s="5">
        <f>SUM(D154,D181,D188)</f>
        <v>47016190.23</v>
      </c>
      <c r="E153" s="65">
        <f t="shared" si="2"/>
        <v>0.5902910550249829</v>
      </c>
    </row>
    <row r="154" spans="1:5" ht="12.75">
      <c r="A154" s="40">
        <v>1</v>
      </c>
      <c r="B154" s="41" t="s">
        <v>78</v>
      </c>
      <c r="C154" s="27">
        <f>SUM(C155:C157,C167:C180)</f>
        <v>71312654</v>
      </c>
      <c r="D154" s="27">
        <f>SUM(D155:D157,D167:D180)</f>
        <v>41713298.23</v>
      </c>
      <c r="E154" s="65">
        <f t="shared" si="2"/>
        <v>0.5849354341797459</v>
      </c>
    </row>
    <row r="155" spans="1:5" ht="16.5" customHeight="1">
      <c r="A155" s="21"/>
      <c r="B155" s="42" t="s">
        <v>143</v>
      </c>
      <c r="C155" s="12">
        <f>802000-1000</f>
        <v>801000</v>
      </c>
      <c r="D155" s="12">
        <v>434000</v>
      </c>
      <c r="E155" s="65">
        <f t="shared" si="2"/>
        <v>0.5418227215980025</v>
      </c>
    </row>
    <row r="156" spans="1:5" ht="27" customHeight="1">
      <c r="A156" s="21"/>
      <c r="B156" s="22" t="s">
        <v>79</v>
      </c>
      <c r="C156" s="12">
        <f>11297000+455168</f>
        <v>11752168</v>
      </c>
      <c r="D156" s="12">
        <v>7505782</v>
      </c>
      <c r="E156" s="65">
        <f t="shared" si="2"/>
        <v>0.6386721156470874</v>
      </c>
    </row>
    <row r="157" spans="1:5" ht="12.75">
      <c r="A157" s="21"/>
      <c r="B157" s="22" t="s">
        <v>80</v>
      </c>
      <c r="C157" s="12">
        <f>SUM(C158:C166)</f>
        <v>43389900</v>
      </c>
      <c r="D157" s="12">
        <f>SUM(D158:D166)</f>
        <v>21778790</v>
      </c>
      <c r="E157" s="65">
        <f t="shared" si="2"/>
        <v>0.5019322469053858</v>
      </c>
    </row>
    <row r="158" spans="1:5" ht="12.75">
      <c r="A158" s="43"/>
      <c r="B158" s="44" t="s">
        <v>81</v>
      </c>
      <c r="C158" s="53">
        <f>1769040+18960</f>
        <v>1788000</v>
      </c>
      <c r="D158" s="17">
        <v>886500</v>
      </c>
      <c r="E158" s="65">
        <f t="shared" si="2"/>
        <v>0.49580536912751677</v>
      </c>
    </row>
    <row r="159" spans="1:5" ht="12.75">
      <c r="A159" s="43"/>
      <c r="B159" s="44" t="s">
        <v>82</v>
      </c>
      <c r="C159" s="53">
        <f>41000-5500+8000</f>
        <v>43500</v>
      </c>
      <c r="D159" s="17">
        <v>41000</v>
      </c>
      <c r="E159" s="65">
        <f t="shared" si="2"/>
        <v>0.9425287356321839</v>
      </c>
    </row>
    <row r="160" spans="1:5" ht="25.5" customHeight="1">
      <c r="A160" s="43"/>
      <c r="B160" s="44" t="s">
        <v>83</v>
      </c>
      <c r="C160" s="53">
        <v>397500</v>
      </c>
      <c r="D160" s="17">
        <v>198780</v>
      </c>
      <c r="E160" s="65">
        <f t="shared" si="2"/>
        <v>0.5000754716981132</v>
      </c>
    </row>
    <row r="161" spans="1:5" ht="12.75">
      <c r="A161" s="43"/>
      <c r="B161" s="44" t="s">
        <v>84</v>
      </c>
      <c r="C161" s="53">
        <v>120000</v>
      </c>
      <c r="D161" s="17">
        <v>74000</v>
      </c>
      <c r="E161" s="65">
        <f t="shared" si="2"/>
        <v>0.6166666666666667</v>
      </c>
    </row>
    <row r="162" spans="1:5" ht="12.75">
      <c r="A162" s="43"/>
      <c r="B162" s="44" t="s">
        <v>85</v>
      </c>
      <c r="C162" s="53">
        <f>40600000-600000</f>
        <v>40000000</v>
      </c>
      <c r="D162" s="17">
        <v>20027980</v>
      </c>
      <c r="E162" s="65">
        <f t="shared" si="2"/>
        <v>0.5006995</v>
      </c>
    </row>
    <row r="163" spans="1:5" ht="29.25" customHeight="1">
      <c r="A163" s="43"/>
      <c r="B163" s="44" t="s">
        <v>50</v>
      </c>
      <c r="C163" s="53">
        <f>55800-55800+99000+8300</f>
        <v>107300</v>
      </c>
      <c r="D163" s="17">
        <v>107300</v>
      </c>
      <c r="E163" s="65">
        <f t="shared" si="2"/>
        <v>1</v>
      </c>
    </row>
    <row r="164" spans="1:5" ht="29.25" customHeight="1" hidden="1">
      <c r="A164" s="43"/>
      <c r="B164" s="44" t="s">
        <v>159</v>
      </c>
      <c r="C164" s="53"/>
      <c r="D164" s="17"/>
      <c r="E164" s="65"/>
    </row>
    <row r="165" spans="1:5" ht="12.75">
      <c r="A165" s="43"/>
      <c r="B165" s="44" t="s">
        <v>86</v>
      </c>
      <c r="C165" s="53">
        <v>608000</v>
      </c>
      <c r="D165" s="17">
        <v>274030</v>
      </c>
      <c r="E165" s="65">
        <f t="shared" si="2"/>
        <v>0.4507072368421053</v>
      </c>
    </row>
    <row r="166" spans="1:5" ht="12.75">
      <c r="A166" s="43"/>
      <c r="B166" s="44" t="s">
        <v>87</v>
      </c>
      <c r="C166" s="53">
        <f>294000+31600</f>
        <v>325600</v>
      </c>
      <c r="D166" s="17">
        <v>169200</v>
      </c>
      <c r="E166" s="65">
        <f t="shared" si="2"/>
        <v>0.5196560196560197</v>
      </c>
    </row>
    <row r="167" spans="1:5" ht="12.75">
      <c r="A167" s="21"/>
      <c r="B167" s="22" t="s">
        <v>88</v>
      </c>
      <c r="C167" s="12">
        <f>4030740-5500</f>
        <v>4025240</v>
      </c>
      <c r="D167" s="12">
        <v>1867010</v>
      </c>
      <c r="E167" s="65">
        <f t="shared" si="2"/>
        <v>0.4638257594578212</v>
      </c>
    </row>
    <row r="168" spans="1:5" ht="12.75">
      <c r="A168" s="21"/>
      <c r="B168" s="22" t="s">
        <v>89</v>
      </c>
      <c r="C168" s="12">
        <v>19100</v>
      </c>
      <c r="D168" s="12">
        <v>9600</v>
      </c>
      <c r="E168" s="65">
        <f t="shared" si="2"/>
        <v>0.5026178010471204</v>
      </c>
    </row>
    <row r="169" spans="1:5" ht="22.5">
      <c r="A169" s="21"/>
      <c r="B169" s="22" t="s">
        <v>151</v>
      </c>
      <c r="C169" s="12">
        <v>2811</v>
      </c>
      <c r="D169" s="12">
        <v>2811</v>
      </c>
      <c r="E169" s="65">
        <f t="shared" si="2"/>
        <v>1</v>
      </c>
    </row>
    <row r="170" spans="1:5" ht="12.75">
      <c r="A170" s="21"/>
      <c r="B170" s="22" t="s">
        <v>142</v>
      </c>
      <c r="C170" s="12">
        <f>1386000+603000-5000-7000</f>
        <v>1977000</v>
      </c>
      <c r="D170" s="12">
        <f>691332+299166</f>
        <v>990498</v>
      </c>
      <c r="E170" s="65">
        <f t="shared" si="2"/>
        <v>0.50101062215478</v>
      </c>
    </row>
    <row r="171" spans="1:5" ht="12.75" hidden="1">
      <c r="A171" s="21"/>
      <c r="B171" s="22" t="s">
        <v>90</v>
      </c>
      <c r="C171" s="12"/>
      <c r="D171" s="12"/>
      <c r="E171" s="65"/>
    </row>
    <row r="172" spans="1:5" ht="22.5" hidden="1">
      <c r="A172" s="21"/>
      <c r="B172" s="22" t="s">
        <v>91</v>
      </c>
      <c r="C172" s="12"/>
      <c r="D172" s="12"/>
      <c r="E172" s="65"/>
    </row>
    <row r="173" spans="1:5" ht="12.75">
      <c r="A173" s="21"/>
      <c r="B173" s="22" t="s">
        <v>92</v>
      </c>
      <c r="C173" s="12">
        <v>42050</v>
      </c>
      <c r="D173" s="12">
        <v>21024</v>
      </c>
      <c r="E173" s="65">
        <f t="shared" si="2"/>
        <v>0.49997621878715814</v>
      </c>
    </row>
    <row r="174" spans="1:5" ht="12.75" hidden="1">
      <c r="A174" s="21"/>
      <c r="B174" s="22" t="s">
        <v>93</v>
      </c>
      <c r="C174" s="12"/>
      <c r="D174" s="12"/>
      <c r="E174" s="65"/>
    </row>
    <row r="175" spans="1:5" ht="12.75" hidden="1">
      <c r="A175" s="21"/>
      <c r="B175" s="22" t="s">
        <v>130</v>
      </c>
      <c r="C175" s="12"/>
      <c r="D175" s="12"/>
      <c r="E175" s="65"/>
    </row>
    <row r="176" spans="1:5" ht="12.75" hidden="1">
      <c r="A176" s="21"/>
      <c r="B176" s="22" t="s">
        <v>165</v>
      </c>
      <c r="C176" s="12"/>
      <c r="D176" s="12"/>
      <c r="E176" s="65"/>
    </row>
    <row r="177" spans="1:5" ht="12.75">
      <c r="A177" s="45"/>
      <c r="B177" s="46" t="s">
        <v>94</v>
      </c>
      <c r="C177" s="12">
        <v>99000</v>
      </c>
      <c r="D177" s="12"/>
      <c r="E177" s="65">
        <f t="shared" si="2"/>
        <v>0</v>
      </c>
    </row>
    <row r="178" spans="1:5" ht="12.75">
      <c r="A178" s="45"/>
      <c r="B178" s="46" t="s">
        <v>95</v>
      </c>
      <c r="C178" s="12">
        <v>38000</v>
      </c>
      <c r="D178" s="12"/>
      <c r="E178" s="65">
        <f t="shared" si="2"/>
        <v>0</v>
      </c>
    </row>
    <row r="179" spans="1:5" ht="12.75">
      <c r="A179" s="45"/>
      <c r="B179" s="46" t="s">
        <v>96</v>
      </c>
      <c r="C179" s="12">
        <f>132000+187235+1206372+2672257+152322+468674+2278478+172448+366923+1489676</f>
        <v>9126385</v>
      </c>
      <c r="D179" s="12">
        <v>9066160</v>
      </c>
      <c r="E179" s="65">
        <f t="shared" si="2"/>
        <v>0.9934010016014008</v>
      </c>
    </row>
    <row r="180" spans="1:5" ht="12.75">
      <c r="A180" s="47"/>
      <c r="B180" s="35" t="s">
        <v>97</v>
      </c>
      <c r="C180" s="12">
        <v>40000</v>
      </c>
      <c r="D180" s="12">
        <v>37623.23</v>
      </c>
      <c r="E180" s="65">
        <f t="shared" si="2"/>
        <v>0.9405807500000001</v>
      </c>
    </row>
    <row r="181" spans="1:5" ht="24">
      <c r="A181" s="7">
        <v>2</v>
      </c>
      <c r="B181" s="8" t="s">
        <v>98</v>
      </c>
      <c r="C181" s="27">
        <f>SUM(C182:C187)</f>
        <v>67000</v>
      </c>
      <c r="D181" s="27">
        <f>SUM(D182:D187)</f>
        <v>55698</v>
      </c>
      <c r="E181" s="65">
        <f t="shared" si="2"/>
        <v>0.8313134328358209</v>
      </c>
    </row>
    <row r="182" spans="1:5" ht="12.75">
      <c r="A182" s="21"/>
      <c r="B182" s="35" t="s">
        <v>99</v>
      </c>
      <c r="C182" s="12">
        <f>40000-2000</f>
        <v>38000</v>
      </c>
      <c r="D182" s="12">
        <v>38000</v>
      </c>
      <c r="E182" s="65">
        <f t="shared" si="2"/>
        <v>1</v>
      </c>
    </row>
    <row r="183" spans="1:5" ht="12.75">
      <c r="A183" s="21"/>
      <c r="B183" s="35" t="s">
        <v>97</v>
      </c>
      <c r="C183" s="12">
        <v>24000</v>
      </c>
      <c r="D183" s="12">
        <v>17698</v>
      </c>
      <c r="E183" s="65">
        <f t="shared" si="2"/>
        <v>0.7374166666666667</v>
      </c>
    </row>
    <row r="184" spans="1:5" ht="22.5">
      <c r="A184" s="21"/>
      <c r="B184" s="35" t="s">
        <v>213</v>
      </c>
      <c r="C184" s="12">
        <v>5000</v>
      </c>
      <c r="D184" s="12"/>
      <c r="E184" s="65">
        <f t="shared" si="2"/>
        <v>0</v>
      </c>
    </row>
    <row r="185" spans="1:5" ht="12.75" hidden="1">
      <c r="A185" s="21"/>
      <c r="B185" s="35" t="s">
        <v>166</v>
      </c>
      <c r="C185" s="12"/>
      <c r="D185" s="12"/>
      <c r="E185" s="65" t="e">
        <f t="shared" si="2"/>
        <v>#DIV/0!</v>
      </c>
    </row>
    <row r="186" spans="1:5" ht="12.75" hidden="1">
      <c r="A186" s="21"/>
      <c r="B186" s="35" t="s">
        <v>139</v>
      </c>
      <c r="C186" s="12"/>
      <c r="D186" s="12"/>
      <c r="E186" s="65" t="e">
        <f t="shared" si="2"/>
        <v>#DIV/0!</v>
      </c>
    </row>
    <row r="187" spans="1:5" ht="22.5" hidden="1">
      <c r="A187" s="21"/>
      <c r="B187" s="35" t="s">
        <v>100</v>
      </c>
      <c r="C187" s="12"/>
      <c r="D187" s="12"/>
      <c r="E187" s="65" t="e">
        <f t="shared" si="2"/>
        <v>#DIV/0!</v>
      </c>
    </row>
    <row r="188" spans="1:5" ht="24">
      <c r="A188" s="7">
        <v>3</v>
      </c>
      <c r="B188" s="8" t="s">
        <v>101</v>
      </c>
      <c r="C188" s="27">
        <f>SUM(C189:C191)</f>
        <v>8269512</v>
      </c>
      <c r="D188" s="27">
        <f>SUM(D189:D191)</f>
        <v>5247194</v>
      </c>
      <c r="E188" s="65">
        <f t="shared" si="2"/>
        <v>0.634522811019562</v>
      </c>
    </row>
    <row r="189" spans="1:5" ht="12.75" hidden="1">
      <c r="A189" s="21"/>
      <c r="B189" s="46" t="s">
        <v>102</v>
      </c>
      <c r="C189" s="12"/>
      <c r="D189" s="12"/>
      <c r="E189" s="65"/>
    </row>
    <row r="190" spans="1:5" ht="12" customHeight="1">
      <c r="A190" s="21"/>
      <c r="B190" s="14" t="s">
        <v>103</v>
      </c>
      <c r="C190" s="12">
        <v>56254</v>
      </c>
      <c r="D190" s="12">
        <v>56254</v>
      </c>
      <c r="E190" s="65">
        <f t="shared" si="2"/>
        <v>1</v>
      </c>
    </row>
    <row r="191" spans="1:5" ht="15" customHeight="1">
      <c r="A191" s="21"/>
      <c r="B191" s="46" t="s">
        <v>104</v>
      </c>
      <c r="C191" s="12">
        <f>SUM(C192:C198)</f>
        <v>8213258</v>
      </c>
      <c r="D191" s="12">
        <f>SUM(D192:D198)</f>
        <v>5190940</v>
      </c>
      <c r="E191" s="65">
        <f t="shared" si="2"/>
        <v>0.6320195956342781</v>
      </c>
    </row>
    <row r="192" spans="1:5" ht="17.25" customHeight="1">
      <c r="A192" s="15"/>
      <c r="B192" s="48" t="s">
        <v>105</v>
      </c>
      <c r="C192" s="53">
        <v>950000</v>
      </c>
      <c r="D192" s="17">
        <v>847000</v>
      </c>
      <c r="E192" s="65">
        <f t="shared" si="2"/>
        <v>0.891578947368421</v>
      </c>
    </row>
    <row r="193" spans="1:5" ht="12.75">
      <c r="A193" s="47"/>
      <c r="B193" s="48" t="s">
        <v>106</v>
      </c>
      <c r="C193" s="53">
        <f>624288-21000-5048</f>
        <v>598240</v>
      </c>
      <c r="D193" s="17">
        <f>236925+96967</f>
        <v>333892</v>
      </c>
      <c r="E193" s="65">
        <f t="shared" si="2"/>
        <v>0.558123829901043</v>
      </c>
    </row>
    <row r="194" spans="1:5" ht="15.75" customHeight="1">
      <c r="A194" s="47"/>
      <c r="B194" s="48" t="s">
        <v>107</v>
      </c>
      <c r="C194" s="53">
        <f>89182-22150-15714</f>
        <v>51318</v>
      </c>
      <c r="D194" s="17">
        <f>18675+9933</f>
        <v>28608</v>
      </c>
      <c r="E194" s="65">
        <f t="shared" si="2"/>
        <v>0.557465216882965</v>
      </c>
    </row>
    <row r="195" spans="1:5" ht="12.75">
      <c r="A195" s="47"/>
      <c r="B195" s="49" t="s">
        <v>108</v>
      </c>
      <c r="C195" s="53">
        <f>386550+38450</f>
        <v>425000</v>
      </c>
      <c r="D195" s="17">
        <v>251100</v>
      </c>
      <c r="E195" s="65">
        <f t="shared" si="2"/>
        <v>0.5908235294117647</v>
      </c>
    </row>
    <row r="196" spans="1:5" ht="12.75">
      <c r="A196" s="43"/>
      <c r="B196" s="49" t="s">
        <v>109</v>
      </c>
      <c r="C196" s="53">
        <f>141000-41000</f>
        <v>100000</v>
      </c>
      <c r="D196" s="17">
        <v>61000</v>
      </c>
      <c r="E196" s="65">
        <f>D196/C196</f>
        <v>0.61</v>
      </c>
    </row>
    <row r="197" spans="1:5" ht="12.75">
      <c r="A197" s="43"/>
      <c r="B197" s="49" t="s">
        <v>110</v>
      </c>
      <c r="C197" s="53">
        <f>4460000+190000</f>
        <v>4650000</v>
      </c>
      <c r="D197" s="17">
        <v>2848000</v>
      </c>
      <c r="E197" s="65">
        <f>D197/C197</f>
        <v>0.6124731182795699</v>
      </c>
    </row>
    <row r="198" spans="1:5" ht="12.75">
      <c r="A198" s="43"/>
      <c r="B198" s="49" t="s">
        <v>82</v>
      </c>
      <c r="C198" s="53">
        <f>1443000-4300</f>
        <v>1438700</v>
      </c>
      <c r="D198" s="17">
        <v>821340</v>
      </c>
      <c r="E198" s="65">
        <f>D198/C198</f>
        <v>0.5708903871550706</v>
      </c>
    </row>
    <row r="199" spans="1:5" ht="12.75">
      <c r="A199" s="38"/>
      <c r="B199" s="38"/>
      <c r="C199" s="51"/>
      <c r="D199" s="50"/>
      <c r="E199" s="50"/>
    </row>
    <row r="200" spans="1:5" ht="12.75">
      <c r="A200" s="38"/>
      <c r="B200" s="38"/>
      <c r="C200" s="51"/>
      <c r="D200" s="50"/>
      <c r="E200" s="50"/>
    </row>
    <row r="201" spans="1:5" ht="12.75">
      <c r="A201" s="38"/>
      <c r="B201" s="38"/>
      <c r="C201" s="51"/>
      <c r="D201" s="50"/>
      <c r="E201" s="50"/>
    </row>
    <row r="202" spans="1:5" ht="12.75" hidden="1">
      <c r="A202" s="38"/>
      <c r="B202" s="38"/>
      <c r="C202" s="51"/>
      <c r="D202" s="50"/>
      <c r="E202" s="50"/>
    </row>
    <row r="203" spans="1:5" ht="12.75" hidden="1">
      <c r="A203" s="38"/>
      <c r="B203" s="38"/>
      <c r="C203" s="51"/>
      <c r="D203" s="50"/>
      <c r="E203" s="50"/>
    </row>
    <row r="204" spans="1:5" ht="12.75" customHeight="1" hidden="1">
      <c r="A204" s="38"/>
      <c r="B204" s="38" t="s">
        <v>160</v>
      </c>
      <c r="C204" s="51">
        <v>374490</v>
      </c>
      <c r="D204" s="50"/>
      <c r="E204" s="50"/>
    </row>
    <row r="205" spans="1:5" ht="12.75" customHeight="1" hidden="1">
      <c r="A205" s="38"/>
      <c r="B205" s="38"/>
      <c r="C205" s="51">
        <v>50250</v>
      </c>
      <c r="D205" s="50"/>
      <c r="E205" s="50"/>
    </row>
    <row r="206" ht="12.75" hidden="1"/>
    <row r="207" ht="12.75" hidden="1"/>
    <row r="208" ht="12.75" hidden="1"/>
  </sheetData>
  <mergeCells count="6">
    <mergeCell ref="A5:B5"/>
    <mergeCell ref="A150:B150"/>
    <mergeCell ref="A1:E1"/>
    <mergeCell ref="A153:B153"/>
    <mergeCell ref="A4:B4"/>
    <mergeCell ref="A117:B117"/>
  </mergeCells>
  <printOptions/>
  <pageMargins left="0.26" right="0.18" top="0.44" bottom="0.34" header="0.31496062992125984" footer="0.236220472440944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8"/>
  <sheetViews>
    <sheetView tabSelected="1" workbookViewId="0" topLeftCell="A1">
      <pane ySplit="2" topLeftCell="BM3" activePane="bottomLeft" state="frozen"/>
      <selection pane="topLeft" activeCell="A1" sqref="A1"/>
      <selection pane="bottomLeft" activeCell="A2" sqref="A2"/>
    </sheetView>
  </sheetViews>
  <sheetFormatPr defaultColWidth="9.00390625" defaultRowHeight="12.75"/>
  <cols>
    <col min="1" max="1" width="3.875" style="63" customWidth="1"/>
    <col min="2" max="2" width="45.875" style="63" customWidth="1"/>
    <col min="3" max="3" width="15.875" style="63" customWidth="1"/>
    <col min="4" max="4" width="19.125" style="57" customWidth="1"/>
    <col min="5" max="5" width="10.75390625" style="63" customWidth="1"/>
    <col min="6" max="16384" width="9.125" style="63" customWidth="1"/>
  </cols>
  <sheetData>
    <row r="1" spans="1:5" ht="30.75" customHeight="1">
      <c r="A1" s="86" t="s">
        <v>221</v>
      </c>
      <c r="B1" s="87"/>
      <c r="C1" s="87"/>
      <c r="D1" s="87"/>
      <c r="E1" s="88"/>
    </row>
    <row r="2" spans="1:5" ht="37.5" customHeight="1">
      <c r="A2" s="69" t="s">
        <v>181</v>
      </c>
      <c r="B2" s="70" t="s">
        <v>182</v>
      </c>
      <c r="C2" s="1" t="s">
        <v>146</v>
      </c>
      <c r="D2" s="1" t="s">
        <v>124</v>
      </c>
      <c r="E2" s="1" t="s">
        <v>49</v>
      </c>
    </row>
    <row r="3" spans="1:5" s="51" customFormat="1" ht="11.25">
      <c r="A3" s="64">
        <v>1</v>
      </c>
      <c r="B3" s="64">
        <v>2</v>
      </c>
      <c r="C3" s="1">
        <v>3</v>
      </c>
      <c r="D3" s="1">
        <v>4</v>
      </c>
      <c r="E3" s="1">
        <v>5</v>
      </c>
    </row>
    <row r="4" spans="1:5" ht="18" customHeight="1">
      <c r="A4" s="82" t="s">
        <v>111</v>
      </c>
      <c r="B4" s="83"/>
      <c r="C4" s="4">
        <f>SUM(C5,C22,C36)</f>
        <v>209615949</v>
      </c>
      <c r="D4" s="4">
        <f>SUM(D5,D22,D36)</f>
        <v>59120061.480000004</v>
      </c>
      <c r="E4" s="65">
        <f aca="true" t="shared" si="0" ref="E4:E27">D4/C4</f>
        <v>0.28203990088559533</v>
      </c>
    </row>
    <row r="5" spans="1:5" ht="17.25" customHeight="1">
      <c r="A5" s="77" t="s">
        <v>184</v>
      </c>
      <c r="B5" s="77"/>
      <c r="C5" s="4">
        <f>SUM(C6,C10,C20)</f>
        <v>72205135</v>
      </c>
      <c r="D5" s="4">
        <f>SUM(D6,D10,D20)</f>
        <v>11779939.44</v>
      </c>
      <c r="E5" s="65">
        <f t="shared" si="0"/>
        <v>0.16314545274376954</v>
      </c>
    </row>
    <row r="6" spans="1:5" ht="19.5" customHeight="1">
      <c r="A6" s="7">
        <v>1</v>
      </c>
      <c r="B6" s="8" t="s">
        <v>203</v>
      </c>
      <c r="C6" s="27">
        <f>SUM(C7:C9)</f>
        <v>63036369</v>
      </c>
      <c r="D6" s="27">
        <f>SUM(D7:D9)</f>
        <v>6807416.55</v>
      </c>
      <c r="E6" s="65">
        <f t="shared" si="0"/>
        <v>0.10799188877773083</v>
      </c>
    </row>
    <row r="7" spans="1:5" ht="12.75">
      <c r="A7" s="10"/>
      <c r="B7" s="26" t="s">
        <v>112</v>
      </c>
      <c r="C7" s="12">
        <v>60000000</v>
      </c>
      <c r="D7" s="12">
        <v>5359630.3</v>
      </c>
      <c r="E7" s="65">
        <f t="shared" si="0"/>
        <v>0.08932717166666666</v>
      </c>
    </row>
    <row r="8" spans="1:5" ht="22.5">
      <c r="A8" s="10"/>
      <c r="B8" s="26" t="s">
        <v>113</v>
      </c>
      <c r="C8" s="12">
        <v>3000000</v>
      </c>
      <c r="D8" s="12">
        <v>1411417.25</v>
      </c>
      <c r="E8" s="65">
        <f t="shared" si="0"/>
        <v>0.47047241666666667</v>
      </c>
    </row>
    <row r="9" spans="1:5" ht="15.75" customHeight="1">
      <c r="A9" s="10"/>
      <c r="B9" s="26" t="s">
        <v>114</v>
      </c>
      <c r="C9" s="12">
        <v>36369</v>
      </c>
      <c r="D9" s="12">
        <v>36369</v>
      </c>
      <c r="E9" s="65">
        <f t="shared" si="0"/>
        <v>1</v>
      </c>
    </row>
    <row r="10" spans="1:5" ht="24">
      <c r="A10" s="7">
        <v>2</v>
      </c>
      <c r="B10" s="8" t="s">
        <v>38</v>
      </c>
      <c r="C10" s="27">
        <f>SUM(C11:C19)</f>
        <v>8913384</v>
      </c>
      <c r="D10" s="27">
        <f>SUM(D11:D19)</f>
        <v>4844831.89</v>
      </c>
      <c r="E10" s="65">
        <f t="shared" si="0"/>
        <v>0.5435457386330489</v>
      </c>
    </row>
    <row r="11" spans="1:5" ht="22.5">
      <c r="A11" s="21"/>
      <c r="B11" s="14" t="s">
        <v>144</v>
      </c>
      <c r="C11" s="12">
        <f>8713166+22653</f>
        <v>8735819</v>
      </c>
      <c r="D11" s="12">
        <v>4844831.89</v>
      </c>
      <c r="E11" s="65">
        <f t="shared" si="0"/>
        <v>0.5545938955465995</v>
      </c>
    </row>
    <row r="12" spans="1:5" ht="12.75" hidden="1">
      <c r="A12" s="21"/>
      <c r="B12" s="14" t="s">
        <v>167</v>
      </c>
      <c r="C12" s="12"/>
      <c r="D12" s="12"/>
      <c r="E12" s="65" t="e">
        <f t="shared" si="0"/>
        <v>#DIV/0!</v>
      </c>
    </row>
    <row r="13" spans="1:5" ht="12.75" hidden="1">
      <c r="A13" s="21"/>
      <c r="B13" s="14" t="s">
        <v>176</v>
      </c>
      <c r="C13" s="12"/>
      <c r="D13" s="12"/>
      <c r="E13" s="65" t="e">
        <f t="shared" si="0"/>
        <v>#DIV/0!</v>
      </c>
    </row>
    <row r="14" spans="1:5" ht="12.75" hidden="1">
      <c r="A14" s="21"/>
      <c r="B14" s="14" t="s">
        <v>177</v>
      </c>
      <c r="C14" s="12"/>
      <c r="D14" s="12"/>
      <c r="E14" s="65" t="e">
        <f t="shared" si="0"/>
        <v>#DIV/0!</v>
      </c>
    </row>
    <row r="15" spans="1:5" ht="12.75" hidden="1">
      <c r="A15" s="21"/>
      <c r="B15" s="14" t="s">
        <v>178</v>
      </c>
      <c r="C15" s="12"/>
      <c r="D15" s="12"/>
      <c r="E15" s="65" t="e">
        <f t="shared" si="0"/>
        <v>#DIV/0!</v>
      </c>
    </row>
    <row r="16" spans="1:5" ht="22.5" hidden="1">
      <c r="A16" s="66"/>
      <c r="B16" s="14" t="s">
        <v>46</v>
      </c>
      <c r="C16" s="1"/>
      <c r="D16" s="13"/>
      <c r="E16" s="65" t="e">
        <f t="shared" si="0"/>
        <v>#DIV/0!</v>
      </c>
    </row>
    <row r="17" spans="1:5" ht="22.5">
      <c r="A17" s="66"/>
      <c r="B17" s="14" t="s">
        <v>212</v>
      </c>
      <c r="C17" s="12">
        <v>170000</v>
      </c>
      <c r="D17" s="12"/>
      <c r="E17" s="65">
        <f t="shared" si="0"/>
        <v>0</v>
      </c>
    </row>
    <row r="18" spans="1:5" ht="22.5">
      <c r="A18" s="66"/>
      <c r="B18" s="14" t="s">
        <v>214</v>
      </c>
      <c r="C18" s="12">
        <v>7565</v>
      </c>
      <c r="D18" s="12"/>
      <c r="E18" s="65">
        <f t="shared" si="0"/>
        <v>0</v>
      </c>
    </row>
    <row r="19" spans="1:5" ht="18.75" customHeight="1" hidden="1">
      <c r="A19" s="33"/>
      <c r="B19" s="14" t="s">
        <v>116</v>
      </c>
      <c r="C19" s="1"/>
      <c r="D19" s="13"/>
      <c r="E19" s="65" t="e">
        <f t="shared" si="0"/>
        <v>#DIV/0!</v>
      </c>
    </row>
    <row r="20" spans="1:5" ht="23.25" customHeight="1">
      <c r="A20" s="7">
        <v>3</v>
      </c>
      <c r="B20" s="8" t="s">
        <v>28</v>
      </c>
      <c r="C20" s="1">
        <f>SUM(C21)</f>
        <v>255382</v>
      </c>
      <c r="D20" s="1">
        <f>SUM(D21)</f>
        <v>127691</v>
      </c>
      <c r="E20" s="65">
        <f t="shared" si="0"/>
        <v>0.5</v>
      </c>
    </row>
    <row r="21" spans="1:5" ht="23.25" customHeight="1">
      <c r="A21" s="33"/>
      <c r="B21" s="14" t="s">
        <v>211</v>
      </c>
      <c r="C21" s="12">
        <v>255382</v>
      </c>
      <c r="D21" s="12">
        <v>127691</v>
      </c>
      <c r="E21" s="65">
        <f t="shared" si="0"/>
        <v>0.5</v>
      </c>
    </row>
    <row r="22" spans="1:5" ht="32.25" customHeight="1">
      <c r="A22" s="77" t="s">
        <v>148</v>
      </c>
      <c r="B22" s="77"/>
      <c r="C22" s="27">
        <f>SUM(C23:C35)</f>
        <v>136746346</v>
      </c>
      <c r="D22" s="27">
        <f>SUM(D23:D35)</f>
        <v>47225397.04000001</v>
      </c>
      <c r="E22" s="65">
        <f t="shared" si="0"/>
        <v>0.34535033967196466</v>
      </c>
    </row>
    <row r="23" spans="1:5" ht="22.5">
      <c r="A23" s="21"/>
      <c r="B23" s="14" t="s">
        <v>117</v>
      </c>
      <c r="C23" s="12">
        <v>12250000</v>
      </c>
      <c r="D23" s="12">
        <f>712901+2125046.69</f>
        <v>2837947.69</v>
      </c>
      <c r="E23" s="65">
        <f t="shared" si="0"/>
        <v>0.23166919918367346</v>
      </c>
    </row>
    <row r="24" spans="1:5" ht="33.75">
      <c r="A24" s="21"/>
      <c r="B24" s="22" t="s">
        <v>118</v>
      </c>
      <c r="C24" s="12"/>
      <c r="D24" s="12">
        <v>10120897.06</v>
      </c>
      <c r="E24" s="65"/>
    </row>
    <row r="25" spans="1:5" ht="22.5">
      <c r="A25" s="21"/>
      <c r="B25" s="22" t="s">
        <v>135</v>
      </c>
      <c r="C25" s="12">
        <v>15626773</v>
      </c>
      <c r="D25" s="12">
        <v>554298</v>
      </c>
      <c r="E25" s="65">
        <f t="shared" si="0"/>
        <v>0.035471047029351485</v>
      </c>
    </row>
    <row r="26" spans="1:5" ht="15" customHeight="1">
      <c r="A26" s="21"/>
      <c r="B26" s="14" t="s">
        <v>59</v>
      </c>
      <c r="C26" s="12">
        <f>1079700+4551509+759812+124913</f>
        <v>6515934</v>
      </c>
      <c r="D26" s="12">
        <f>63375.75+750662.58</f>
        <v>814038.33</v>
      </c>
      <c r="E26" s="65">
        <f t="shared" si="0"/>
        <v>0.12493041365980687</v>
      </c>
    </row>
    <row r="27" spans="1:5" ht="16.5" customHeight="1">
      <c r="A27" s="21"/>
      <c r="B27" s="14" t="s">
        <v>62</v>
      </c>
      <c r="C27" s="12">
        <v>63750</v>
      </c>
      <c r="D27" s="12"/>
      <c r="E27" s="65">
        <f t="shared" si="0"/>
        <v>0</v>
      </c>
    </row>
    <row r="28" spans="1:5" ht="27.75" customHeight="1">
      <c r="A28" s="21"/>
      <c r="B28" s="22" t="s">
        <v>144</v>
      </c>
      <c r="C28" s="12">
        <f>49374608+128367</f>
        <v>49502975</v>
      </c>
      <c r="D28" s="12">
        <v>32594084.55</v>
      </c>
      <c r="E28" s="65">
        <f aca="true" t="shared" si="1" ref="E28:E42">D28/C28</f>
        <v>0.6584267824307529</v>
      </c>
    </row>
    <row r="29" spans="1:5" ht="22.5">
      <c r="A29" s="21"/>
      <c r="B29" s="22" t="s">
        <v>157</v>
      </c>
      <c r="C29" s="12">
        <f>39824111+437308</f>
        <v>40261419</v>
      </c>
      <c r="D29" s="12"/>
      <c r="E29" s="65">
        <f t="shared" si="1"/>
        <v>0</v>
      </c>
    </row>
    <row r="30" spans="1:5" ht="22.5" customHeight="1">
      <c r="A30" s="21"/>
      <c r="B30" s="14" t="s">
        <v>40</v>
      </c>
      <c r="C30" s="12">
        <f>5867911+5977969</f>
        <v>11845880</v>
      </c>
      <c r="D30" s="12">
        <v>258652.17</v>
      </c>
      <c r="E30" s="65">
        <f t="shared" si="1"/>
        <v>0.021834778842939488</v>
      </c>
    </row>
    <row r="31" spans="1:5" ht="12.75" hidden="1">
      <c r="A31" s="21"/>
      <c r="B31" s="14" t="s">
        <v>176</v>
      </c>
      <c r="C31" s="12"/>
      <c r="D31" s="12"/>
      <c r="E31" s="65" t="e">
        <f t="shared" si="1"/>
        <v>#DIV/0!</v>
      </c>
    </row>
    <row r="32" spans="1:5" ht="12.75" hidden="1">
      <c r="A32" s="21"/>
      <c r="B32" s="14" t="s">
        <v>177</v>
      </c>
      <c r="C32" s="12"/>
      <c r="D32" s="12"/>
      <c r="E32" s="65" t="e">
        <f t="shared" si="1"/>
        <v>#DIV/0!</v>
      </c>
    </row>
    <row r="33" spans="1:5" ht="12.75" hidden="1">
      <c r="A33" s="21"/>
      <c r="B33" s="14" t="s">
        <v>178</v>
      </c>
      <c r="C33" s="12"/>
      <c r="D33" s="12"/>
      <c r="E33" s="65" t="e">
        <f t="shared" si="1"/>
        <v>#DIV/0!</v>
      </c>
    </row>
    <row r="34" spans="1:5" ht="22.5" customHeight="1">
      <c r="A34" s="21"/>
      <c r="B34" s="14" t="s">
        <v>168</v>
      </c>
      <c r="C34" s="12">
        <v>45480</v>
      </c>
      <c r="D34" s="12">
        <v>45479.24</v>
      </c>
      <c r="E34" s="65">
        <f t="shared" si="1"/>
        <v>0.9999832893579595</v>
      </c>
    </row>
    <row r="35" spans="1:5" ht="33.75">
      <c r="A35" s="21"/>
      <c r="B35" s="35" t="s">
        <v>41</v>
      </c>
      <c r="C35" s="12">
        <v>634135</v>
      </c>
      <c r="D35" s="12"/>
      <c r="E35" s="65">
        <f t="shared" si="1"/>
        <v>0</v>
      </c>
    </row>
    <row r="36" spans="1:5" ht="15">
      <c r="A36" s="80" t="s">
        <v>77</v>
      </c>
      <c r="B36" s="81"/>
      <c r="C36" s="62">
        <f>SUM(C37,C40)</f>
        <v>664468</v>
      </c>
      <c r="D36" s="62">
        <f>SUM(D37,D40)</f>
        <v>114725</v>
      </c>
      <c r="E36" s="65">
        <f t="shared" si="1"/>
        <v>0.1726569225305056</v>
      </c>
    </row>
    <row r="37" spans="1:5" ht="15" hidden="1">
      <c r="A37" s="61"/>
      <c r="B37" s="41" t="s">
        <v>78</v>
      </c>
      <c r="C37" s="13">
        <f>SUM(C38:C39)</f>
        <v>0</v>
      </c>
      <c r="D37" s="13">
        <f>SUM(D38:D39)</f>
        <v>0</v>
      </c>
      <c r="E37" s="65" t="e">
        <f t="shared" si="1"/>
        <v>#DIV/0!</v>
      </c>
    </row>
    <row r="38" spans="1:5" ht="7.5" customHeight="1" hidden="1">
      <c r="A38" s="61"/>
      <c r="B38" s="14" t="s">
        <v>81</v>
      </c>
      <c r="C38" s="12"/>
      <c r="D38" s="37"/>
      <c r="E38" s="65" t="e">
        <f t="shared" si="1"/>
        <v>#DIV/0!</v>
      </c>
    </row>
    <row r="39" spans="1:5" ht="22.5" hidden="1">
      <c r="A39" s="61"/>
      <c r="B39" s="22" t="s">
        <v>119</v>
      </c>
      <c r="C39" s="12"/>
      <c r="D39" s="37"/>
      <c r="E39" s="65" t="e">
        <f t="shared" si="1"/>
        <v>#DIV/0!</v>
      </c>
    </row>
    <row r="40" spans="1:5" ht="24.75" customHeight="1">
      <c r="A40" s="67"/>
      <c r="B40" s="8" t="s">
        <v>101</v>
      </c>
      <c r="C40" s="13">
        <f>SUM(C41:C42)</f>
        <v>664468</v>
      </c>
      <c r="D40" s="13">
        <f>SUM(D41:D42)</f>
        <v>114725</v>
      </c>
      <c r="E40" s="65">
        <f t="shared" si="1"/>
        <v>0.1726569225305056</v>
      </c>
    </row>
    <row r="41" spans="1:5" ht="15.75" customHeight="1">
      <c r="A41" s="21"/>
      <c r="B41" s="46" t="s">
        <v>102</v>
      </c>
      <c r="C41" s="12">
        <v>229450</v>
      </c>
      <c r="D41" s="12">
        <v>114725</v>
      </c>
      <c r="E41" s="65">
        <f t="shared" si="1"/>
        <v>0.5</v>
      </c>
    </row>
    <row r="42" spans="1:5" ht="29.25" customHeight="1">
      <c r="A42" s="21"/>
      <c r="B42" s="46" t="s">
        <v>207</v>
      </c>
      <c r="C42" s="12">
        <v>435018</v>
      </c>
      <c r="D42" s="12"/>
      <c r="E42" s="65">
        <f t="shared" si="1"/>
        <v>0</v>
      </c>
    </row>
    <row r="43" spans="1:5" ht="15.75">
      <c r="A43" s="51"/>
      <c r="B43" s="68"/>
      <c r="C43" s="51"/>
      <c r="D43" s="50"/>
      <c r="E43" s="51"/>
    </row>
    <row r="44" spans="1:5" ht="17.25" customHeight="1">
      <c r="A44" s="84" t="s">
        <v>181</v>
      </c>
      <c r="B44" s="85" t="s">
        <v>182</v>
      </c>
      <c r="C44" s="89" t="s">
        <v>146</v>
      </c>
      <c r="D44" s="89" t="s">
        <v>127</v>
      </c>
      <c r="E44" s="89" t="s">
        <v>49</v>
      </c>
    </row>
    <row r="45" spans="1:5" ht="6.75" customHeight="1">
      <c r="A45" s="84"/>
      <c r="B45" s="85"/>
      <c r="C45" s="90"/>
      <c r="D45" s="90"/>
      <c r="E45" s="90"/>
    </row>
    <row r="46" spans="1:5" ht="12.75">
      <c r="A46" s="64">
        <v>1</v>
      </c>
      <c r="B46" s="64">
        <v>2</v>
      </c>
      <c r="C46" s="1">
        <v>3</v>
      </c>
      <c r="D46" s="1">
        <v>4</v>
      </c>
      <c r="E46" s="1">
        <v>5</v>
      </c>
    </row>
    <row r="47" spans="1:5" ht="30" customHeight="1">
      <c r="A47" s="55" t="s">
        <v>120</v>
      </c>
      <c r="B47" s="54" t="s">
        <v>121</v>
      </c>
      <c r="C47" s="56">
        <f>'doch bieżące I - VI 2012'!C4+'doch majątk. I - VI 2012'!C4</f>
        <v>1192493515</v>
      </c>
      <c r="D47" s="56">
        <f>'doch bieżące I - VI 2012'!D4+'doch majątk. I - VI 2012'!D4</f>
        <v>569874740.24</v>
      </c>
      <c r="E47" s="52">
        <f>D47/C47</f>
        <v>0.47788498056528217</v>
      </c>
    </row>
    <row r="48" spans="1:5" ht="12.75">
      <c r="A48" s="74"/>
      <c r="B48" s="75"/>
      <c r="C48" s="60"/>
      <c r="D48" s="60"/>
      <c r="E48" s="76"/>
    </row>
  </sheetData>
  <mergeCells count="10">
    <mergeCell ref="A36:B36"/>
    <mergeCell ref="A44:A45"/>
    <mergeCell ref="B44:B45"/>
    <mergeCell ref="A1:E1"/>
    <mergeCell ref="A4:B4"/>
    <mergeCell ref="A5:B5"/>
    <mergeCell ref="A22:B22"/>
    <mergeCell ref="C44:C45"/>
    <mergeCell ref="D44:D45"/>
    <mergeCell ref="E44:E45"/>
  </mergeCells>
  <printOptions/>
  <pageMargins left="0.41" right="0.27" top="0.44" bottom="0.2362204724409449" header="0.31496062992125984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kbara</cp:lastModifiedBy>
  <cp:lastPrinted>2012-08-14T06:49:13Z</cp:lastPrinted>
  <dcterms:created xsi:type="dcterms:W3CDTF">1997-02-26T13:46:56Z</dcterms:created>
  <dcterms:modified xsi:type="dcterms:W3CDTF">2012-09-04T06:30:03Z</dcterms:modified>
  <cp:category/>
  <cp:version/>
  <cp:contentType/>
  <cp:contentStatus/>
</cp:coreProperties>
</file>