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90" windowHeight="12270" activeTab="5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</sheets>
  <definedNames>
    <definedName name="_xlnm.Print_Titles" localSheetId="0">'zał 2'!$5:$6</definedName>
    <definedName name="_xlnm.Print_Titles" localSheetId="1">'zał 3'!$A:$A,'zał 3'!$4:$4</definedName>
    <definedName name="_xlnm.Print_Titles" localSheetId="2">'zał 4'!$A:$A,'zał 4'!$5:$6</definedName>
    <definedName name="_xlnm.Print_Titles" localSheetId="4">'zał 6'!$A:$A,'zał 6'!$4:$5</definedName>
  </definedNames>
  <calcPr fullCalcOnLoad="1"/>
</workbook>
</file>

<file path=xl/sharedStrings.xml><?xml version="1.0" encoding="utf-8"?>
<sst xmlns="http://schemas.openxmlformats.org/spreadsheetml/2006/main" count="968" uniqueCount="407">
  <si>
    <t>Jednostka</t>
  </si>
  <si>
    <t>Nr</t>
  </si>
  <si>
    <t>Śr. liczba</t>
  </si>
  <si>
    <t>Koszt 1</t>
  </si>
  <si>
    <t>Plan</t>
  </si>
  <si>
    <t>Wykonanie</t>
  </si>
  <si>
    <t>%</t>
  </si>
  <si>
    <t>§ 4040</t>
  </si>
  <si>
    <t>§ 4110</t>
  </si>
  <si>
    <t>§ 4120</t>
  </si>
  <si>
    <t>§ 4260</t>
  </si>
  <si>
    <t>§ 4270</t>
  </si>
  <si>
    <t>§ 4440</t>
  </si>
  <si>
    <t>§ 6050</t>
  </si>
  <si>
    <t>§ 6060</t>
  </si>
  <si>
    <t>organizacyjna</t>
  </si>
  <si>
    <t>plac.</t>
  </si>
  <si>
    <t>uczniów</t>
  </si>
  <si>
    <t>ucznia</t>
  </si>
  <si>
    <t>wydatków</t>
  </si>
  <si>
    <t>wyk.</t>
  </si>
  <si>
    <t xml:space="preserve">Plan </t>
  </si>
  <si>
    <t>SP 6</t>
  </si>
  <si>
    <t>ZS 5</t>
  </si>
  <si>
    <t>SP 10</t>
  </si>
  <si>
    <t>ZS 6</t>
  </si>
  <si>
    <t>ZS 7</t>
  </si>
  <si>
    <t>SP 13</t>
  </si>
  <si>
    <t>ZSSOg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</si>
  <si>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</si>
  <si>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</si>
  <si>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</si>
  <si>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</si>
  <si>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</si>
  <si>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</si>
  <si>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</si>
  <si>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</si>
  <si>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</si>
  <si>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ZS 9</t>
  </si>
  <si>
    <t>SP 33</t>
  </si>
  <si>
    <t>SP 34</t>
  </si>
  <si>
    <t>SP 35</t>
  </si>
  <si>
    <t>SP 37</t>
  </si>
  <si>
    <t>SP 39</t>
  </si>
  <si>
    <t>SP 40</t>
  </si>
  <si>
    <t>ZS 10</t>
  </si>
  <si>
    <t>ZS 11</t>
  </si>
  <si>
    <t>ZS 12</t>
  </si>
  <si>
    <t>ZWE 1</t>
  </si>
  <si>
    <t>ZS 13</t>
  </si>
  <si>
    <t>ZS 14</t>
  </si>
  <si>
    <t>ZS 15</t>
  </si>
  <si>
    <t>Razem 80101</t>
  </si>
  <si>
    <t>Razem 80103</t>
  </si>
  <si>
    <t>G 1</t>
  </si>
  <si>
    <t>G 2</t>
  </si>
  <si>
    <t>G 3</t>
  </si>
  <si>
    <t>G 4</t>
  </si>
  <si>
    <t>G 5</t>
  </si>
  <si>
    <t>G 7</t>
  </si>
  <si>
    <t>G 8</t>
  </si>
  <si>
    <t>ZSSOg.</t>
  </si>
  <si>
    <t>G 9</t>
  </si>
  <si>
    <t>ZSOg.6</t>
  </si>
  <si>
    <t>G 10</t>
  </si>
  <si>
    <t>G 11</t>
  </si>
  <si>
    <t>G 12</t>
  </si>
  <si>
    <t>ZSOg.5</t>
  </si>
  <si>
    <t>G 13</t>
  </si>
  <si>
    <t>ZSOg.4</t>
  </si>
  <si>
    <t>G 14</t>
  </si>
  <si>
    <t>G 15</t>
  </si>
  <si>
    <t>G 16</t>
  </si>
  <si>
    <t>G 17</t>
  </si>
  <si>
    <t>G 18</t>
  </si>
  <si>
    <t>G 19</t>
  </si>
  <si>
    <t>G 20</t>
  </si>
  <si>
    <t>ZSRZiH</t>
  </si>
  <si>
    <t>Dorosli</t>
  </si>
  <si>
    <t>ZSOg.2</t>
  </si>
  <si>
    <t>G 23</t>
  </si>
  <si>
    <t>ZSOg.1</t>
  </si>
  <si>
    <t>G 24</t>
  </si>
  <si>
    <t>Razem 80110</t>
  </si>
  <si>
    <t>ZSOg.Nr 1</t>
  </si>
  <si>
    <t>Razem 80113</t>
  </si>
  <si>
    <t>VII LO</t>
  </si>
  <si>
    <t>XIV LO</t>
  </si>
  <si>
    <t>XIII LO</t>
  </si>
  <si>
    <t>Razem 80120</t>
  </si>
  <si>
    <t>Razem 80146</t>
  </si>
  <si>
    <t>Razem 80148</t>
  </si>
  <si>
    <t>G1</t>
  </si>
  <si>
    <t>Gimnazjum 11</t>
  </si>
  <si>
    <t>ZSOg.Nr 4</t>
  </si>
  <si>
    <t>Razem 80195</t>
  </si>
  <si>
    <t>Razem 85401</t>
  </si>
  <si>
    <t>Razem 85412</t>
  </si>
  <si>
    <t>Razem 85415</t>
  </si>
  <si>
    <t>Razem 801</t>
  </si>
  <si>
    <t>Razem 854</t>
  </si>
  <si>
    <t>Razem 90019</t>
  </si>
  <si>
    <t>Razem</t>
  </si>
  <si>
    <t>Sprawozdanie  z  wykonania  zadań  rzeczowych  w  szkołach  podstawowych  i  gimnazjach  za I półrocze 2013 roku</t>
  </si>
  <si>
    <t xml:space="preserve">       Liczba  uczniów </t>
  </si>
  <si>
    <t xml:space="preserve">          Liczba oddziałów</t>
  </si>
  <si>
    <t>Etaty N+A+O</t>
  </si>
  <si>
    <t xml:space="preserve">          Z a  t r u d n i e n i e</t>
  </si>
  <si>
    <t>Nauczanie indywidualne</t>
  </si>
  <si>
    <t>Pedagodzy</t>
  </si>
  <si>
    <t>Psycholodzy</t>
  </si>
  <si>
    <t>Świetlca</t>
  </si>
  <si>
    <t>Żywienie w szkołach w tym:</t>
  </si>
  <si>
    <t>SP/Gimn.</t>
  </si>
  <si>
    <t xml:space="preserve">Razem </t>
  </si>
  <si>
    <t>5-cio latki</t>
  </si>
  <si>
    <t>6-cio latki</t>
  </si>
  <si>
    <t>"O"</t>
  </si>
  <si>
    <t>SP</t>
  </si>
  <si>
    <t>Gimn.</t>
  </si>
  <si>
    <t xml:space="preserve">SP  </t>
  </si>
  <si>
    <t xml:space="preserve">Ogółem </t>
  </si>
  <si>
    <t xml:space="preserve">Nauczyciele razem </t>
  </si>
  <si>
    <t>S</t>
  </si>
  <si>
    <t>K</t>
  </si>
  <si>
    <t>M</t>
  </si>
  <si>
    <t>D</t>
  </si>
  <si>
    <t>"O"staż</t>
  </si>
  <si>
    <t>"O"kontr</t>
  </si>
  <si>
    <t>"O"mian</t>
  </si>
  <si>
    <t>"O"dypl</t>
  </si>
  <si>
    <t>P.staż</t>
  </si>
  <si>
    <t>P.kontr.</t>
  </si>
  <si>
    <t>P.mian.</t>
  </si>
  <si>
    <t>P.dypl.</t>
  </si>
  <si>
    <t>G.staż</t>
  </si>
  <si>
    <t>G.kontr.</t>
  </si>
  <si>
    <t>G.mian.</t>
  </si>
  <si>
    <t>G.dypl.</t>
  </si>
  <si>
    <t>Ś staż.</t>
  </si>
  <si>
    <t>Ś Kontr.</t>
  </si>
  <si>
    <t>Ś mian.</t>
  </si>
  <si>
    <t>Ś dypl.</t>
  </si>
  <si>
    <t>Adm.</t>
  </si>
  <si>
    <t>Obsł.</t>
  </si>
  <si>
    <t>ilość godzin tygodn</t>
  </si>
  <si>
    <t>uczn.</t>
  </si>
  <si>
    <t>uczestn.</t>
  </si>
  <si>
    <t>Ogółem</t>
  </si>
  <si>
    <t>Razem uczniowie</t>
  </si>
  <si>
    <t>limit</t>
  </si>
  <si>
    <t>pełnopł.</t>
  </si>
  <si>
    <t>MOPS</t>
  </si>
  <si>
    <t>inne</t>
  </si>
  <si>
    <t>prac.</t>
  </si>
  <si>
    <t>Gimnazjum nr 1</t>
  </si>
  <si>
    <t>Gimnazjum nr 2</t>
  </si>
  <si>
    <t>Gimnazjum nr 3</t>
  </si>
  <si>
    <t>SP nr 6</t>
  </si>
  <si>
    <t>Gimnazjum nr 4</t>
  </si>
  <si>
    <t>ZS nr 5</t>
  </si>
  <si>
    <t>SP nr 10</t>
  </si>
  <si>
    <t>ZS nr 6</t>
  </si>
  <si>
    <t>ZS nr 7</t>
  </si>
  <si>
    <t>SP nr 13</t>
  </si>
  <si>
    <t>SP nr 16</t>
  </si>
  <si>
    <t>SP nr 17</t>
  </si>
  <si>
    <t>SP nr 18</t>
  </si>
  <si>
    <t>ZSOg nr 6</t>
  </si>
  <si>
    <t>SP nr 20</t>
  </si>
  <si>
    <t>SP nr 21</t>
  </si>
  <si>
    <t>SP nr 23</t>
  </si>
  <si>
    <t>SP nr 26</t>
  </si>
  <si>
    <t>Gimnazjum nr 11</t>
  </si>
  <si>
    <t>SP nr 28</t>
  </si>
  <si>
    <t>SP nr 29</t>
  </si>
  <si>
    <t>ZS nr 9</t>
  </si>
  <si>
    <t>SP nr 33</t>
  </si>
  <si>
    <t>SP nr 34</t>
  </si>
  <si>
    <t>SP nr 35</t>
  </si>
  <si>
    <t>ZSOg nr 5</t>
  </si>
  <si>
    <t>SP nr 37</t>
  </si>
  <si>
    <t>SP nr 39</t>
  </si>
  <si>
    <t>SP nr 40</t>
  </si>
  <si>
    <t>ZSOg nr 4</t>
  </si>
  <si>
    <t>ZS nr 10</t>
  </si>
  <si>
    <t>ZS nr 11</t>
  </si>
  <si>
    <t>ZS nr 12</t>
  </si>
  <si>
    <t>ZWE nr 1</t>
  </si>
  <si>
    <t>ZS nr 13</t>
  </si>
  <si>
    <t>ZS nr 14</t>
  </si>
  <si>
    <t>ZS nr 15</t>
  </si>
  <si>
    <t>Gim.dla dor</t>
  </si>
  <si>
    <t>ZSOg nr 2</t>
  </si>
  <si>
    <t>ZSOg nr 1</t>
  </si>
  <si>
    <t>Sprawozdanie  z  wykonania  planów finansowych szkół  podstawowych,  oddziałów "0", w szkołach podstawowych, gimnazjów, stołówek i świetlic szkolnych za I półrocze 2013 roku</t>
  </si>
  <si>
    <t>Załącznik nr 2</t>
  </si>
  <si>
    <t>Załącznik nr 3</t>
  </si>
  <si>
    <t>Wykon.</t>
  </si>
  <si>
    <t>WYKONANIE</t>
  </si>
  <si>
    <t>Placówka</t>
  </si>
  <si>
    <t>liczba uczniów</t>
  </si>
  <si>
    <t>miesięczny koszt ucznia</t>
  </si>
  <si>
    <t>Razem wydatki</t>
  </si>
  <si>
    <t>§ 4010</t>
  </si>
  <si>
    <t>% wykonania płac</t>
  </si>
  <si>
    <t>% wykonania płac z pochodnymi</t>
  </si>
  <si>
    <t>% wykonania energii</t>
  </si>
  <si>
    <t>plan</t>
  </si>
  <si>
    <t>wykonanie</t>
  </si>
  <si>
    <t>Ośrodek Szkolno-Wych Nr 1</t>
  </si>
  <si>
    <t>Zespół Szkół Ogólnokszt. Nr 6</t>
  </si>
  <si>
    <t>Zespół Szkół Specjalnych Nr 17</t>
  </si>
  <si>
    <t>Szkoły Podstawowe Specjalne            80102</t>
  </si>
  <si>
    <t>Gimnazja Specjalne                         80111</t>
  </si>
  <si>
    <t>Zespół Szkół Ogólnokształcących Nr 6</t>
  </si>
  <si>
    <t>I ALO</t>
  </si>
  <si>
    <t>Specjalny Ośrodek Szkolno-Wychow Nr 1</t>
  </si>
  <si>
    <t>Specjalny Ośrodek Szkolno-Wychow Nr 2</t>
  </si>
  <si>
    <t>Dowożenie uczniów do szkół             80113</t>
  </si>
  <si>
    <t>I LO</t>
  </si>
  <si>
    <t>II LO</t>
  </si>
  <si>
    <t>III LO</t>
  </si>
  <si>
    <t>IV LO</t>
  </si>
  <si>
    <t>V LO</t>
  </si>
  <si>
    <t>VI LO</t>
  </si>
  <si>
    <t>IX LO</t>
  </si>
  <si>
    <t>X LO</t>
  </si>
  <si>
    <t>XII LO</t>
  </si>
  <si>
    <t>Kolegium Miejskie</t>
  </si>
  <si>
    <t>Licea Ogólnokształcące                  80120</t>
  </si>
  <si>
    <t>Licea Ogólnokształcące Specjalne      80121</t>
  </si>
  <si>
    <t>Zespół Szkół Usługowych</t>
  </si>
  <si>
    <t>Licea profilowane                            80123</t>
  </si>
  <si>
    <t>Zespół Szkół Administracyjno-Ekonomicznych</t>
  </si>
  <si>
    <t>Zespół Szkół Budowlanych</t>
  </si>
  <si>
    <t>Zespół Szkół Chłodniczych i Elektronicznych</t>
  </si>
  <si>
    <t>Zespół Szkół Hotelarsko-Gastronomicznych</t>
  </si>
  <si>
    <t>Zespół Szkół Mechanicznych</t>
  </si>
  <si>
    <t>Zespół Szkół Technicznych</t>
  </si>
  <si>
    <t>Zespół Szkół Rzemiosła i Handlu</t>
  </si>
  <si>
    <t>Zespół Szkół Ekologicznych</t>
  </si>
  <si>
    <t>Technikum Transportowe</t>
  </si>
  <si>
    <t>Szkoły Zawodowe                             80130</t>
  </si>
  <si>
    <t>Szkoła Muzyczna                             80132</t>
  </si>
  <si>
    <t xml:space="preserve">Specjalny Ośrodek Szkolno-Wych 1 </t>
  </si>
  <si>
    <t>Specjalny Ośrodek Szkolno-Wych 2</t>
  </si>
  <si>
    <t>Szkoły Zawodowe Specjalne    80134</t>
  </si>
  <si>
    <t>Zespół Szkół Technicznych  80140</t>
  </si>
  <si>
    <t>Gdyński Ośrodek Dokształcania Nauczycieli           80141</t>
  </si>
  <si>
    <t>Szkoła Muzyczna</t>
  </si>
  <si>
    <t>Specjalny Osrodek Szkolno-Wychowawczy Nr 1</t>
  </si>
  <si>
    <t>Dokształcanie nauczycieli    80146</t>
  </si>
  <si>
    <t xml:space="preserve">Zespół Szkół Specjalnych Nr 17        </t>
  </si>
  <si>
    <t>Stołówki Szkolne             80148</t>
  </si>
  <si>
    <t>ZSSO</t>
  </si>
  <si>
    <t>ZSO nr 5</t>
  </si>
  <si>
    <t>MDK</t>
  </si>
  <si>
    <t>Specjalny Ośrodek Szkolno-Wychowawczy Nr 1</t>
  </si>
  <si>
    <t>Pozostała działalność                80195</t>
  </si>
  <si>
    <t>DZIAŁ 801 RAZEM</t>
  </si>
  <si>
    <t>Specjalny Ośrodek Szkolno-Wychowawczy Nr 2</t>
  </si>
  <si>
    <t>Zespół Szkół Specjalnych Nr 17           85401</t>
  </si>
  <si>
    <t>Spec.Ośrodek Szk-Wych Nr 1</t>
  </si>
  <si>
    <t>Spec.Ośrodek Szk-Wych Nr 2</t>
  </si>
  <si>
    <t>Ośrodki Szkolno-Wychowawcze         85403</t>
  </si>
  <si>
    <t>Poradnia Psych-Pedagog Nr 1</t>
  </si>
  <si>
    <t>Poradnia Psych-Pedagog Nr 2</t>
  </si>
  <si>
    <t>Poradnia Psych-Pedagog Nr 3</t>
  </si>
  <si>
    <t>Poradnie Psychologiczno-Pedagogiczne       85406</t>
  </si>
  <si>
    <t>Młodzieżowy Dom Kultury             85407</t>
  </si>
  <si>
    <t>Internaty i bursy szkolne                 85410</t>
  </si>
  <si>
    <t>II  LO</t>
  </si>
  <si>
    <t>Zespól Szkół Mechanicznych</t>
  </si>
  <si>
    <t>Młodzieżowy Dom Kultury</t>
  </si>
  <si>
    <t>Kolonie i obozy                         85412</t>
  </si>
  <si>
    <t>I Akademickie liceum Ogólnokształcace</t>
  </si>
  <si>
    <t>Szkolne Schronisko Młodzieżowe    85417</t>
  </si>
  <si>
    <t>Poradnia Psychologiczno-Pedagogiczna Nr 1</t>
  </si>
  <si>
    <t>Poradnia Psychologiczno-Pedagogiczna Nr 2</t>
  </si>
  <si>
    <t>Poradnia Psychologiczno-Pedagogiczna Nr 3</t>
  </si>
  <si>
    <t>Mlodzieżowy Dom Kultury</t>
  </si>
  <si>
    <t>Dokształcanie nauczycieli     85446</t>
  </si>
  <si>
    <t>RAZEM 854</t>
  </si>
  <si>
    <t>801-854</t>
  </si>
  <si>
    <t>851+854+851</t>
  </si>
  <si>
    <t xml:space="preserve">Kolegium  Miejskie            </t>
  </si>
  <si>
    <t>Zespól Szkół Administracyjno-Ekonomicznych</t>
  </si>
  <si>
    <t>Zespól Szkól Chłodniczych i Elektronicznych</t>
  </si>
  <si>
    <t>Razem                                      90019</t>
  </si>
  <si>
    <t>Sprawozdanie  z  wykonania  planów finansowych szkół  ponadgimnazjalnych i placówek opiekuńczo - wychowawczych za I półrocze 2013 roku</t>
  </si>
  <si>
    <t>Załącznik nr 4</t>
  </si>
  <si>
    <t>Liczba etatów kalkulacyjnych</t>
  </si>
  <si>
    <t>zatrudnienie</t>
  </si>
  <si>
    <t>Realizacja programu</t>
  </si>
  <si>
    <t>realizacja programu</t>
  </si>
  <si>
    <t>pedagod.</t>
  </si>
  <si>
    <t>etaty pedagogiczne w tym</t>
  </si>
  <si>
    <t>adm.</t>
  </si>
  <si>
    <t>obsługa</t>
  </si>
  <si>
    <t>razem</t>
  </si>
  <si>
    <t>podstawy programowe</t>
  </si>
  <si>
    <t>program</t>
  </si>
  <si>
    <t>stażysci</t>
  </si>
  <si>
    <t>kontrakt</t>
  </si>
  <si>
    <t>mian.</t>
  </si>
  <si>
    <t>dyplom.</t>
  </si>
  <si>
    <t>Razem  w tym</t>
  </si>
  <si>
    <t>klasy  dwujęzyczne</t>
  </si>
  <si>
    <t>klasy IB</t>
  </si>
  <si>
    <t>nauczanie indywidualne</t>
  </si>
  <si>
    <t>ilość osób</t>
  </si>
  <si>
    <t>pozostałe biblioteka pedagodzy</t>
  </si>
  <si>
    <t>poza minimum</t>
  </si>
  <si>
    <t>Zespól Szkół Ogólnokształcącyc Nr 6</t>
  </si>
  <si>
    <t>Zespół Szkół Specjalnych nr 17</t>
  </si>
  <si>
    <t>Szkoły Podstaw.Specj          80102</t>
  </si>
  <si>
    <t>Szkoły Podstaw.Specj          80105</t>
  </si>
  <si>
    <t>Zespół Szkół Specjalnych nr 17    80106</t>
  </si>
  <si>
    <t>Gimnazja Specjalne             80111</t>
  </si>
  <si>
    <t>I   LO</t>
  </si>
  <si>
    <t>V  LO</t>
  </si>
  <si>
    <t>VII  LO</t>
  </si>
  <si>
    <t>X   LO</t>
  </si>
  <si>
    <t>XII  LO</t>
  </si>
  <si>
    <t>Licea ogólnokształcące   80120</t>
  </si>
  <si>
    <t>Ośrodek Szkolno-Wych Nr 2</t>
  </si>
  <si>
    <t>Licea ogólnokształcące  specjalne      80121</t>
  </si>
  <si>
    <t>Zespól Szkół Usługowych</t>
  </si>
  <si>
    <t>Licea Profilowane               80123</t>
  </si>
  <si>
    <t>Zesp.Sz.Ad.Ekonomicznych</t>
  </si>
  <si>
    <t>Zesp.Sz.Budowlanych</t>
  </si>
  <si>
    <t>Zespół Szkół Hotelarsko-Gastronom.</t>
  </si>
  <si>
    <t>Szkoły Zawodowe                80130</t>
  </si>
  <si>
    <t>Szkoła Muzyczna                80132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</si>
  <si>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</si>
  <si>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</si>
  <si>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</si>
  <si>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</si>
  <si>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Technicznych 80140</t>
  </si>
  <si>
    <t>Gdyński Ośrodek Dokszt.Nauczycieli   80141</t>
  </si>
  <si>
    <t>Zespól Szkól Specjalnych Nr 17  80148</t>
  </si>
  <si>
    <t>RAZEM  801</t>
  </si>
  <si>
    <t>Zespół Szkół Specjalnych Nr 17   - 85401</t>
  </si>
  <si>
    <t>Specj.Ośr.Szk.Wych   85403</t>
  </si>
  <si>
    <t xml:space="preserve">Zespół Szkół Specjalnych Nr 17 </t>
  </si>
  <si>
    <t>Wczesne wspomaganie 85404</t>
  </si>
  <si>
    <t>Poradnia Psych-Pedagog 85406</t>
  </si>
  <si>
    <t>Młodzieżowy Dom Kultury   85407</t>
  </si>
  <si>
    <t>Zespół Szkół Budownictwa Okrętowego</t>
  </si>
  <si>
    <t>Internaty i bursy szkolne 85410</t>
  </si>
  <si>
    <t>Szkolne Schronisko Młodzieżowe 85417</t>
  </si>
  <si>
    <t>RAZEM  854</t>
  </si>
  <si>
    <t>OGÓŁEM</t>
  </si>
  <si>
    <t>liczba oddziałów</t>
  </si>
  <si>
    <t>* wykonanie bez zadań współfinansowanych z budżetu Unii Europejskiej</t>
  </si>
  <si>
    <t>Sprawozdanie z wykonania zadań rzeczowych szkół  ponadgimnazjalnych i placówek opiekuńczo - wychowawczych za I półrocze 2013 roku</t>
  </si>
  <si>
    <t>liczba dzieci</t>
  </si>
  <si>
    <t>Przedszkole Nr 4</t>
  </si>
  <si>
    <t>Przedszkole Nr 5</t>
  </si>
  <si>
    <t>Przedszkole Nr 6</t>
  </si>
  <si>
    <t>Przedszkole Nr 7</t>
  </si>
  <si>
    <t>Przedszkole Nr 8</t>
  </si>
  <si>
    <t>Przedszkole Nr 9</t>
  </si>
  <si>
    <t>Przedszkole Nr 11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</si>
  <si>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</si>
  <si>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</si>
  <si>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</si>
  <si>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</si>
  <si>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</si>
  <si>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</si>
  <si>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21</t>
  </si>
  <si>
    <t>Przedszkole Nr 22</t>
  </si>
  <si>
    <t>Przedszkole Nr 23</t>
  </si>
  <si>
    <t>Przedszkole Nr 24</t>
  </si>
  <si>
    <t>Przedszkole Nr 25</t>
  </si>
  <si>
    <t>Przedszkole Nr 26</t>
  </si>
  <si>
    <t>Przedszkole Nr 27</t>
  </si>
  <si>
    <t>Przedszkole Nr 28</t>
  </si>
  <si>
    <t>Przedszkole Nr 29</t>
  </si>
  <si>
    <t>Przedszkole Nr 30</t>
  </si>
  <si>
    <t>Przedszkole Nr 31</t>
  </si>
  <si>
    <t>Przedszkole Nr 32</t>
  </si>
  <si>
    <t>Przedszkole Nr 35</t>
  </si>
  <si>
    <t>Przedszkole Nr 36</t>
  </si>
  <si>
    <t>Przedszkole Nr 42</t>
  </si>
  <si>
    <t>Przedszkole Nr 43</t>
  </si>
  <si>
    <t>Przedszkole Nr 44</t>
  </si>
  <si>
    <t>Przedszkole Nr 46</t>
  </si>
  <si>
    <t>Przedszkole Nr 47</t>
  </si>
  <si>
    <t>Przedszkole Nr 48</t>
  </si>
  <si>
    <t>Przedszkole Nr 49</t>
  </si>
  <si>
    <t>Przedszkole Nr 50- ZWE</t>
  </si>
  <si>
    <t>Przedszkole Nr 51</t>
  </si>
  <si>
    <t>Przedszkole Nr 52</t>
  </si>
  <si>
    <t>RAZEM</t>
  </si>
  <si>
    <t>Załącznik nr 5</t>
  </si>
  <si>
    <t>Załącznik nr 6</t>
  </si>
  <si>
    <t>Sprawozdanie  z  wykonania  planów finansowych przedszkoli za I półrocze 2013 roku</t>
  </si>
  <si>
    <t>zatrudnienie przedszkole 80104</t>
  </si>
  <si>
    <t>kuchnia</t>
  </si>
  <si>
    <t>podpisane umowy (godzin)</t>
  </si>
  <si>
    <t>liczba wychowanków</t>
  </si>
  <si>
    <t>Razem dzieci</t>
  </si>
  <si>
    <t>Przedszkole Nr 50</t>
  </si>
  <si>
    <t xml:space="preserve">Załącznik nr 7 </t>
  </si>
  <si>
    <t>Sprawozdanie z wykonania zadań rzeczowych przedszkoli za I półrocze 2013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</si>
</sst>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0.00000"/>
    <numFmt numFmtId="170" formatCode="0.000000"/>
    <numFmt numFmtId="171" formatCode="0.0000000"/>
    <numFmt numFmtId="172" formatCode="#,##0.0000"/>
    <numFmt numFmtId="173" formatCode="#,##0.00000"/>
    <numFmt numFmtId="174" formatCode="0.000000000"/>
    <numFmt numFmtId="175" formatCode="0.0000000000"/>
    <numFmt numFmtId="176" formatCode="0.00000000"/>
    <numFmt numFmtId="177" formatCode="_-* #,##0.000\ _z_ł_-;\-* #,##0.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Alignment="1">
      <alignment/>
    </xf>
    <xf numFmtId="167" fontId="6" fillId="0" borderId="0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left"/>
    </xf>
    <xf numFmtId="167" fontId="5" fillId="0" borderId="1" xfId="0" applyNumberFormat="1" applyFont="1" applyFill="1" applyBorder="1" applyAlignment="1">
      <alignment horizontal="center"/>
    </xf>
    <xf numFmtId="167" fontId="6" fillId="0" borderId="3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7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167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7" fontId="5" fillId="0" borderId="7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167" fontId="5" fillId="0" borderId="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7" fontId="11" fillId="0" borderId="0" xfId="0" applyNumberFormat="1" applyFont="1" applyFill="1" applyBorder="1" applyAlignment="1">
      <alignment wrapText="1"/>
    </xf>
    <xf numFmtId="167" fontId="11" fillId="0" borderId="0" xfId="0" applyNumberFormat="1" applyFont="1" applyFill="1" applyBorder="1" applyAlignment="1">
      <alignment/>
    </xf>
    <xf numFmtId="0" fontId="11" fillId="0" borderId="0" xfId="18" applyFont="1">
      <alignment/>
      <protection/>
    </xf>
    <xf numFmtId="0" fontId="5" fillId="0" borderId="0" xfId="18" applyFont="1">
      <alignment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0" fontId="10" fillId="0" borderId="2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>
      <alignment/>
      <protection/>
    </xf>
    <xf numFmtId="2" fontId="8" fillId="0" borderId="1" xfId="18" applyNumberFormat="1" applyFont="1" applyFill="1" applyBorder="1" applyAlignment="1">
      <alignment wrapText="1"/>
      <protection/>
    </xf>
    <xf numFmtId="3" fontId="8" fillId="0" borderId="1" xfId="18" applyNumberFormat="1" applyFont="1" applyFill="1" applyBorder="1" applyAlignment="1">
      <alignment wrapText="1"/>
      <protection/>
    </xf>
    <xf numFmtId="1" fontId="8" fillId="0" borderId="1" xfId="18" applyNumberFormat="1" applyFont="1" applyFill="1" applyBorder="1" applyAlignment="1">
      <alignment wrapText="1"/>
      <protection/>
    </xf>
    <xf numFmtId="3" fontId="5" fillId="0" borderId="1" xfId="18" applyNumberFormat="1" applyFont="1" applyFill="1" applyBorder="1">
      <alignment/>
      <protection/>
    </xf>
    <xf numFmtId="4" fontId="5" fillId="0" borderId="1" xfId="18" applyNumberFormat="1" applyFont="1" applyFill="1" applyBorder="1">
      <alignment/>
      <protection/>
    </xf>
    <xf numFmtId="2" fontId="10" fillId="0" borderId="1" xfId="18" applyNumberFormat="1" applyFont="1" applyFill="1" applyBorder="1" applyAlignment="1">
      <alignment wrapText="1"/>
      <protection/>
    </xf>
    <xf numFmtId="3" fontId="6" fillId="0" borderId="1" xfId="18" applyNumberFormat="1" applyFont="1" applyFill="1" applyBorder="1">
      <alignment/>
      <protection/>
    </xf>
    <xf numFmtId="1" fontId="10" fillId="0" borderId="1" xfId="18" applyNumberFormat="1" applyFont="1" applyFill="1" applyBorder="1" applyAlignment="1">
      <alignment wrapText="1"/>
      <protection/>
    </xf>
    <xf numFmtId="4" fontId="6" fillId="0" borderId="1" xfId="18" applyNumberFormat="1" applyFont="1" applyFill="1" applyBorder="1">
      <alignment/>
      <protection/>
    </xf>
    <xf numFmtId="3" fontId="10" fillId="0" borderId="1" xfId="18" applyNumberFormat="1" applyFont="1" applyFill="1" applyBorder="1" applyAlignment="1">
      <alignment wrapText="1"/>
      <protection/>
    </xf>
    <xf numFmtId="4" fontId="10" fillId="0" borderId="1" xfId="18" applyNumberFormat="1" applyFont="1" applyFill="1" applyBorder="1" applyAlignment="1">
      <alignment wrapText="1"/>
      <protection/>
    </xf>
    <xf numFmtId="3" fontId="10" fillId="0" borderId="5" xfId="18" applyNumberFormat="1" applyFont="1" applyFill="1" applyBorder="1" applyAlignment="1">
      <alignment wrapText="1"/>
      <protection/>
    </xf>
    <xf numFmtId="3" fontId="8" fillId="0" borderId="5" xfId="18" applyNumberFormat="1" applyFont="1" applyFill="1" applyBorder="1" applyAlignment="1">
      <alignment wrapText="1"/>
      <protection/>
    </xf>
    <xf numFmtId="3" fontId="5" fillId="0" borderId="5" xfId="18" applyNumberFormat="1" applyFont="1" applyFill="1" applyBorder="1">
      <alignment/>
      <protection/>
    </xf>
    <xf numFmtId="3" fontId="6" fillId="0" borderId="5" xfId="18" applyNumberFormat="1" applyFont="1" applyFill="1" applyBorder="1">
      <alignment/>
      <protection/>
    </xf>
    <xf numFmtId="4" fontId="6" fillId="0" borderId="5" xfId="18" applyNumberFormat="1" applyFont="1" applyFill="1" applyBorder="1">
      <alignment/>
      <protection/>
    </xf>
    <xf numFmtId="1" fontId="10" fillId="0" borderId="1" xfId="18" applyNumberFormat="1" applyFont="1" applyFill="1" applyBorder="1" applyAlignment="1">
      <alignment horizontal="left" wrapText="1"/>
      <protection/>
    </xf>
    <xf numFmtId="0" fontId="5" fillId="0" borderId="1" xfId="18" applyFont="1" applyBorder="1">
      <alignment/>
      <protection/>
    </xf>
    <xf numFmtId="2" fontId="8" fillId="0" borderId="0" xfId="18" applyNumberFormat="1" applyFont="1" applyFill="1" applyBorder="1" applyAlignment="1">
      <alignment wrapText="1"/>
      <protection/>
    </xf>
    <xf numFmtId="1" fontId="10" fillId="0" borderId="0" xfId="18" applyNumberFormat="1" applyFont="1" applyFill="1" applyBorder="1" applyAlignment="1">
      <alignment wrapText="1"/>
      <protection/>
    </xf>
    <xf numFmtId="4" fontId="5" fillId="0" borderId="0" xfId="18" applyNumberFormat="1" applyFont="1" applyFill="1" applyBorder="1">
      <alignment/>
      <protection/>
    </xf>
    <xf numFmtId="0" fontId="5" fillId="0" borderId="0" xfId="18" applyFont="1" applyBorder="1">
      <alignment/>
      <protection/>
    </xf>
    <xf numFmtId="3" fontId="5" fillId="0" borderId="1" xfId="18" applyNumberFormat="1" applyFont="1" applyBorder="1">
      <alignment/>
      <protection/>
    </xf>
    <xf numFmtId="3" fontId="6" fillId="0" borderId="1" xfId="18" applyNumberFormat="1" applyFont="1" applyBorder="1">
      <alignment/>
      <protection/>
    </xf>
    <xf numFmtId="0" fontId="6" fillId="0" borderId="0" xfId="18" applyFont="1">
      <alignment/>
      <protection/>
    </xf>
    <xf numFmtId="0" fontId="5" fillId="0" borderId="0" xfId="18" applyFont="1" applyFill="1">
      <alignment/>
      <protection/>
    </xf>
    <xf numFmtId="0" fontId="6" fillId="0" borderId="0" xfId="18" applyFont="1" applyFill="1">
      <alignment/>
      <protection/>
    </xf>
    <xf numFmtId="3" fontId="10" fillId="0" borderId="1" xfId="18" applyNumberFormat="1" applyFont="1" applyFill="1" applyBorder="1">
      <alignment/>
      <protection/>
    </xf>
    <xf numFmtId="0" fontId="10" fillId="0" borderId="0" xfId="18" applyFont="1" applyFill="1">
      <alignment/>
      <protection/>
    </xf>
    <xf numFmtId="4" fontId="5" fillId="0" borderId="1" xfId="18" applyNumberFormat="1" applyFont="1" applyBorder="1">
      <alignment/>
      <protection/>
    </xf>
    <xf numFmtId="0" fontId="5" fillId="0" borderId="0" xfId="18" applyFont="1" applyFill="1" applyBorder="1">
      <alignment/>
      <protection/>
    </xf>
    <xf numFmtId="1" fontId="6" fillId="0" borderId="1" xfId="18" applyNumberFormat="1" applyFont="1" applyFill="1" applyBorder="1" applyAlignment="1">
      <alignment wrapText="1"/>
      <protection/>
    </xf>
    <xf numFmtId="0" fontId="8" fillId="0" borderId="1" xfId="18" applyFont="1" applyBorder="1">
      <alignment/>
      <protection/>
    </xf>
    <xf numFmtId="0" fontId="6" fillId="0" borderId="1" xfId="18" applyFont="1" applyBorder="1">
      <alignment/>
      <protection/>
    </xf>
    <xf numFmtId="0" fontId="10" fillId="0" borderId="1" xfId="18" applyFont="1" applyBorder="1">
      <alignment/>
      <protection/>
    </xf>
    <xf numFmtId="0" fontId="7" fillId="0" borderId="0" xfId="18" applyFont="1" applyAlignment="1">
      <alignment wrapText="1"/>
      <protection/>
    </xf>
    <xf numFmtId="0" fontId="8" fillId="0" borderId="5" xfId="18" applyFont="1" applyFill="1" applyBorder="1" applyAlignment="1">
      <alignment horizontal="center" vertical="center" wrapText="1"/>
      <protection/>
    </xf>
    <xf numFmtId="0" fontId="8" fillId="0" borderId="7" xfId="18" applyFont="1" applyFill="1" applyBorder="1" applyAlignment="1">
      <alignment horizontal="center" vertical="center" wrapText="1"/>
      <protection/>
    </xf>
    <xf numFmtId="3" fontId="10" fillId="0" borderId="5" xfId="18" applyNumberFormat="1" applyFont="1" applyFill="1" applyBorder="1" applyAlignment="1">
      <alignment horizontal="center" vertical="center" wrapText="1"/>
      <protection/>
    </xf>
    <xf numFmtId="3" fontId="10" fillId="0" borderId="7" xfId="18" applyNumberFormat="1" applyFont="1" applyFill="1" applyBorder="1" applyAlignment="1">
      <alignment horizontal="center" vertical="center" wrapText="1"/>
      <protection/>
    </xf>
    <xf numFmtId="0" fontId="10" fillId="0" borderId="5" xfId="18" applyFont="1" applyFill="1" applyBorder="1" applyAlignment="1">
      <alignment horizontal="center" vertical="center" wrapText="1"/>
      <protection/>
    </xf>
    <xf numFmtId="0" fontId="10" fillId="0" borderId="7" xfId="18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vertical="center" wrapText="1"/>
      <protection/>
    </xf>
    <xf numFmtId="0" fontId="5" fillId="0" borderId="0" xfId="18" applyFont="1" applyAlignment="1">
      <alignment vertical="center"/>
      <protection/>
    </xf>
    <xf numFmtId="0" fontId="6" fillId="0" borderId="7" xfId="18" applyFont="1" applyFill="1" applyBorder="1" applyAlignment="1">
      <alignment horizontal="center" vertical="center"/>
      <protection/>
    </xf>
    <xf numFmtId="3" fontId="6" fillId="0" borderId="3" xfId="18" applyNumberFormat="1" applyFont="1" applyFill="1" applyBorder="1" applyAlignment="1">
      <alignment horizontal="center" vertical="center"/>
      <protection/>
    </xf>
    <xf numFmtId="3" fontId="6" fillId="0" borderId="1" xfId="18" applyNumberFormat="1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vertical="center"/>
      <protection/>
    </xf>
    <xf numFmtId="3" fontId="5" fillId="0" borderId="1" xfId="18" applyNumberFormat="1" applyFont="1" applyBorder="1" applyAlignment="1">
      <alignment horizontal="right"/>
      <protection/>
    </xf>
    <xf numFmtId="4" fontId="5" fillId="0" borderId="1" xfId="18" applyNumberFormat="1" applyFont="1" applyBorder="1" applyAlignment="1">
      <alignment horizontal="right"/>
      <protection/>
    </xf>
    <xf numFmtId="0" fontId="10" fillId="0" borderId="1" xfId="18" applyFont="1" applyFill="1" applyBorder="1">
      <alignment/>
      <protection/>
    </xf>
    <xf numFmtId="3" fontId="6" fillId="0" borderId="1" xfId="18" applyNumberFormat="1" applyFont="1" applyBorder="1" applyAlignment="1">
      <alignment horizontal="right"/>
      <protection/>
    </xf>
    <xf numFmtId="4" fontId="6" fillId="0" borderId="1" xfId="18" applyNumberFormat="1" applyFont="1" applyBorder="1" applyAlignment="1">
      <alignment horizontal="right"/>
      <protection/>
    </xf>
    <xf numFmtId="167" fontId="5" fillId="0" borderId="1" xfId="18" applyNumberFormat="1" applyFont="1" applyBorder="1" applyAlignment="1">
      <alignment horizontal="right"/>
      <protection/>
    </xf>
    <xf numFmtId="167" fontId="6" fillId="0" borderId="1" xfId="18" applyNumberFormat="1" applyFont="1" applyBorder="1" applyAlignment="1">
      <alignment horizontal="right"/>
      <protection/>
    </xf>
    <xf numFmtId="0" fontId="8" fillId="0" borderId="1" xfId="18" applyFont="1" applyFill="1" applyBorder="1">
      <alignment/>
      <protection/>
    </xf>
    <xf numFmtId="0" fontId="10" fillId="0" borderId="1" xfId="18" applyFont="1" applyFill="1" applyBorder="1" applyAlignment="1">
      <alignment wrapText="1"/>
      <protection/>
    </xf>
    <xf numFmtId="3" fontId="6" fillId="0" borderId="1" xfId="18" applyNumberFormat="1" applyFont="1" applyFill="1" applyBorder="1" applyAlignment="1">
      <alignment horizontal="right"/>
      <protection/>
    </xf>
    <xf numFmtId="4" fontId="6" fillId="0" borderId="1" xfId="18" applyNumberFormat="1" applyFont="1" applyFill="1" applyBorder="1" applyAlignment="1">
      <alignment horizontal="right"/>
      <protection/>
    </xf>
    <xf numFmtId="4" fontId="6" fillId="0" borderId="1" xfId="18" applyNumberFormat="1" applyFont="1" applyBorder="1">
      <alignment/>
      <protection/>
    </xf>
    <xf numFmtId="3" fontId="5" fillId="0" borderId="1" xfId="18" applyNumberFormat="1" applyFont="1" applyFill="1" applyBorder="1" applyAlignment="1">
      <alignment horizontal="right"/>
      <protection/>
    </xf>
    <xf numFmtId="4" fontId="5" fillId="0" borderId="1" xfId="18" applyNumberFormat="1" applyFont="1" applyFill="1" applyBorder="1" applyAlignment="1">
      <alignment horizontal="right"/>
      <protection/>
    </xf>
    <xf numFmtId="0" fontId="8" fillId="0" borderId="1" xfId="18" applyFont="1" applyFill="1" applyBorder="1" applyAlignment="1">
      <alignment wrapText="1"/>
      <protection/>
    </xf>
    <xf numFmtId="167" fontId="5" fillId="0" borderId="1" xfId="18" applyNumberFormat="1" applyFont="1" applyFill="1" applyBorder="1" applyAlignment="1">
      <alignment horizontal="right"/>
      <protection/>
    </xf>
    <xf numFmtId="4" fontId="5" fillId="0" borderId="0" xfId="18" applyNumberFormat="1" applyFont="1">
      <alignment/>
      <protection/>
    </xf>
    <xf numFmtId="0" fontId="6" fillId="0" borderId="5" xfId="18" applyFont="1" applyBorder="1" applyAlignment="1">
      <alignment vertical="center"/>
      <protection/>
    </xf>
    <xf numFmtId="3" fontId="6" fillId="0" borderId="1" xfId="18" applyNumberFormat="1" applyFont="1" applyBorder="1" applyAlignment="1">
      <alignment vertical="center"/>
      <protection/>
    </xf>
    <xf numFmtId="3" fontId="10" fillId="0" borderId="1" xfId="18" applyNumberFormat="1" applyFont="1" applyBorder="1" applyAlignment="1">
      <alignment horizontal="centerContinuous" vertical="center"/>
      <protection/>
    </xf>
    <xf numFmtId="3" fontId="10" fillId="0" borderId="1" xfId="18" applyNumberFormat="1" applyFont="1" applyBorder="1" applyAlignment="1">
      <alignment horizontal="center" vertical="center"/>
      <protection/>
    </xf>
    <xf numFmtId="3" fontId="10" fillId="0" borderId="1" xfId="18" applyNumberFormat="1" applyFont="1" applyBorder="1" applyAlignment="1">
      <alignment horizontal="center" vertical="center"/>
      <protection/>
    </xf>
    <xf numFmtId="0" fontId="6" fillId="0" borderId="11" xfId="18" applyFont="1" applyBorder="1" applyAlignment="1">
      <alignment vertical="center"/>
      <protection/>
    </xf>
    <xf numFmtId="3" fontId="10" fillId="0" borderId="1" xfId="18" applyNumberFormat="1" applyFont="1" applyBorder="1" applyAlignment="1">
      <alignment horizontal="center" vertical="center" wrapText="1"/>
      <protection/>
    </xf>
    <xf numFmtId="0" fontId="6" fillId="0" borderId="7" xfId="18" applyFont="1" applyBorder="1" applyAlignment="1">
      <alignment vertical="center"/>
      <protection/>
    </xf>
    <xf numFmtId="3" fontId="8" fillId="0" borderId="1" xfId="18" applyNumberFormat="1" applyFont="1" applyBorder="1" applyAlignment="1">
      <alignment horizontal="center" vertical="center"/>
      <protection/>
    </xf>
    <xf numFmtId="3" fontId="5" fillId="0" borderId="1" xfId="18" applyNumberFormat="1" applyFont="1" applyBorder="1" applyAlignment="1">
      <alignment vertical="center"/>
      <protection/>
    </xf>
    <xf numFmtId="3" fontId="8" fillId="0" borderId="1" xfId="18" applyNumberFormat="1" applyFont="1" applyBorder="1" applyAlignment="1">
      <alignment vertical="center"/>
      <protection/>
    </xf>
    <xf numFmtId="3" fontId="8" fillId="0" borderId="1" xfId="18" applyNumberFormat="1" applyFont="1" applyBorder="1" applyAlignment="1">
      <alignment vertical="center" wrapText="1"/>
      <protection/>
    </xf>
    <xf numFmtId="3" fontId="10" fillId="0" borderId="1" xfId="18" applyNumberFormat="1" applyFont="1" applyBorder="1" applyAlignment="1">
      <alignment vertical="center" wrapText="1"/>
      <protection/>
    </xf>
    <xf numFmtId="3" fontId="10" fillId="0" borderId="1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 wrapText="1"/>
      <protection/>
    </xf>
    <xf numFmtId="3" fontId="5" fillId="0" borderId="5" xfId="18" applyNumberFormat="1" applyFont="1" applyBorder="1" applyAlignment="1">
      <alignment vertical="center" wrapText="1"/>
      <protection/>
    </xf>
    <xf numFmtId="3" fontId="5" fillId="0" borderId="7" xfId="18" applyNumberFormat="1" applyFont="1" applyBorder="1" applyAlignment="1">
      <alignment vertical="center" wrapText="1"/>
      <protection/>
    </xf>
    <xf numFmtId="4" fontId="10" fillId="0" borderId="1" xfId="18" applyNumberFormat="1" applyFont="1" applyFill="1" applyBorder="1" applyAlignment="1">
      <alignment horizontal="right"/>
      <protection/>
    </xf>
    <xf numFmtId="0" fontId="5" fillId="0" borderId="0" xfId="18" applyFont="1" quotePrefix="1">
      <alignment/>
      <protection/>
    </xf>
    <xf numFmtId="0" fontId="11" fillId="0" borderId="0" xfId="18" applyFont="1" applyAlignment="1">
      <alignment wrapText="1"/>
      <protection/>
    </xf>
    <xf numFmtId="4" fontId="10" fillId="0" borderId="1" xfId="18" applyNumberFormat="1" applyFont="1" applyFill="1" applyBorder="1">
      <alignment/>
      <protection/>
    </xf>
    <xf numFmtId="0" fontId="11" fillId="0" borderId="0" xfId="17" applyFont="1">
      <alignment/>
      <protection/>
    </xf>
    <xf numFmtId="0" fontId="5" fillId="0" borderId="0" xfId="17" applyFont="1">
      <alignment/>
      <protection/>
    </xf>
    <xf numFmtId="0" fontId="5" fillId="0" borderId="0" xfId="17" applyFont="1" applyFill="1">
      <alignment/>
      <protection/>
    </xf>
    <xf numFmtId="0" fontId="8" fillId="0" borderId="5" xfId="17" applyFont="1" applyBorder="1" applyAlignment="1">
      <alignment horizontal="center" vertical="center" wrapText="1"/>
      <protection/>
    </xf>
    <xf numFmtId="3" fontId="10" fillId="0" borderId="5" xfId="17" applyNumberFormat="1" applyFont="1" applyBorder="1" applyAlignment="1">
      <alignment horizontal="center" vertical="center" wrapText="1"/>
      <protection/>
    </xf>
    <xf numFmtId="0" fontId="10" fillId="0" borderId="3" xfId="17" applyFont="1" applyBorder="1" applyAlignment="1">
      <alignment horizontal="center" vertical="center" wrapText="1"/>
      <protection/>
    </xf>
    <xf numFmtId="0" fontId="10" fillId="0" borderId="2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/>
      <protection/>
    </xf>
    <xf numFmtId="0" fontId="8" fillId="0" borderId="7" xfId="17" applyFont="1" applyBorder="1" applyAlignment="1">
      <alignment horizontal="center" vertical="center" wrapText="1"/>
      <protection/>
    </xf>
    <xf numFmtId="3" fontId="10" fillId="0" borderId="7" xfId="17" applyNumberFormat="1" applyFont="1" applyBorder="1" applyAlignment="1">
      <alignment horizontal="center" vertical="center" wrapText="1"/>
      <protection/>
    </xf>
    <xf numFmtId="0" fontId="6" fillId="0" borderId="7" xfId="17" applyFont="1" applyBorder="1" applyAlignment="1">
      <alignment horizontal="center"/>
      <protection/>
    </xf>
    <xf numFmtId="0" fontId="5" fillId="0" borderId="1" xfId="17" applyFont="1" applyBorder="1">
      <alignment/>
      <protection/>
    </xf>
    <xf numFmtId="0" fontId="6" fillId="0" borderId="1" xfId="17" applyFont="1" applyBorder="1">
      <alignment/>
      <protection/>
    </xf>
    <xf numFmtId="3" fontId="8" fillId="0" borderId="1" xfId="17" applyNumberFormat="1" applyFont="1" applyFill="1" applyBorder="1" applyAlignment="1">
      <alignment wrapText="1"/>
      <protection/>
    </xf>
    <xf numFmtId="1" fontId="8" fillId="0" borderId="1" xfId="17" applyNumberFormat="1" applyFont="1" applyFill="1" applyBorder="1" applyAlignment="1">
      <alignment wrapText="1"/>
      <protection/>
    </xf>
    <xf numFmtId="3" fontId="5" fillId="0" borderId="1" xfId="17" applyNumberFormat="1" applyFont="1" applyFill="1" applyBorder="1">
      <alignment/>
      <protection/>
    </xf>
    <xf numFmtId="2" fontId="10" fillId="0" borderId="1" xfId="17" applyNumberFormat="1" applyFont="1" applyFill="1" applyBorder="1" applyAlignment="1">
      <alignment wrapText="1"/>
      <protection/>
    </xf>
    <xf numFmtId="3" fontId="6" fillId="0" borderId="1" xfId="17" applyNumberFormat="1" applyFont="1" applyFill="1" applyBorder="1">
      <alignment/>
      <protection/>
    </xf>
    <xf numFmtId="1" fontId="10" fillId="0" borderId="1" xfId="17" applyNumberFormat="1" applyFont="1" applyFill="1" applyBorder="1" applyAlignment="1">
      <alignment wrapText="1"/>
      <protection/>
    </xf>
    <xf numFmtId="0" fontId="6" fillId="0" borderId="0" xfId="17" applyFont="1">
      <alignment/>
      <protection/>
    </xf>
    <xf numFmtId="3" fontId="6" fillId="0" borderId="3" xfId="17" applyNumberFormat="1" applyFont="1" applyBorder="1" applyAlignment="1">
      <alignment horizontal="center"/>
      <protection/>
    </xf>
    <xf numFmtId="2" fontId="5" fillId="0" borderId="1" xfId="17" applyNumberFormat="1" applyFont="1" applyBorder="1" applyAlignment="1">
      <alignment horizontal="right"/>
      <protection/>
    </xf>
    <xf numFmtId="2" fontId="5" fillId="0" borderId="1" xfId="17" applyNumberFormat="1" applyFont="1" applyFill="1" applyBorder="1" applyAlignment="1">
      <alignment horizontal="right"/>
      <protection/>
    </xf>
    <xf numFmtId="0" fontId="6" fillId="0" borderId="1" xfId="17" applyFont="1" applyBorder="1" applyAlignment="1">
      <alignment horizontal="center"/>
      <protection/>
    </xf>
    <xf numFmtId="3" fontId="6" fillId="0" borderId="3" xfId="17" applyNumberFormat="1" applyFont="1" applyBorder="1" applyAlignment="1">
      <alignment horizontal="center"/>
      <protection/>
    </xf>
    <xf numFmtId="3" fontId="6" fillId="0" borderId="4" xfId="17" applyNumberFormat="1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11" fillId="0" borderId="0" xfId="17" applyFont="1" applyAlignment="1">
      <alignment horizontal="center"/>
      <protection/>
    </xf>
    <xf numFmtId="3" fontId="10" fillId="0" borderId="1" xfId="17" applyNumberFormat="1" applyFont="1" applyBorder="1" applyAlignment="1">
      <alignment horizontal="centerContinuous"/>
      <protection/>
    </xf>
    <xf numFmtId="3" fontId="10" fillId="0" borderId="3" xfId="17" applyNumberFormat="1" applyFont="1" applyBorder="1" applyAlignment="1">
      <alignment horizontal="center"/>
      <protection/>
    </xf>
    <xf numFmtId="3" fontId="10" fillId="0" borderId="4" xfId="17" applyNumberFormat="1" applyFont="1" applyBorder="1" applyAlignment="1">
      <alignment horizontal="center"/>
      <protection/>
    </xf>
    <xf numFmtId="3" fontId="10" fillId="0" borderId="2" xfId="17" applyNumberFormat="1" applyFont="1" applyBorder="1" applyAlignment="1">
      <alignment horizontal="center"/>
      <protection/>
    </xf>
    <xf numFmtId="3" fontId="10" fillId="0" borderId="6" xfId="17" applyNumberFormat="1" applyFont="1" applyBorder="1" applyAlignment="1">
      <alignment horizontal="center"/>
      <protection/>
    </xf>
    <xf numFmtId="3" fontId="10" fillId="0" borderId="12" xfId="17" applyNumberFormat="1" applyFont="1" applyBorder="1" applyAlignment="1">
      <alignment horizontal="center"/>
      <protection/>
    </xf>
    <xf numFmtId="3" fontId="10" fillId="0" borderId="10" xfId="17" applyNumberFormat="1" applyFont="1" applyBorder="1" applyAlignment="1">
      <alignment horizontal="center"/>
      <protection/>
    </xf>
    <xf numFmtId="3" fontId="10" fillId="0" borderId="1" xfId="17" applyNumberFormat="1" applyFont="1" applyBorder="1" applyAlignment="1">
      <alignment horizontal="center"/>
      <protection/>
    </xf>
    <xf numFmtId="3" fontId="10" fillId="0" borderId="1" xfId="17" applyNumberFormat="1" applyFont="1" applyBorder="1" applyAlignment="1">
      <alignment horizontal="center"/>
      <protection/>
    </xf>
    <xf numFmtId="3" fontId="10" fillId="0" borderId="8" xfId="17" applyNumberFormat="1" applyFont="1" applyBorder="1" applyAlignment="1">
      <alignment horizontal="center"/>
      <protection/>
    </xf>
    <xf numFmtId="3" fontId="10" fillId="0" borderId="9" xfId="17" applyNumberFormat="1" applyFont="1" applyBorder="1" applyAlignment="1">
      <alignment horizontal="center"/>
      <protection/>
    </xf>
    <xf numFmtId="3" fontId="10" fillId="0" borderId="13" xfId="17" applyNumberFormat="1" applyFont="1" applyBorder="1" applyAlignment="1">
      <alignment horizontal="center"/>
      <protection/>
    </xf>
    <xf numFmtId="3" fontId="10" fillId="0" borderId="1" xfId="17" applyNumberFormat="1" applyFont="1" applyBorder="1">
      <alignment/>
      <protection/>
    </xf>
    <xf numFmtId="3" fontId="6" fillId="0" borderId="1" xfId="17" applyNumberFormat="1" applyFont="1" applyBorder="1">
      <alignment/>
      <protection/>
    </xf>
    <xf numFmtId="167" fontId="8" fillId="0" borderId="1" xfId="17" applyNumberFormat="1" applyFont="1" applyBorder="1">
      <alignment/>
      <protection/>
    </xf>
    <xf numFmtId="167" fontId="8" fillId="0" borderId="1" xfId="17" applyNumberFormat="1" applyFont="1" applyBorder="1" applyAlignment="1">
      <alignment wrapText="1"/>
      <protection/>
    </xf>
    <xf numFmtId="0" fontId="5" fillId="0" borderId="1" xfId="17" applyFont="1" applyBorder="1" applyAlignment="1">
      <alignment wrapText="1"/>
      <protection/>
    </xf>
    <xf numFmtId="0" fontId="5" fillId="0" borderId="0" xfId="17" applyFont="1" applyAlignment="1">
      <alignment wrapText="1"/>
      <protection/>
    </xf>
    <xf numFmtId="1" fontId="5" fillId="0" borderId="1" xfId="17" applyNumberFormat="1" applyFont="1" applyBorder="1" applyAlignment="1">
      <alignment horizontal="right"/>
      <protection/>
    </xf>
    <xf numFmtId="4" fontId="5" fillId="0" borderId="1" xfId="17" applyNumberFormat="1" applyFont="1" applyBorder="1" applyAlignment="1">
      <alignment horizontal="right"/>
      <protection/>
    </xf>
    <xf numFmtId="167" fontId="5" fillId="0" borderId="1" xfId="17" applyNumberFormat="1" applyFont="1" applyBorder="1" applyAlignment="1">
      <alignment horizontal="right"/>
      <protection/>
    </xf>
    <xf numFmtId="167" fontId="5" fillId="0" borderId="1" xfId="17" applyNumberFormat="1" applyFont="1" applyBorder="1">
      <alignment/>
      <protection/>
    </xf>
    <xf numFmtId="167" fontId="6" fillId="0" borderId="1" xfId="17" applyNumberFormat="1" applyFont="1" applyBorder="1">
      <alignment/>
      <protection/>
    </xf>
    <xf numFmtId="1" fontId="5" fillId="0" borderId="1" xfId="17" applyNumberFormat="1" applyFont="1" applyFill="1" applyBorder="1" applyAlignment="1">
      <alignment horizontal="right"/>
      <protection/>
    </xf>
    <xf numFmtId="4" fontId="5" fillId="0" borderId="1" xfId="17" applyNumberFormat="1" applyFont="1" applyFill="1" applyBorder="1" applyAlignment="1">
      <alignment horizontal="right"/>
      <protection/>
    </xf>
    <xf numFmtId="167" fontId="5" fillId="0" borderId="1" xfId="17" applyNumberFormat="1" applyFont="1" applyFill="1" applyBorder="1" applyAlignment="1">
      <alignment horizontal="right"/>
      <protection/>
    </xf>
    <xf numFmtId="0" fontId="8" fillId="0" borderId="1" xfId="17" applyFont="1" applyBorder="1">
      <alignment/>
      <protection/>
    </xf>
    <xf numFmtId="2" fontId="6" fillId="0" borderId="1" xfId="15" applyNumberFormat="1" applyFont="1" applyBorder="1" applyAlignment="1">
      <alignment horizontal="right"/>
    </xf>
    <xf numFmtId="179" fontId="6" fillId="0" borderId="1" xfId="15" applyNumberFormat="1" applyFont="1" applyBorder="1" applyAlignment="1">
      <alignment horizontal="right"/>
    </xf>
    <xf numFmtId="167" fontId="6" fillId="0" borderId="1" xfId="17" applyNumberFormat="1" applyFont="1" applyBorder="1" applyAlignment="1">
      <alignment horizontal="right"/>
      <protection/>
    </xf>
    <xf numFmtId="43" fontId="5" fillId="0" borderId="0" xfId="17" applyNumberFormat="1" applyFont="1">
      <alignment/>
      <protection/>
    </xf>
    <xf numFmtId="0" fontId="6" fillId="0" borderId="5" xfId="17" applyFont="1" applyBorder="1">
      <alignment/>
      <protection/>
    </xf>
    <xf numFmtId="0" fontId="6" fillId="0" borderId="7" xfId="17" applyFont="1" applyBorder="1">
      <alignment/>
      <protection/>
    </xf>
    <xf numFmtId="3" fontId="10" fillId="0" borderId="5" xfId="17" applyNumberFormat="1" applyFont="1" applyBorder="1" applyAlignment="1">
      <alignment horizontal="center" wrapText="1"/>
      <protection/>
    </xf>
    <xf numFmtId="3" fontId="10" fillId="0" borderId="7" xfId="17" applyNumberFormat="1" applyFont="1" applyBorder="1" applyAlignment="1">
      <alignment horizontal="center" wrapText="1"/>
      <protection/>
    </xf>
    <xf numFmtId="4" fontId="6" fillId="0" borderId="1" xfId="17" applyNumberFormat="1" applyFont="1" applyBorder="1" applyAlignment="1">
      <alignment horizontal="right"/>
      <protection/>
    </xf>
    <xf numFmtId="3" fontId="10" fillId="0" borderId="5" xfId="17" applyNumberFormat="1" applyFont="1" applyBorder="1" applyAlignment="1">
      <alignment horizontal="center"/>
      <protection/>
    </xf>
    <xf numFmtId="3" fontId="10" fillId="0" borderId="7" xfId="17" applyNumberFormat="1" applyFont="1" applyBorder="1" applyAlignment="1">
      <alignment horizontal="center"/>
      <protection/>
    </xf>
    <xf numFmtId="3" fontId="8" fillId="0" borderId="5" xfId="17" applyNumberFormat="1" applyFont="1" applyBorder="1" applyAlignment="1">
      <alignment horizontal="center" wrapText="1"/>
      <protection/>
    </xf>
    <xf numFmtId="3" fontId="8" fillId="0" borderId="7" xfId="17" applyNumberFormat="1" applyFont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Normalny_sprawozdanie półroczne 2013  przedszkola" xfId="17"/>
    <cellStyle name="Normalny_sprawozdanie półroczne 2013 powiat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339"/>
  <sheetViews>
    <sheetView workbookViewId="0" topLeftCell="A1">
      <pane xSplit="2" ySplit="6" topLeftCell="C32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:S3"/>
    </sheetView>
  </sheetViews>
  <sheetFormatPr defaultColWidth="9.00390625" defaultRowHeight="12.75"/>
  <cols>
    <col min="1" max="1" width="12.375" style="1" customWidth="1"/>
    <col min="2" max="2" width="5.00390625" style="1" hidden="1" customWidth="1"/>
    <col min="3" max="3" width="7.875" style="1" customWidth="1"/>
    <col min="4" max="4" width="7.75390625" style="1" customWidth="1"/>
    <col min="5" max="5" width="10.00390625" style="2" customWidth="1"/>
    <col min="6" max="6" width="10.00390625" style="3" bestFit="1" customWidth="1"/>
    <col min="7" max="7" width="5.375" style="1" customWidth="1"/>
    <col min="8" max="8" width="9.875" style="1" customWidth="1"/>
    <col min="9" max="9" width="10.00390625" style="4" customWidth="1"/>
    <col min="10" max="10" width="5.125" style="4" customWidth="1"/>
    <col min="11" max="11" width="9.375" style="1" customWidth="1"/>
    <col min="12" max="12" width="9.875" style="1" customWidth="1"/>
    <col min="13" max="13" width="9.125" style="2" customWidth="1"/>
    <col min="14" max="14" width="8.625" style="1" customWidth="1"/>
    <col min="15" max="15" width="5.125" style="1" customWidth="1"/>
    <col min="16" max="16" width="7.25390625" style="1" customWidth="1"/>
    <col min="17" max="17" width="8.625" style="1" customWidth="1"/>
    <col min="18" max="19" width="6.375" style="1" bestFit="1" customWidth="1"/>
    <col min="20" max="16384" width="9.125" style="1" customWidth="1"/>
  </cols>
  <sheetData>
    <row r="1" ht="11.25">
      <c r="S1" s="86" t="s">
        <v>196</v>
      </c>
    </row>
    <row r="2" spans="1:19" ht="20.25" customHeight="1">
      <c r="A2" s="102" t="s">
        <v>195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43" customFormat="1" ht="21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9" ht="15" customHeight="1">
      <c r="A4" s="5"/>
      <c r="H4" s="2"/>
      <c r="I4" s="96"/>
    </row>
    <row r="5" spans="1:19" s="47" customFormat="1" ht="11.25">
      <c r="A5" s="44" t="s">
        <v>0</v>
      </c>
      <c r="B5" s="44" t="s">
        <v>1</v>
      </c>
      <c r="C5" s="44" t="s">
        <v>2</v>
      </c>
      <c r="D5" s="44" t="s">
        <v>3</v>
      </c>
      <c r="E5" s="45" t="s">
        <v>4</v>
      </c>
      <c r="F5" s="45" t="s">
        <v>5</v>
      </c>
      <c r="G5" s="44" t="s">
        <v>6</v>
      </c>
      <c r="H5" s="46">
        <v>4010</v>
      </c>
      <c r="I5" s="97" t="s">
        <v>198</v>
      </c>
      <c r="J5" s="98" t="s">
        <v>6</v>
      </c>
      <c r="K5" s="99" t="s">
        <v>199</v>
      </c>
      <c r="L5" s="100"/>
      <c r="M5" s="100"/>
      <c r="N5" s="100"/>
      <c r="O5" s="100"/>
      <c r="P5" s="100"/>
      <c r="Q5" s="100"/>
      <c r="R5" s="100"/>
      <c r="S5" s="101"/>
    </row>
    <row r="6" spans="1:19" s="47" customFormat="1" ht="11.25">
      <c r="A6" s="48" t="s">
        <v>15</v>
      </c>
      <c r="B6" s="48" t="s">
        <v>16</v>
      </c>
      <c r="C6" s="48" t="s">
        <v>17</v>
      </c>
      <c r="D6" s="48" t="s">
        <v>18</v>
      </c>
      <c r="E6" s="49" t="s">
        <v>19</v>
      </c>
      <c r="F6" s="49" t="s">
        <v>19</v>
      </c>
      <c r="G6" s="48" t="s">
        <v>20</v>
      </c>
      <c r="H6" s="87" t="s">
        <v>21</v>
      </c>
      <c r="I6" s="97">
        <v>4010</v>
      </c>
      <c r="J6" s="98" t="s">
        <v>6</v>
      </c>
      <c r="K6" s="44" t="s">
        <v>7</v>
      </c>
      <c r="L6" s="44" t="s">
        <v>8</v>
      </c>
      <c r="M6" s="44" t="s">
        <v>9</v>
      </c>
      <c r="N6" s="46" t="s">
        <v>10</v>
      </c>
      <c r="O6" s="98" t="s">
        <v>6</v>
      </c>
      <c r="P6" s="44" t="s">
        <v>11</v>
      </c>
      <c r="Q6" s="44" t="s">
        <v>12</v>
      </c>
      <c r="R6" s="44" t="s">
        <v>13</v>
      </c>
      <c r="S6" s="44" t="s">
        <v>14</v>
      </c>
    </row>
    <row r="7" spans="1:19" ht="11.25">
      <c r="A7" s="50" t="s">
        <v>22</v>
      </c>
      <c r="B7" s="51">
        <v>6</v>
      </c>
      <c r="C7" s="52">
        <v>708</v>
      </c>
      <c r="D7" s="52">
        <f aca="true" t="shared" si="0" ref="D7:D38">F7/6/C7</f>
        <v>528.2599693973635</v>
      </c>
      <c r="E7" s="33">
        <f>3963412+20000</f>
        <v>3983412</v>
      </c>
      <c r="F7" s="33">
        <v>2244048.35</v>
      </c>
      <c r="G7" s="53">
        <v>56.33482928705341</v>
      </c>
      <c r="H7" s="88">
        <v>2695602</v>
      </c>
      <c r="I7" s="54">
        <v>1422853.34</v>
      </c>
      <c r="J7" s="93">
        <v>52.78425153268176</v>
      </c>
      <c r="K7" s="54">
        <v>231717.03</v>
      </c>
      <c r="L7" s="54">
        <v>275392.61</v>
      </c>
      <c r="M7" s="33">
        <v>30561.67</v>
      </c>
      <c r="N7" s="54">
        <v>117340.68</v>
      </c>
      <c r="O7" s="53">
        <v>68.62028070175438</v>
      </c>
      <c r="P7" s="54">
        <v>1451.16</v>
      </c>
      <c r="Q7" s="54">
        <v>126144</v>
      </c>
      <c r="R7" s="54"/>
      <c r="S7" s="54"/>
    </row>
    <row r="8" spans="1:19" ht="11.25">
      <c r="A8" s="50" t="s">
        <v>23</v>
      </c>
      <c r="B8" s="51">
        <v>8</v>
      </c>
      <c r="C8" s="52">
        <v>235</v>
      </c>
      <c r="D8" s="52">
        <f t="shared" si="0"/>
        <v>856.4115248226951</v>
      </c>
      <c r="E8" s="33">
        <v>2386046</v>
      </c>
      <c r="F8" s="33">
        <v>1207540.25</v>
      </c>
      <c r="G8" s="53">
        <v>50.60842288874565</v>
      </c>
      <c r="H8" s="88">
        <v>1429830</v>
      </c>
      <c r="I8" s="54">
        <v>764594.82</v>
      </c>
      <c r="J8" s="93">
        <v>53.474526342292435</v>
      </c>
      <c r="K8" s="54">
        <v>113404.85</v>
      </c>
      <c r="L8" s="54">
        <v>122066.37</v>
      </c>
      <c r="M8" s="33">
        <v>16601.86</v>
      </c>
      <c r="N8" s="54">
        <v>89872.36</v>
      </c>
      <c r="O8" s="53">
        <v>59.91490666666667</v>
      </c>
      <c r="P8" s="54"/>
      <c r="Q8" s="54">
        <v>75538</v>
      </c>
      <c r="R8" s="54">
        <v>0</v>
      </c>
      <c r="S8" s="54"/>
    </row>
    <row r="9" spans="1:19" ht="11.25">
      <c r="A9" s="50" t="s">
        <v>24</v>
      </c>
      <c r="B9" s="51">
        <v>10</v>
      </c>
      <c r="C9" s="52">
        <v>423</v>
      </c>
      <c r="D9" s="52">
        <f t="shared" si="0"/>
        <v>978.1776122931441</v>
      </c>
      <c r="E9" s="33">
        <f>4335764+45000</f>
        <v>4380764</v>
      </c>
      <c r="F9" s="33">
        <v>2482614.78</v>
      </c>
      <c r="G9" s="53">
        <v>56.67081769298689</v>
      </c>
      <c r="H9" s="88">
        <v>2973185</v>
      </c>
      <c r="I9" s="54">
        <v>1586764.24</v>
      </c>
      <c r="J9" s="93">
        <v>53.36917278944969</v>
      </c>
      <c r="K9" s="54">
        <v>248791.86</v>
      </c>
      <c r="L9" s="54">
        <v>305528.36</v>
      </c>
      <c r="M9" s="33">
        <v>39152.74</v>
      </c>
      <c r="N9" s="54">
        <v>99588.11</v>
      </c>
      <c r="O9" s="53">
        <v>67.56316824966079</v>
      </c>
      <c r="P9" s="54">
        <v>29962.8</v>
      </c>
      <c r="Q9" s="54">
        <v>136279.9</v>
      </c>
      <c r="R9" s="54"/>
      <c r="S9" s="54"/>
    </row>
    <row r="10" spans="1:19" ht="11.25">
      <c r="A10" s="50" t="s">
        <v>25</v>
      </c>
      <c r="B10" s="51">
        <v>11</v>
      </c>
      <c r="C10" s="52">
        <v>191</v>
      </c>
      <c r="D10" s="52">
        <f t="shared" si="0"/>
        <v>763.4315706806283</v>
      </c>
      <c r="E10" s="33">
        <f>1522707+30000</f>
        <v>1552707</v>
      </c>
      <c r="F10" s="33">
        <v>874892.58</v>
      </c>
      <c r="G10" s="53">
        <v>56.34627653510933</v>
      </c>
      <c r="H10" s="88">
        <v>978150</v>
      </c>
      <c r="I10" s="54">
        <v>541537.71</v>
      </c>
      <c r="J10" s="93">
        <v>55.36346265910136</v>
      </c>
      <c r="K10" s="54">
        <v>80851</v>
      </c>
      <c r="L10" s="54">
        <v>106477.77</v>
      </c>
      <c r="M10" s="33">
        <v>12975.16</v>
      </c>
      <c r="N10" s="54">
        <v>70559.91</v>
      </c>
      <c r="O10" s="53">
        <v>57.42647513632294</v>
      </c>
      <c r="P10" s="54">
        <v>0</v>
      </c>
      <c r="Q10" s="54">
        <v>42303</v>
      </c>
      <c r="R10" s="54"/>
      <c r="S10" s="54"/>
    </row>
    <row r="11" spans="1:19" ht="11.25">
      <c r="A11" s="50" t="s">
        <v>26</v>
      </c>
      <c r="B11" s="51">
        <v>12</v>
      </c>
      <c r="C11" s="52">
        <v>490</v>
      </c>
      <c r="D11" s="52">
        <f t="shared" si="0"/>
        <v>611.872306122449</v>
      </c>
      <c r="E11" s="33">
        <f>3099536+40000</f>
        <v>3139536</v>
      </c>
      <c r="F11" s="33">
        <v>1798904.58</v>
      </c>
      <c r="G11" s="53">
        <v>57.29842180500558</v>
      </c>
      <c r="H11" s="88">
        <v>1992159</v>
      </c>
      <c r="I11" s="54">
        <v>1099205.91</v>
      </c>
      <c r="J11" s="93">
        <v>55.17661542075707</v>
      </c>
      <c r="K11" s="54">
        <v>168858.72</v>
      </c>
      <c r="L11" s="54">
        <v>205679.92</v>
      </c>
      <c r="M11" s="33">
        <v>23604.3</v>
      </c>
      <c r="N11" s="54">
        <v>106123.32</v>
      </c>
      <c r="O11" s="53">
        <v>73.94322742474917</v>
      </c>
      <c r="P11" s="54">
        <v>46218.43</v>
      </c>
      <c r="Q11" s="54">
        <v>101109</v>
      </c>
      <c r="R11" s="54">
        <v>0</v>
      </c>
      <c r="S11" s="54"/>
    </row>
    <row r="12" spans="1:19" ht="11.25">
      <c r="A12" s="50" t="s">
        <v>27</v>
      </c>
      <c r="B12" s="51">
        <v>13</v>
      </c>
      <c r="C12" s="52">
        <v>265</v>
      </c>
      <c r="D12" s="52">
        <f t="shared" si="0"/>
        <v>943.7495723270441</v>
      </c>
      <c r="E12" s="33">
        <f>2626253+30000</f>
        <v>2656253</v>
      </c>
      <c r="F12" s="33">
        <v>1500561.82</v>
      </c>
      <c r="G12" s="53">
        <v>56.49167530351966</v>
      </c>
      <c r="H12" s="88">
        <v>1727645</v>
      </c>
      <c r="I12" s="54">
        <v>936213.56</v>
      </c>
      <c r="J12" s="93">
        <v>54.190158279044596</v>
      </c>
      <c r="K12" s="54">
        <v>140417.38</v>
      </c>
      <c r="L12" s="54">
        <v>175532.89</v>
      </c>
      <c r="M12" s="33">
        <v>20234.57</v>
      </c>
      <c r="N12" s="54">
        <v>118686.34</v>
      </c>
      <c r="O12" s="53">
        <v>62.76047802866057</v>
      </c>
      <c r="P12" s="54">
        <v>10587.26</v>
      </c>
      <c r="Q12" s="54">
        <v>76406</v>
      </c>
      <c r="R12" s="54"/>
      <c r="S12" s="54"/>
    </row>
    <row r="13" spans="1:19" ht="11.25">
      <c r="A13" s="50" t="s">
        <v>28</v>
      </c>
      <c r="B13" s="51">
        <v>14</v>
      </c>
      <c r="C13" s="52">
        <v>155</v>
      </c>
      <c r="D13" s="52">
        <f t="shared" si="0"/>
        <v>976.5106774193548</v>
      </c>
      <c r="E13" s="33">
        <v>1573481</v>
      </c>
      <c r="F13" s="33">
        <v>908154.93</v>
      </c>
      <c r="G13" s="53">
        <v>57.716294635905996</v>
      </c>
      <c r="H13" s="88">
        <v>958823</v>
      </c>
      <c r="I13" s="54">
        <v>518329.5</v>
      </c>
      <c r="J13" s="93">
        <v>54.058934756467046</v>
      </c>
      <c r="K13" s="54">
        <v>73847.34</v>
      </c>
      <c r="L13" s="54">
        <v>99258.28</v>
      </c>
      <c r="M13" s="33">
        <v>11740.9</v>
      </c>
      <c r="N13" s="54">
        <v>120271.87</v>
      </c>
      <c r="O13" s="53">
        <v>67.37919887955182</v>
      </c>
      <c r="P13" s="54">
        <v>1722</v>
      </c>
      <c r="Q13" s="54">
        <v>47147</v>
      </c>
      <c r="R13" s="54"/>
      <c r="S13" s="54"/>
    </row>
    <row r="14" spans="1:19" ht="11.25">
      <c r="A14" s="50" t="s">
        <v>29</v>
      </c>
      <c r="B14" s="51">
        <v>16</v>
      </c>
      <c r="C14" s="52">
        <v>354</v>
      </c>
      <c r="D14" s="52">
        <f t="shared" si="0"/>
        <v>769.4448964218456</v>
      </c>
      <c r="E14" s="33">
        <v>2811289</v>
      </c>
      <c r="F14" s="33">
        <v>1634300.96</v>
      </c>
      <c r="G14" s="53">
        <v>58.13350957514507</v>
      </c>
      <c r="H14" s="88">
        <v>1839230</v>
      </c>
      <c r="I14" s="54">
        <v>1023479.12</v>
      </c>
      <c r="J14" s="93">
        <v>55.647152340925274</v>
      </c>
      <c r="K14" s="54">
        <v>158092.84</v>
      </c>
      <c r="L14" s="54">
        <v>196338.46</v>
      </c>
      <c r="M14" s="33">
        <v>22469.86</v>
      </c>
      <c r="N14" s="54">
        <v>99418.34</v>
      </c>
      <c r="O14" s="53">
        <v>54.41616858237548</v>
      </c>
      <c r="P14" s="54">
        <v>13577.95</v>
      </c>
      <c r="Q14" s="54">
        <v>91930.5</v>
      </c>
      <c r="R14" s="54"/>
      <c r="S14" s="54"/>
    </row>
    <row r="15" spans="1:19" ht="11.25">
      <c r="A15" s="50" t="s">
        <v>30</v>
      </c>
      <c r="B15" s="51">
        <v>17</v>
      </c>
      <c r="C15" s="52">
        <v>413</v>
      </c>
      <c r="D15" s="52">
        <f t="shared" si="0"/>
        <v>624.3583333333333</v>
      </c>
      <c r="E15" s="33">
        <v>2779223</v>
      </c>
      <c r="F15" s="33">
        <v>1547159.95</v>
      </c>
      <c r="G15" s="53">
        <v>55.66879483942094</v>
      </c>
      <c r="H15" s="88">
        <v>1854248</v>
      </c>
      <c r="I15" s="54">
        <v>969107.72</v>
      </c>
      <c r="J15" s="93">
        <v>52.26419119772544</v>
      </c>
      <c r="K15" s="54">
        <v>157534.22</v>
      </c>
      <c r="L15" s="54">
        <v>189950.84</v>
      </c>
      <c r="M15" s="33">
        <v>20234.13</v>
      </c>
      <c r="N15" s="54">
        <v>95667.78</v>
      </c>
      <c r="O15" s="53">
        <v>56.975629801679474</v>
      </c>
      <c r="P15" s="54">
        <v>4096.04</v>
      </c>
      <c r="Q15" s="54">
        <v>82591</v>
      </c>
      <c r="R15" s="54"/>
      <c r="S15" s="54"/>
    </row>
    <row r="16" spans="1:19" ht="11.25">
      <c r="A16" s="50" t="s">
        <v>31</v>
      </c>
      <c r="B16" s="51">
        <v>18</v>
      </c>
      <c r="C16" s="52">
        <v>750</v>
      </c>
      <c r="D16" s="52">
        <f t="shared" si="0"/>
        <v>550.2875311111112</v>
      </c>
      <c r="E16" s="33">
        <f>4480792+70000</f>
        <v>4550792</v>
      </c>
      <c r="F16" s="33">
        <v>2476293.89</v>
      </c>
      <c r="G16" s="53">
        <v>54.41456981553981</v>
      </c>
      <c r="H16" s="88">
        <v>3093526</v>
      </c>
      <c r="I16" s="54">
        <v>1585279.31</v>
      </c>
      <c r="J16" s="93">
        <v>51.24506178386734</v>
      </c>
      <c r="K16" s="54">
        <v>238663.4</v>
      </c>
      <c r="L16" s="54">
        <v>305369.56</v>
      </c>
      <c r="M16" s="33">
        <v>33481.75</v>
      </c>
      <c r="N16" s="54">
        <v>123675.07</v>
      </c>
      <c r="O16" s="53">
        <v>74.19020395920816</v>
      </c>
      <c r="P16" s="54">
        <v>8505.45</v>
      </c>
      <c r="Q16" s="54">
        <v>131581</v>
      </c>
      <c r="R16" s="54"/>
      <c r="S16" s="54"/>
    </row>
    <row r="17" spans="1:19" ht="11.25">
      <c r="A17" s="50" t="s">
        <v>32</v>
      </c>
      <c r="B17" s="51">
        <v>20</v>
      </c>
      <c r="C17" s="52">
        <v>540</v>
      </c>
      <c r="D17" s="52">
        <f t="shared" si="0"/>
        <v>545.5703611111111</v>
      </c>
      <c r="E17" s="33">
        <f>3026246+50000</f>
        <v>3076246</v>
      </c>
      <c r="F17" s="33">
        <v>1767647.97</v>
      </c>
      <c r="G17" s="53">
        <v>57.461203362799985</v>
      </c>
      <c r="H17" s="88">
        <v>2017446</v>
      </c>
      <c r="I17" s="54">
        <v>1120611.13</v>
      </c>
      <c r="J17" s="93">
        <v>55.546028493451615</v>
      </c>
      <c r="K17" s="54">
        <v>163489.67</v>
      </c>
      <c r="L17" s="54">
        <v>219610.28</v>
      </c>
      <c r="M17" s="33">
        <v>23617.88</v>
      </c>
      <c r="N17" s="54">
        <v>76977.2</v>
      </c>
      <c r="O17" s="53">
        <v>71.03707941898452</v>
      </c>
      <c r="P17" s="54">
        <v>10494.99</v>
      </c>
      <c r="Q17" s="54">
        <v>102640</v>
      </c>
      <c r="R17" s="54"/>
      <c r="S17" s="54"/>
    </row>
    <row r="18" spans="1:19" ht="11.25">
      <c r="A18" s="50" t="s">
        <v>33</v>
      </c>
      <c r="B18" s="51">
        <v>21</v>
      </c>
      <c r="C18" s="52">
        <v>426</v>
      </c>
      <c r="D18" s="52">
        <f t="shared" si="0"/>
        <v>682.0504577464789</v>
      </c>
      <c r="E18" s="33">
        <f>3075759+45000</f>
        <v>3120759</v>
      </c>
      <c r="F18" s="33">
        <v>1743320.97</v>
      </c>
      <c r="G18" s="53">
        <v>55.8620825895239</v>
      </c>
      <c r="H18" s="88">
        <v>2046322</v>
      </c>
      <c r="I18" s="54">
        <v>1083166.7</v>
      </c>
      <c r="J18" s="93">
        <v>52.93236841513701</v>
      </c>
      <c r="K18" s="54">
        <v>169088.01</v>
      </c>
      <c r="L18" s="54">
        <v>193992.08</v>
      </c>
      <c r="M18" s="33">
        <v>22748.1</v>
      </c>
      <c r="N18" s="54">
        <v>128012.74</v>
      </c>
      <c r="O18" s="53">
        <v>65.86101621666118</v>
      </c>
      <c r="P18" s="54">
        <v>2709.63</v>
      </c>
      <c r="Q18" s="54">
        <v>102401</v>
      </c>
      <c r="R18" s="54"/>
      <c r="S18" s="54"/>
    </row>
    <row r="19" spans="1:19" ht="11.25">
      <c r="A19" s="50" t="s">
        <v>34</v>
      </c>
      <c r="B19" s="51">
        <v>23</v>
      </c>
      <c r="C19" s="52">
        <v>254</v>
      </c>
      <c r="D19" s="52">
        <f t="shared" si="0"/>
        <v>1101.8246587926508</v>
      </c>
      <c r="E19" s="33">
        <f>2688852+35000</f>
        <v>2723852</v>
      </c>
      <c r="F19" s="33">
        <v>1679180.78</v>
      </c>
      <c r="G19" s="53">
        <v>61.64728406682889</v>
      </c>
      <c r="H19" s="88">
        <v>1783461</v>
      </c>
      <c r="I19" s="54">
        <v>1025393.14</v>
      </c>
      <c r="J19" s="93">
        <v>57.49456478162405</v>
      </c>
      <c r="K19" s="54">
        <v>154090.51</v>
      </c>
      <c r="L19" s="54">
        <v>196125.32</v>
      </c>
      <c r="M19" s="33">
        <v>19782.57</v>
      </c>
      <c r="N19" s="54">
        <v>128908.66</v>
      </c>
      <c r="O19" s="53">
        <v>79.7208781694496</v>
      </c>
      <c r="P19" s="54">
        <v>34987.47</v>
      </c>
      <c r="Q19" s="54">
        <v>87969</v>
      </c>
      <c r="R19" s="54"/>
      <c r="S19" s="54"/>
    </row>
    <row r="20" spans="1:19" ht="11.25">
      <c r="A20" s="50" t="s">
        <v>35</v>
      </c>
      <c r="B20" s="51">
        <v>26</v>
      </c>
      <c r="C20" s="52">
        <v>215</v>
      </c>
      <c r="D20" s="52">
        <f t="shared" si="0"/>
        <v>973.5871085271319</v>
      </c>
      <c r="E20" s="33">
        <f>2169303+35000</f>
        <v>2204303</v>
      </c>
      <c r="F20" s="33">
        <v>1255927.37</v>
      </c>
      <c r="G20" s="53">
        <v>56.976167523248854</v>
      </c>
      <c r="H20" s="88">
        <v>1428164</v>
      </c>
      <c r="I20" s="54">
        <v>756905.99</v>
      </c>
      <c r="J20" s="93">
        <v>52.99853448203427</v>
      </c>
      <c r="K20" s="54">
        <v>120069.81</v>
      </c>
      <c r="L20" s="54">
        <v>148000.08</v>
      </c>
      <c r="M20" s="33">
        <v>16268.59</v>
      </c>
      <c r="N20" s="54">
        <v>91197.78</v>
      </c>
      <c r="O20" s="53">
        <v>66.76265007320644</v>
      </c>
      <c r="P20" s="54">
        <v>12838.84</v>
      </c>
      <c r="Q20" s="54">
        <v>62371</v>
      </c>
      <c r="R20" s="54">
        <v>4000</v>
      </c>
      <c r="S20" s="54"/>
    </row>
    <row r="21" spans="1:19" ht="11.25">
      <c r="A21" s="50" t="s">
        <v>36</v>
      </c>
      <c r="B21" s="51">
        <v>28</v>
      </c>
      <c r="C21" s="52">
        <v>249</v>
      </c>
      <c r="D21" s="52">
        <f t="shared" si="0"/>
        <v>1253.4371285140564</v>
      </c>
      <c r="E21" s="33">
        <f>3298507+10000</f>
        <v>3308507</v>
      </c>
      <c r="F21" s="33">
        <v>1872635.07</v>
      </c>
      <c r="G21" s="53">
        <v>56.60060776658475</v>
      </c>
      <c r="H21" s="88">
        <v>2233281</v>
      </c>
      <c r="I21" s="54">
        <v>1187627.91</v>
      </c>
      <c r="J21" s="93">
        <v>53.17861523023748</v>
      </c>
      <c r="K21" s="54">
        <v>182169.61</v>
      </c>
      <c r="L21" s="54">
        <v>227200.98</v>
      </c>
      <c r="M21" s="33">
        <v>24125.22</v>
      </c>
      <c r="N21" s="54">
        <v>94767.68</v>
      </c>
      <c r="O21" s="53">
        <v>52.648711111111105</v>
      </c>
      <c r="P21" s="54">
        <v>14195</v>
      </c>
      <c r="Q21" s="54">
        <v>98965</v>
      </c>
      <c r="R21" s="54"/>
      <c r="S21" s="54"/>
    </row>
    <row r="22" spans="1:19" ht="11.25">
      <c r="A22" s="50" t="s">
        <v>37</v>
      </c>
      <c r="B22" s="51">
        <v>29</v>
      </c>
      <c r="C22" s="52">
        <v>302</v>
      </c>
      <c r="D22" s="52">
        <f t="shared" si="0"/>
        <v>780.6597461368652</v>
      </c>
      <c r="E22" s="33">
        <f>2416367+30000</f>
        <v>2446367</v>
      </c>
      <c r="F22" s="33">
        <v>1414555.46</v>
      </c>
      <c r="G22" s="53">
        <v>57.82270035526149</v>
      </c>
      <c r="H22" s="88">
        <v>1571423</v>
      </c>
      <c r="I22" s="54">
        <v>872982</v>
      </c>
      <c r="J22" s="93">
        <v>55.55359696275287</v>
      </c>
      <c r="K22" s="54">
        <v>134416.35</v>
      </c>
      <c r="L22" s="54">
        <v>164051.19</v>
      </c>
      <c r="M22" s="33">
        <v>16590.77</v>
      </c>
      <c r="N22" s="54">
        <v>109637.81</v>
      </c>
      <c r="O22" s="53">
        <v>59.95625686989714</v>
      </c>
      <c r="P22" s="54">
        <v>8192.56</v>
      </c>
      <c r="Q22" s="54">
        <v>77499</v>
      </c>
      <c r="R22" s="54"/>
      <c r="S22" s="54"/>
    </row>
    <row r="23" spans="1:19" ht="11.25">
      <c r="A23" s="50" t="s">
        <v>38</v>
      </c>
      <c r="B23" s="51">
        <v>31</v>
      </c>
      <c r="C23" s="52">
        <v>511</v>
      </c>
      <c r="D23" s="52">
        <f t="shared" si="0"/>
        <v>751.8823418134376</v>
      </c>
      <c r="E23" s="33">
        <f>3744863+70000</f>
        <v>3814863</v>
      </c>
      <c r="F23" s="33">
        <v>2305271.26</v>
      </c>
      <c r="G23" s="53">
        <v>60.428677517383974</v>
      </c>
      <c r="H23" s="88">
        <v>2391806</v>
      </c>
      <c r="I23" s="54">
        <v>1265202</v>
      </c>
      <c r="J23" s="93">
        <v>52.897350370389574</v>
      </c>
      <c r="K23" s="54">
        <v>210733.86</v>
      </c>
      <c r="L23" s="54">
        <v>254207.43</v>
      </c>
      <c r="M23" s="33">
        <v>29050.68</v>
      </c>
      <c r="N23" s="54">
        <v>381150</v>
      </c>
      <c r="O23" s="53">
        <v>100</v>
      </c>
      <c r="P23" s="54">
        <v>4188.2</v>
      </c>
      <c r="Q23" s="54">
        <v>115795</v>
      </c>
      <c r="R23" s="54"/>
      <c r="S23" s="54"/>
    </row>
    <row r="24" spans="1:19" ht="11.25">
      <c r="A24" s="50" t="s">
        <v>39</v>
      </c>
      <c r="B24" s="51">
        <v>33</v>
      </c>
      <c r="C24" s="52">
        <v>605</v>
      </c>
      <c r="D24" s="52">
        <f t="shared" si="0"/>
        <v>577.3200881542699</v>
      </c>
      <c r="E24" s="33">
        <f>3763406+50000</f>
        <v>3813406</v>
      </c>
      <c r="F24" s="33">
        <v>2095671.92</v>
      </c>
      <c r="G24" s="53">
        <v>54.955384241803785</v>
      </c>
      <c r="H24" s="88">
        <v>2448507</v>
      </c>
      <c r="I24" s="54">
        <v>1263659.71</v>
      </c>
      <c r="J24" s="93">
        <v>51.60939748181238</v>
      </c>
      <c r="K24" s="54">
        <v>201956.09</v>
      </c>
      <c r="L24" s="54">
        <v>248465.61</v>
      </c>
      <c r="M24" s="33">
        <v>24542.25</v>
      </c>
      <c r="N24" s="54">
        <v>170525.82</v>
      </c>
      <c r="O24" s="53">
        <v>63.230308873150655</v>
      </c>
      <c r="P24" s="54">
        <v>579.32</v>
      </c>
      <c r="Q24" s="54">
        <v>111000</v>
      </c>
      <c r="R24" s="54"/>
      <c r="S24" s="54"/>
    </row>
    <row r="25" spans="1:19" ht="11.25">
      <c r="A25" s="50" t="s">
        <v>40</v>
      </c>
      <c r="B25" s="51">
        <v>34</v>
      </c>
      <c r="C25" s="52">
        <v>276</v>
      </c>
      <c r="D25" s="52">
        <f t="shared" si="0"/>
        <v>1106.8452536231882</v>
      </c>
      <c r="E25" s="33">
        <f>3082719+35000</f>
        <v>3117719</v>
      </c>
      <c r="F25" s="33">
        <v>1832935.74</v>
      </c>
      <c r="G25" s="53">
        <v>58.790921824577524</v>
      </c>
      <c r="H25" s="88">
        <v>2061510</v>
      </c>
      <c r="I25" s="54">
        <v>1156559.52</v>
      </c>
      <c r="J25" s="93">
        <v>56.10254231121847</v>
      </c>
      <c r="K25" s="54">
        <v>170246.97</v>
      </c>
      <c r="L25" s="54">
        <v>222634.19</v>
      </c>
      <c r="M25" s="33">
        <v>25325.74</v>
      </c>
      <c r="N25" s="54">
        <v>133743.8</v>
      </c>
      <c r="O25" s="53">
        <v>68.51629098360655</v>
      </c>
      <c r="P25" s="54">
        <v>0</v>
      </c>
      <c r="Q25" s="54">
        <v>101900</v>
      </c>
      <c r="R25" s="54"/>
      <c r="S25" s="54"/>
    </row>
    <row r="26" spans="1:19" ht="11.25">
      <c r="A26" s="50" t="s">
        <v>41</v>
      </c>
      <c r="B26" s="51">
        <v>35</v>
      </c>
      <c r="C26" s="52">
        <v>373</v>
      </c>
      <c r="D26" s="52">
        <f t="shared" si="0"/>
        <v>784.4685478105453</v>
      </c>
      <c r="E26" s="33">
        <f>3011503+30000</f>
        <v>3041503</v>
      </c>
      <c r="F26" s="33">
        <v>1755640.61</v>
      </c>
      <c r="G26" s="53">
        <v>57.72279724859716</v>
      </c>
      <c r="H26" s="88">
        <v>2026852</v>
      </c>
      <c r="I26" s="54">
        <v>1129165.13</v>
      </c>
      <c r="J26" s="93">
        <v>55.71029014451967</v>
      </c>
      <c r="K26" s="54">
        <v>162749.26</v>
      </c>
      <c r="L26" s="54">
        <v>214902.06</v>
      </c>
      <c r="M26" s="33">
        <v>24652.25</v>
      </c>
      <c r="N26" s="54">
        <v>95734.4</v>
      </c>
      <c r="O26" s="53">
        <v>61.46670947030497</v>
      </c>
      <c r="P26" s="54">
        <v>0</v>
      </c>
      <c r="Q26" s="54">
        <v>98086</v>
      </c>
      <c r="R26" s="54"/>
      <c r="S26" s="54"/>
    </row>
    <row r="27" spans="1:19" ht="11.25">
      <c r="A27" s="50" t="s">
        <v>42</v>
      </c>
      <c r="B27" s="51">
        <v>37</v>
      </c>
      <c r="C27" s="52">
        <v>109</v>
      </c>
      <c r="D27" s="52">
        <f t="shared" si="0"/>
        <v>1126.1738073394497</v>
      </c>
      <c r="E27" s="33">
        <v>1324163</v>
      </c>
      <c r="F27" s="33">
        <v>736517.67</v>
      </c>
      <c r="G27" s="53">
        <v>55.62137516302752</v>
      </c>
      <c r="H27" s="88">
        <v>834384</v>
      </c>
      <c r="I27" s="54">
        <v>442544.51</v>
      </c>
      <c r="J27" s="93">
        <v>53.03847029664999</v>
      </c>
      <c r="K27" s="54">
        <v>66180.03</v>
      </c>
      <c r="L27" s="54">
        <v>86251.48</v>
      </c>
      <c r="M27" s="33">
        <v>8189.85</v>
      </c>
      <c r="N27" s="54">
        <v>11273.41</v>
      </c>
      <c r="O27" s="53">
        <v>42.314428346220254</v>
      </c>
      <c r="P27" s="54">
        <v>0</v>
      </c>
      <c r="Q27" s="54">
        <v>38402</v>
      </c>
      <c r="R27" s="54"/>
      <c r="S27" s="54"/>
    </row>
    <row r="28" spans="1:19" ht="11.25">
      <c r="A28" s="50" t="s">
        <v>43</v>
      </c>
      <c r="B28" s="51">
        <v>39</v>
      </c>
      <c r="C28" s="52">
        <v>594</v>
      </c>
      <c r="D28" s="52">
        <f t="shared" si="0"/>
        <v>620.7865881032548</v>
      </c>
      <c r="E28" s="33">
        <f>3767432+60000</f>
        <v>3827432</v>
      </c>
      <c r="F28" s="33">
        <v>2212483.4</v>
      </c>
      <c r="G28" s="53">
        <v>57.80594926310905</v>
      </c>
      <c r="H28" s="88">
        <v>2506511</v>
      </c>
      <c r="I28" s="54">
        <v>1382591.66</v>
      </c>
      <c r="J28" s="93">
        <v>55.160007676008604</v>
      </c>
      <c r="K28" s="54">
        <v>211612.76</v>
      </c>
      <c r="L28" s="54">
        <v>265913.96</v>
      </c>
      <c r="M28" s="33">
        <v>32072.13</v>
      </c>
      <c r="N28" s="54">
        <v>146973.01</v>
      </c>
      <c r="O28" s="53">
        <v>76.93310824958124</v>
      </c>
      <c r="P28" s="54">
        <v>7923.09</v>
      </c>
      <c r="Q28" s="54">
        <v>122138</v>
      </c>
      <c r="R28" s="54"/>
      <c r="S28" s="54"/>
    </row>
    <row r="29" spans="1:19" ht="11.25">
      <c r="A29" s="50" t="s">
        <v>44</v>
      </c>
      <c r="B29" s="51">
        <v>40</v>
      </c>
      <c r="C29" s="52">
        <v>773</v>
      </c>
      <c r="D29" s="52">
        <f t="shared" si="0"/>
        <v>589.7618003449762</v>
      </c>
      <c r="E29" s="33">
        <f>4437818+20000</f>
        <v>4457818</v>
      </c>
      <c r="F29" s="33">
        <v>2735315.23</v>
      </c>
      <c r="G29" s="53">
        <v>61.35995749489997</v>
      </c>
      <c r="H29" s="88">
        <v>3042207</v>
      </c>
      <c r="I29" s="54">
        <v>1771612.79</v>
      </c>
      <c r="J29" s="93">
        <v>58.23445906212168</v>
      </c>
      <c r="K29" s="54">
        <v>250686.68</v>
      </c>
      <c r="L29" s="54">
        <v>332173.32</v>
      </c>
      <c r="M29" s="33">
        <v>40430.93</v>
      </c>
      <c r="N29" s="54">
        <v>111051.45</v>
      </c>
      <c r="O29" s="53">
        <v>62.713295835733405</v>
      </c>
      <c r="P29" s="54">
        <v>21739.48</v>
      </c>
      <c r="Q29" s="54">
        <v>138631.5</v>
      </c>
      <c r="R29" s="54"/>
      <c r="S29" s="54"/>
    </row>
    <row r="30" spans="1:19" ht="11.25">
      <c r="A30" s="50" t="s">
        <v>45</v>
      </c>
      <c r="B30" s="51">
        <v>42</v>
      </c>
      <c r="C30" s="52">
        <v>387</v>
      </c>
      <c r="D30" s="52">
        <f t="shared" si="0"/>
        <v>808.1957622739018</v>
      </c>
      <c r="E30" s="33">
        <f>3257057+20000</f>
        <v>3277057</v>
      </c>
      <c r="F30" s="33">
        <v>1876630.56</v>
      </c>
      <c r="G30" s="53">
        <v>57.265728365420564</v>
      </c>
      <c r="H30" s="88">
        <v>1884032</v>
      </c>
      <c r="I30" s="54">
        <v>1031552.95</v>
      </c>
      <c r="J30" s="93">
        <v>54.75241131785447</v>
      </c>
      <c r="K30" s="54">
        <v>156853.53</v>
      </c>
      <c r="L30" s="54">
        <v>172442.93</v>
      </c>
      <c r="M30" s="33">
        <v>17463.24</v>
      </c>
      <c r="N30" s="54">
        <v>334606.75</v>
      </c>
      <c r="O30" s="53">
        <v>57.34634540107355</v>
      </c>
      <c r="P30" s="54">
        <v>0</v>
      </c>
      <c r="Q30" s="54">
        <v>91962</v>
      </c>
      <c r="R30" s="54"/>
      <c r="S30" s="54"/>
    </row>
    <row r="31" spans="1:19" ht="11.25">
      <c r="A31" s="50" t="s">
        <v>46</v>
      </c>
      <c r="B31" s="51">
        <v>43</v>
      </c>
      <c r="C31" s="52">
        <v>356</v>
      </c>
      <c r="D31" s="52">
        <f t="shared" si="0"/>
        <v>836.9331086142323</v>
      </c>
      <c r="E31" s="33">
        <f>3067561+35000</f>
        <v>3102561</v>
      </c>
      <c r="F31" s="33">
        <v>1787689.12</v>
      </c>
      <c r="G31" s="53">
        <v>57.61978958673174</v>
      </c>
      <c r="H31" s="88">
        <v>2024595</v>
      </c>
      <c r="I31" s="54">
        <v>1091164.18</v>
      </c>
      <c r="J31" s="93">
        <v>53.89542995018757</v>
      </c>
      <c r="K31" s="54">
        <v>170313.38</v>
      </c>
      <c r="L31" s="54">
        <v>216072.31</v>
      </c>
      <c r="M31" s="33">
        <v>21335.63</v>
      </c>
      <c r="N31" s="54">
        <v>136906.84</v>
      </c>
      <c r="O31" s="53">
        <v>65.19373333333334</v>
      </c>
      <c r="P31" s="54">
        <v>3679.44</v>
      </c>
      <c r="Q31" s="54">
        <v>96912</v>
      </c>
      <c r="R31" s="54"/>
      <c r="S31" s="54"/>
    </row>
    <row r="32" spans="1:19" ht="11.25">
      <c r="A32" s="50" t="s">
        <v>47</v>
      </c>
      <c r="B32" s="51">
        <v>44</v>
      </c>
      <c r="C32" s="52">
        <v>169</v>
      </c>
      <c r="D32" s="52">
        <f t="shared" si="0"/>
        <v>747.3235897435898</v>
      </c>
      <c r="E32" s="33">
        <f>1287676+40000</f>
        <v>1327676</v>
      </c>
      <c r="F32" s="33">
        <f>4696.99+753089.13</f>
        <v>757786.12</v>
      </c>
      <c r="G32" s="53">
        <v>57.07613303245671</v>
      </c>
      <c r="H32" s="88">
        <v>833507</v>
      </c>
      <c r="I32" s="54">
        <v>459675.19</v>
      </c>
      <c r="J32" s="93">
        <v>55.14952963802343</v>
      </c>
      <c r="K32" s="54">
        <v>70281.1</v>
      </c>
      <c r="L32" s="54">
        <v>89108.86</v>
      </c>
      <c r="M32" s="33">
        <v>9553.04</v>
      </c>
      <c r="N32" s="54">
        <v>65357.7</v>
      </c>
      <c r="O32" s="53">
        <v>63.868915577879626</v>
      </c>
      <c r="P32" s="54">
        <v>369</v>
      </c>
      <c r="Q32" s="54">
        <v>40617</v>
      </c>
      <c r="R32" s="54"/>
      <c r="S32" s="54"/>
    </row>
    <row r="33" spans="1:19" ht="11.25">
      <c r="A33" s="50" t="s">
        <v>48</v>
      </c>
      <c r="B33" s="51">
        <v>45</v>
      </c>
      <c r="C33" s="52">
        <v>199</v>
      </c>
      <c r="D33" s="52">
        <f t="shared" si="0"/>
        <v>822.0272529313233</v>
      </c>
      <c r="E33" s="33">
        <f>1686562+40000</f>
        <v>1726562</v>
      </c>
      <c r="F33" s="33">
        <v>981500.54</v>
      </c>
      <c r="G33" s="53">
        <v>56.847106562058016</v>
      </c>
      <c r="H33" s="88">
        <v>1141933</v>
      </c>
      <c r="I33" s="54">
        <v>598278.66</v>
      </c>
      <c r="J33" s="93">
        <v>52.39174802724854</v>
      </c>
      <c r="K33" s="54">
        <v>100504.61</v>
      </c>
      <c r="L33" s="54">
        <v>116182.85</v>
      </c>
      <c r="M33" s="33">
        <v>12081.59</v>
      </c>
      <c r="N33" s="54">
        <v>36677.49</v>
      </c>
      <c r="O33" s="53">
        <v>57.308578125</v>
      </c>
      <c r="P33" s="54">
        <v>40225.27</v>
      </c>
      <c r="Q33" s="54">
        <v>49861.5</v>
      </c>
      <c r="R33" s="54"/>
      <c r="S33" s="54"/>
    </row>
    <row r="34" spans="1:19" ht="11.25">
      <c r="A34" s="50" t="s">
        <v>49</v>
      </c>
      <c r="B34" s="51">
        <v>46</v>
      </c>
      <c r="C34" s="52">
        <v>487</v>
      </c>
      <c r="D34" s="52">
        <f t="shared" si="0"/>
        <v>575.90712183436</v>
      </c>
      <c r="E34" s="33">
        <f>2970649+35000</f>
        <v>3005649</v>
      </c>
      <c r="F34" s="33">
        <v>1682800.61</v>
      </c>
      <c r="G34" s="53">
        <v>55.987928397494194</v>
      </c>
      <c r="H34" s="88">
        <v>1874153</v>
      </c>
      <c r="I34" s="54">
        <v>985217.33</v>
      </c>
      <c r="J34" s="93">
        <v>52.56867128777639</v>
      </c>
      <c r="K34" s="54">
        <v>154139.95</v>
      </c>
      <c r="L34" s="54">
        <v>187657.78</v>
      </c>
      <c r="M34" s="33">
        <v>21463.03</v>
      </c>
      <c r="N34" s="54">
        <v>198473.79</v>
      </c>
      <c r="O34" s="53">
        <v>59.98452285606347</v>
      </c>
      <c r="P34" s="54">
        <v>4667.85</v>
      </c>
      <c r="Q34" s="54">
        <v>88491</v>
      </c>
      <c r="R34" s="54"/>
      <c r="S34" s="54"/>
    </row>
    <row r="35" spans="1:19" ht="11.25">
      <c r="A35" s="50" t="s">
        <v>50</v>
      </c>
      <c r="B35" s="51">
        <v>47</v>
      </c>
      <c r="C35" s="52">
        <v>617.17</v>
      </c>
      <c r="D35" s="52">
        <f t="shared" si="0"/>
        <v>691.4057066934557</v>
      </c>
      <c r="E35" s="33">
        <f>4590655+50000</f>
        <v>4640655</v>
      </c>
      <c r="F35" s="33">
        <f>2598059.98-37770.82</f>
        <v>2560289.16</v>
      </c>
      <c r="G35" s="53">
        <v>55.17085756213294</v>
      </c>
      <c r="H35" s="88">
        <v>2905346</v>
      </c>
      <c r="I35" s="54">
        <v>1590879.86</v>
      </c>
      <c r="J35" s="93">
        <v>54.756984538158285</v>
      </c>
      <c r="K35" s="54">
        <v>246750.09</v>
      </c>
      <c r="L35" s="54">
        <v>310129.84</v>
      </c>
      <c r="M35" s="33">
        <v>37395.56</v>
      </c>
      <c r="N35" s="54">
        <v>169764.55</v>
      </c>
      <c r="O35" s="53">
        <v>54.95776950469408</v>
      </c>
      <c r="P35" s="54">
        <v>9471.87</v>
      </c>
      <c r="Q35" s="54">
        <v>137755</v>
      </c>
      <c r="R35" s="54">
        <v>0</v>
      </c>
      <c r="S35" s="54"/>
    </row>
    <row r="36" spans="1:19" ht="11.25">
      <c r="A36" s="50" t="s">
        <v>51</v>
      </c>
      <c r="B36" s="51">
        <v>48</v>
      </c>
      <c r="C36" s="52">
        <v>428</v>
      </c>
      <c r="D36" s="52">
        <f t="shared" si="0"/>
        <v>636.5102998442368</v>
      </c>
      <c r="E36" s="33">
        <v>3684720</v>
      </c>
      <c r="F36" s="33">
        <v>1634558.45</v>
      </c>
      <c r="G36" s="36">
        <v>44.360452083197636</v>
      </c>
      <c r="H36" s="88">
        <v>1512635</v>
      </c>
      <c r="I36" s="33">
        <v>997941.79</v>
      </c>
      <c r="J36" s="94">
        <v>65.97373391465887</v>
      </c>
      <c r="K36" s="33">
        <v>127942</v>
      </c>
      <c r="L36" s="33">
        <v>183431.26</v>
      </c>
      <c r="M36" s="33">
        <v>23180.03</v>
      </c>
      <c r="N36" s="33">
        <v>169142.18</v>
      </c>
      <c r="O36" s="36">
        <v>61.73072262773722</v>
      </c>
      <c r="P36" s="33">
        <v>40.59</v>
      </c>
      <c r="Q36" s="33">
        <v>91740</v>
      </c>
      <c r="R36" s="33">
        <v>3966</v>
      </c>
      <c r="S36" s="33"/>
    </row>
    <row r="37" spans="1:19" s="58" customFormat="1" ht="11.25">
      <c r="A37" s="55" t="s">
        <v>52</v>
      </c>
      <c r="B37" s="6"/>
      <c r="C37" s="56">
        <f>SUM(C7:C36)</f>
        <v>11854.17</v>
      </c>
      <c r="D37" s="57">
        <f t="shared" si="0"/>
        <v>722.148550538193</v>
      </c>
      <c r="E37" s="35">
        <f>SUM(E7:E36)</f>
        <v>90855321</v>
      </c>
      <c r="F37" s="35">
        <f>SUM(F7:F36)</f>
        <v>51362830.099999994</v>
      </c>
      <c r="G37" s="36">
        <v>56.53255036102948</v>
      </c>
      <c r="H37" s="89">
        <f>SUM(H7:H36)</f>
        <v>58110473</v>
      </c>
      <c r="I37" s="35">
        <f>SUM(I7:I36)</f>
        <v>31660097.38</v>
      </c>
      <c r="J37" s="94">
        <v>54.482601406462486</v>
      </c>
      <c r="K37" s="35">
        <f>SUM(K7:K36)</f>
        <v>4836452.91</v>
      </c>
      <c r="L37" s="35">
        <f>SUM(L7:L36)</f>
        <v>6030148.869999999</v>
      </c>
      <c r="M37" s="35">
        <f>SUM(M7:M36)</f>
        <v>680926.02</v>
      </c>
      <c r="N37" s="35">
        <f>SUM(N7:N36)</f>
        <v>3832086.8400000003</v>
      </c>
      <c r="O37" s="36">
        <v>65.46387226087651</v>
      </c>
      <c r="P37" s="35">
        <f>SUM(P7:P36)</f>
        <v>292423.69</v>
      </c>
      <c r="Q37" s="35">
        <f>SUM(Q7:Q36)</f>
        <v>2766165.4</v>
      </c>
      <c r="R37" s="35">
        <f>SUM(R7:R36)</f>
        <v>7966</v>
      </c>
      <c r="S37" s="35">
        <f>SUM(S7:S36)</f>
        <v>0</v>
      </c>
    </row>
    <row r="38" spans="1:19" ht="11.25">
      <c r="A38" s="50" t="s">
        <v>22</v>
      </c>
      <c r="B38" s="59">
        <v>6</v>
      </c>
      <c r="C38" s="60">
        <v>71</v>
      </c>
      <c r="D38" s="52">
        <f t="shared" si="0"/>
        <v>220.05779342723002</v>
      </c>
      <c r="E38" s="33">
        <v>198549</v>
      </c>
      <c r="F38" s="61">
        <v>93744.62</v>
      </c>
      <c r="G38" s="53">
        <v>47.21485376405824</v>
      </c>
      <c r="H38" s="90">
        <v>143796</v>
      </c>
      <c r="I38" s="62">
        <v>67114</v>
      </c>
      <c r="J38" s="93">
        <v>46.67306461932182</v>
      </c>
      <c r="K38" s="62">
        <v>3753.32</v>
      </c>
      <c r="L38" s="33">
        <v>11938.77</v>
      </c>
      <c r="M38" s="33">
        <v>1710.53</v>
      </c>
      <c r="N38" s="62">
        <v>2500</v>
      </c>
      <c r="O38" s="53">
        <v>50</v>
      </c>
      <c r="P38" s="62"/>
      <c r="Q38" s="62">
        <v>6728</v>
      </c>
      <c r="R38" s="62"/>
      <c r="S38" s="62"/>
    </row>
    <row r="39" spans="1:19" ht="11.25">
      <c r="A39" s="50" t="s">
        <v>23</v>
      </c>
      <c r="B39" s="59">
        <v>8</v>
      </c>
      <c r="C39" s="60">
        <v>25</v>
      </c>
      <c r="D39" s="52">
        <f aca="true" t="shared" si="1" ref="D39:D70">F39/6/C39</f>
        <v>187.5528</v>
      </c>
      <c r="E39" s="33">
        <v>58902</v>
      </c>
      <c r="F39" s="61">
        <v>28132.92</v>
      </c>
      <c r="G39" s="53">
        <v>47.762249159621064</v>
      </c>
      <c r="H39" s="91">
        <v>40170</v>
      </c>
      <c r="I39" s="62">
        <v>18349.49</v>
      </c>
      <c r="J39" s="93">
        <v>45.67958675628579</v>
      </c>
      <c r="K39" s="62">
        <v>3279.96</v>
      </c>
      <c r="L39" s="33">
        <v>3274.11</v>
      </c>
      <c r="M39" s="33">
        <v>445.66</v>
      </c>
      <c r="N39" s="62"/>
      <c r="O39" s="53">
        <v>0</v>
      </c>
      <c r="P39" s="62"/>
      <c r="Q39" s="62">
        <v>2242.5</v>
      </c>
      <c r="R39" s="62"/>
      <c r="S39" s="62"/>
    </row>
    <row r="40" spans="1:19" ht="11.25">
      <c r="A40" s="50" t="s">
        <v>24</v>
      </c>
      <c r="B40" s="59">
        <v>10</v>
      </c>
      <c r="C40" s="60">
        <v>60.16</v>
      </c>
      <c r="D40" s="52">
        <f t="shared" si="1"/>
        <v>502.3052138741135</v>
      </c>
      <c r="E40" s="33">
        <v>357853</v>
      </c>
      <c r="F40" s="61">
        <v>181312.09</v>
      </c>
      <c r="G40" s="53">
        <v>50.66663965371255</v>
      </c>
      <c r="H40" s="90">
        <v>234613</v>
      </c>
      <c r="I40" s="62">
        <v>114218.57</v>
      </c>
      <c r="J40" s="93">
        <v>48.68381973718422</v>
      </c>
      <c r="K40" s="62">
        <v>16882.64</v>
      </c>
      <c r="L40" s="33">
        <v>21768.62</v>
      </c>
      <c r="M40" s="33">
        <v>2379.82</v>
      </c>
      <c r="N40" s="62">
        <v>13985.67</v>
      </c>
      <c r="O40" s="53">
        <v>46.618900000000004</v>
      </c>
      <c r="P40" s="62"/>
      <c r="Q40" s="62">
        <v>9737.37</v>
      </c>
      <c r="R40" s="62"/>
      <c r="S40" s="62"/>
    </row>
    <row r="41" spans="1:19" ht="11.25">
      <c r="A41" s="50" t="s">
        <v>25</v>
      </c>
      <c r="B41" s="59">
        <v>11</v>
      </c>
      <c r="C41" s="60">
        <v>26</v>
      </c>
      <c r="D41" s="52">
        <f t="shared" si="1"/>
        <v>317.57955128205134</v>
      </c>
      <c r="E41" s="33">
        <v>92840</v>
      </c>
      <c r="F41" s="61">
        <v>49542.41</v>
      </c>
      <c r="G41" s="53">
        <v>53.36321628608359</v>
      </c>
      <c r="H41" s="91">
        <v>65756</v>
      </c>
      <c r="I41" s="62">
        <v>32728.59</v>
      </c>
      <c r="J41" s="93">
        <v>49.77278119107002</v>
      </c>
      <c r="K41" s="62">
        <v>4432</v>
      </c>
      <c r="L41" s="33">
        <v>5288.39</v>
      </c>
      <c r="M41" s="33">
        <v>675.44</v>
      </c>
      <c r="N41" s="62"/>
      <c r="O41" s="53">
        <v>0</v>
      </c>
      <c r="P41" s="62"/>
      <c r="Q41" s="62">
        <v>4003</v>
      </c>
      <c r="R41" s="62"/>
      <c r="S41" s="62"/>
    </row>
    <row r="42" spans="1:19" ht="11.25">
      <c r="A42" s="50" t="s">
        <v>26</v>
      </c>
      <c r="B42" s="59">
        <v>12</v>
      </c>
      <c r="C42" s="60">
        <v>96</v>
      </c>
      <c r="D42" s="52">
        <f t="shared" si="1"/>
        <v>289.31671875</v>
      </c>
      <c r="E42" s="33">
        <v>289335</v>
      </c>
      <c r="F42" s="62">
        <v>166646.43</v>
      </c>
      <c r="G42" s="53">
        <v>57.59636062004251</v>
      </c>
      <c r="H42" s="91">
        <v>204742</v>
      </c>
      <c r="I42" s="62">
        <v>110410.69</v>
      </c>
      <c r="J42" s="93">
        <v>53.926741948403354</v>
      </c>
      <c r="K42" s="62">
        <v>13978.18</v>
      </c>
      <c r="L42" s="33">
        <v>21119.71</v>
      </c>
      <c r="M42" s="33">
        <v>2514.83</v>
      </c>
      <c r="N42" s="62">
        <v>9903.02</v>
      </c>
      <c r="O42" s="53">
        <v>71.76101449275363</v>
      </c>
      <c r="P42" s="62"/>
      <c r="Q42" s="62">
        <v>8720</v>
      </c>
      <c r="R42" s="62"/>
      <c r="S42" s="62"/>
    </row>
    <row r="43" spans="1:19" ht="11.25">
      <c r="A43" s="50" t="s">
        <v>27</v>
      </c>
      <c r="B43" s="59">
        <v>13</v>
      </c>
      <c r="C43" s="60">
        <v>36</v>
      </c>
      <c r="D43" s="52">
        <f t="shared" si="1"/>
        <v>337.6897222222222</v>
      </c>
      <c r="E43" s="33">
        <v>139611</v>
      </c>
      <c r="F43" s="62">
        <v>72940.98</v>
      </c>
      <c r="G43" s="53">
        <v>52.24586887852676</v>
      </c>
      <c r="H43" s="91">
        <v>97906</v>
      </c>
      <c r="I43" s="62">
        <v>44852.76</v>
      </c>
      <c r="J43" s="93">
        <v>45.8120646334239</v>
      </c>
      <c r="K43" s="62">
        <v>6673.08</v>
      </c>
      <c r="L43" s="33">
        <v>8784.68</v>
      </c>
      <c r="M43" s="33">
        <v>1247.11</v>
      </c>
      <c r="N43" s="62">
        <v>4204.32</v>
      </c>
      <c r="O43" s="53">
        <v>79.5669947009841</v>
      </c>
      <c r="P43" s="62"/>
      <c r="Q43" s="62">
        <v>6249</v>
      </c>
      <c r="R43" s="62"/>
      <c r="S43" s="62"/>
    </row>
    <row r="44" spans="1:19" ht="11.25">
      <c r="A44" s="50" t="s">
        <v>29</v>
      </c>
      <c r="B44" s="59">
        <v>16</v>
      </c>
      <c r="C44" s="60">
        <v>72</v>
      </c>
      <c r="D44" s="52">
        <f t="shared" si="1"/>
        <v>255.20486111111111</v>
      </c>
      <c r="E44" s="33">
        <v>200187</v>
      </c>
      <c r="F44" s="61">
        <v>110248.5</v>
      </c>
      <c r="G44" s="53">
        <v>55.07275697223096</v>
      </c>
      <c r="H44" s="92">
        <v>135113</v>
      </c>
      <c r="I44" s="62">
        <v>75423.68</v>
      </c>
      <c r="J44" s="93">
        <v>55.822666952846866</v>
      </c>
      <c r="K44" s="62">
        <v>8307.15</v>
      </c>
      <c r="L44" s="33">
        <v>10761.6</v>
      </c>
      <c r="M44" s="33">
        <v>1000.52</v>
      </c>
      <c r="N44" s="62">
        <v>4882.25</v>
      </c>
      <c r="O44" s="53">
        <v>54.06699889258029</v>
      </c>
      <c r="P44" s="62"/>
      <c r="Q44" s="62">
        <v>6727.5</v>
      </c>
      <c r="R44" s="62"/>
      <c r="S44" s="62"/>
    </row>
    <row r="45" spans="1:19" ht="11.25">
      <c r="A45" s="50" t="s">
        <v>30</v>
      </c>
      <c r="B45" s="59">
        <v>17</v>
      </c>
      <c r="C45" s="60">
        <v>60</v>
      </c>
      <c r="D45" s="52">
        <f t="shared" si="1"/>
        <v>312.95841666666666</v>
      </c>
      <c r="E45" s="33">
        <v>221222</v>
      </c>
      <c r="F45" s="62">
        <v>112665.03</v>
      </c>
      <c r="G45" s="53">
        <v>50.92849264539693</v>
      </c>
      <c r="H45" s="91">
        <v>148568</v>
      </c>
      <c r="I45" s="62">
        <v>70742.89</v>
      </c>
      <c r="J45" s="93">
        <v>47.61650557320554</v>
      </c>
      <c r="K45" s="62">
        <v>8448.63</v>
      </c>
      <c r="L45" s="33">
        <v>13444.79</v>
      </c>
      <c r="M45" s="33">
        <v>1344.09</v>
      </c>
      <c r="N45" s="62">
        <v>7224.36</v>
      </c>
      <c r="O45" s="53">
        <v>54.40030120481928</v>
      </c>
      <c r="P45" s="62">
        <v>300</v>
      </c>
      <c r="Q45" s="62">
        <v>7036</v>
      </c>
      <c r="R45" s="62"/>
      <c r="S45" s="62"/>
    </row>
    <row r="46" spans="1:19" ht="11.25">
      <c r="A46" s="50" t="s">
        <v>31</v>
      </c>
      <c r="B46" s="59">
        <v>18</v>
      </c>
      <c r="C46" s="60">
        <v>19</v>
      </c>
      <c r="D46" s="52">
        <f t="shared" si="1"/>
        <v>281.76973684210526</v>
      </c>
      <c r="E46" s="33">
        <v>58971</v>
      </c>
      <c r="F46" s="62">
        <v>32121.75</v>
      </c>
      <c r="G46" s="53">
        <v>54.470417662919054</v>
      </c>
      <c r="H46" s="91">
        <v>41667</v>
      </c>
      <c r="I46" s="62">
        <v>21137.92</v>
      </c>
      <c r="J46" s="93">
        <v>50.73060215518276</v>
      </c>
      <c r="K46" s="62">
        <v>3225.45</v>
      </c>
      <c r="L46" s="33">
        <v>4170.83</v>
      </c>
      <c r="M46" s="33">
        <v>597.55</v>
      </c>
      <c r="N46" s="62"/>
      <c r="O46" s="53">
        <v>0</v>
      </c>
      <c r="P46" s="62"/>
      <c r="Q46" s="62">
        <v>2990</v>
      </c>
      <c r="R46" s="62"/>
      <c r="S46" s="62"/>
    </row>
    <row r="47" spans="1:19" ht="11.25">
      <c r="A47" s="50" t="s">
        <v>32</v>
      </c>
      <c r="B47" s="59">
        <v>20</v>
      </c>
      <c r="C47" s="60">
        <v>68</v>
      </c>
      <c r="D47" s="52">
        <f t="shared" si="1"/>
        <v>223.36968137254902</v>
      </c>
      <c r="E47" s="33">
        <v>174255</v>
      </c>
      <c r="F47" s="62">
        <v>91134.83</v>
      </c>
      <c r="G47" s="53">
        <v>52.29969297868067</v>
      </c>
      <c r="H47" s="91">
        <v>115612</v>
      </c>
      <c r="I47" s="62">
        <v>57161.07</v>
      </c>
      <c r="J47" s="93">
        <v>49.44215998339273</v>
      </c>
      <c r="K47" s="62">
        <v>9161.91</v>
      </c>
      <c r="L47" s="33">
        <v>11466.74</v>
      </c>
      <c r="M47" s="33">
        <v>1634.29</v>
      </c>
      <c r="N47" s="62">
        <v>3000</v>
      </c>
      <c r="O47" s="53">
        <v>60</v>
      </c>
      <c r="P47" s="62">
        <v>0</v>
      </c>
      <c r="Q47" s="62">
        <v>7220</v>
      </c>
      <c r="R47" s="62"/>
      <c r="S47" s="62"/>
    </row>
    <row r="48" spans="1:19" ht="11.25">
      <c r="A48" s="50" t="s">
        <v>33</v>
      </c>
      <c r="B48" s="59">
        <v>21</v>
      </c>
      <c r="C48" s="60">
        <v>26</v>
      </c>
      <c r="D48" s="52">
        <f t="shared" si="1"/>
        <v>245.5345512820513</v>
      </c>
      <c r="E48" s="33">
        <v>64081</v>
      </c>
      <c r="F48" s="62">
        <v>38303.39</v>
      </c>
      <c r="G48" s="53">
        <v>59.77339617047175</v>
      </c>
      <c r="H48" s="91">
        <v>44054</v>
      </c>
      <c r="I48" s="62">
        <v>25307.37</v>
      </c>
      <c r="J48" s="93">
        <v>57.446247786807106</v>
      </c>
      <c r="K48" s="62">
        <v>3271.87</v>
      </c>
      <c r="L48" s="33">
        <v>4421.81</v>
      </c>
      <c r="M48" s="33">
        <v>247.62</v>
      </c>
      <c r="N48" s="62"/>
      <c r="O48" s="53"/>
      <c r="P48" s="62"/>
      <c r="Q48" s="62">
        <v>2557</v>
      </c>
      <c r="R48" s="62"/>
      <c r="S48" s="62"/>
    </row>
    <row r="49" spans="1:19" ht="11.25">
      <c r="A49" s="50" t="s">
        <v>34</v>
      </c>
      <c r="B49" s="59">
        <v>23</v>
      </c>
      <c r="C49" s="60">
        <v>44</v>
      </c>
      <c r="D49" s="52">
        <f t="shared" si="1"/>
        <v>391.8673106060606</v>
      </c>
      <c r="E49" s="33">
        <v>207460</v>
      </c>
      <c r="F49" s="62">
        <v>103452.97</v>
      </c>
      <c r="G49" s="53">
        <v>49.8664658247373</v>
      </c>
      <c r="H49" s="91">
        <v>147542</v>
      </c>
      <c r="I49" s="62">
        <v>69107.14</v>
      </c>
      <c r="J49" s="93">
        <v>46.83896110937902</v>
      </c>
      <c r="K49" s="62">
        <v>9457.97</v>
      </c>
      <c r="L49" s="33">
        <v>13152.75</v>
      </c>
      <c r="M49" s="33">
        <v>1866.42</v>
      </c>
      <c r="N49" s="62">
        <v>2529.55</v>
      </c>
      <c r="O49" s="53">
        <v>84.31833333333334</v>
      </c>
      <c r="P49" s="62"/>
      <c r="Q49" s="62">
        <v>6975</v>
      </c>
      <c r="R49" s="62"/>
      <c r="S49" s="62"/>
    </row>
    <row r="50" spans="1:19" ht="11.25">
      <c r="A50" s="50" t="s">
        <v>35</v>
      </c>
      <c r="B50" s="59">
        <v>26</v>
      </c>
      <c r="C50" s="60">
        <v>44</v>
      </c>
      <c r="D50" s="52">
        <f t="shared" si="1"/>
        <v>303.8570454545454</v>
      </c>
      <c r="E50" s="33">
        <v>149935</v>
      </c>
      <c r="F50" s="62">
        <v>80218.26</v>
      </c>
      <c r="G50" s="53">
        <v>53.50202421049121</v>
      </c>
      <c r="H50" s="91">
        <v>101823</v>
      </c>
      <c r="I50" s="62">
        <v>52050.38</v>
      </c>
      <c r="J50" s="93">
        <v>51.1184899286016</v>
      </c>
      <c r="K50" s="62">
        <v>9183.86</v>
      </c>
      <c r="L50" s="33">
        <v>10497.47</v>
      </c>
      <c r="M50" s="33">
        <v>1496.15</v>
      </c>
      <c r="N50" s="62">
        <v>1939</v>
      </c>
      <c r="O50" s="53">
        <v>100</v>
      </c>
      <c r="P50" s="62"/>
      <c r="Q50" s="62">
        <v>4485</v>
      </c>
      <c r="R50" s="62"/>
      <c r="S50" s="62"/>
    </row>
    <row r="51" spans="1:19" ht="11.25">
      <c r="A51" s="50" t="s">
        <v>37</v>
      </c>
      <c r="B51" s="59">
        <v>29</v>
      </c>
      <c r="C51" s="60">
        <v>45</v>
      </c>
      <c r="D51" s="52">
        <f t="shared" si="1"/>
        <v>402.64629629629627</v>
      </c>
      <c r="E51" s="33">
        <v>192381</v>
      </c>
      <c r="F51" s="62">
        <v>108714.5</v>
      </c>
      <c r="G51" s="53">
        <v>56.50999838861426</v>
      </c>
      <c r="H51" s="91">
        <v>130613</v>
      </c>
      <c r="I51" s="62">
        <v>69838.43</v>
      </c>
      <c r="J51" s="93">
        <v>53.46973884682229</v>
      </c>
      <c r="K51" s="62">
        <v>8436.95</v>
      </c>
      <c r="L51" s="33">
        <v>13393.27</v>
      </c>
      <c r="M51" s="33">
        <v>1324.28</v>
      </c>
      <c r="N51" s="62">
        <v>3652.56</v>
      </c>
      <c r="O51" s="53">
        <v>51.83877377235311</v>
      </c>
      <c r="P51" s="62">
        <v>0</v>
      </c>
      <c r="Q51" s="62">
        <v>8496</v>
      </c>
      <c r="R51" s="62"/>
      <c r="S51" s="62"/>
    </row>
    <row r="52" spans="1:19" ht="11.25">
      <c r="A52" s="50" t="s">
        <v>39</v>
      </c>
      <c r="B52" s="59">
        <v>33</v>
      </c>
      <c r="C52" s="60">
        <v>16.34</v>
      </c>
      <c r="D52" s="52">
        <f t="shared" si="1"/>
        <v>770.1033251733986</v>
      </c>
      <c r="E52" s="33">
        <v>133898</v>
      </c>
      <c r="F52" s="62">
        <v>75500.93</v>
      </c>
      <c r="G52" s="53">
        <v>56.3868989828078</v>
      </c>
      <c r="H52" s="91">
        <v>98917</v>
      </c>
      <c r="I52" s="62">
        <v>51834.74</v>
      </c>
      <c r="J52" s="93">
        <v>52.40225643721503</v>
      </c>
      <c r="K52" s="62">
        <v>7613.33</v>
      </c>
      <c r="L52" s="33">
        <v>9785.34</v>
      </c>
      <c r="M52" s="33">
        <v>789.52</v>
      </c>
      <c r="N52" s="62"/>
      <c r="O52" s="53">
        <v>0</v>
      </c>
      <c r="P52" s="62"/>
      <c r="Q52" s="62">
        <v>4485</v>
      </c>
      <c r="R52" s="62"/>
      <c r="S52" s="62"/>
    </row>
    <row r="53" spans="1:19" ht="11.25">
      <c r="A53" s="50" t="s">
        <v>38</v>
      </c>
      <c r="B53" s="59">
        <v>31</v>
      </c>
      <c r="C53" s="60">
        <v>107</v>
      </c>
      <c r="D53" s="52">
        <f t="shared" si="1"/>
        <v>238.6105919003115</v>
      </c>
      <c r="E53" s="33">
        <v>273739</v>
      </c>
      <c r="F53" s="62">
        <v>153188</v>
      </c>
      <c r="G53" s="53">
        <v>55.961335432656654</v>
      </c>
      <c r="H53" s="91">
        <v>169675</v>
      </c>
      <c r="I53" s="62">
        <v>82268.86</v>
      </c>
      <c r="J53" s="93">
        <v>48.48614115220274</v>
      </c>
      <c r="K53" s="62">
        <v>10529.75</v>
      </c>
      <c r="L53" s="33">
        <v>15865.38</v>
      </c>
      <c r="M53" s="33">
        <v>2134.96</v>
      </c>
      <c r="N53" s="62">
        <v>32130</v>
      </c>
      <c r="O53" s="53">
        <v>100</v>
      </c>
      <c r="P53" s="62">
        <v>0</v>
      </c>
      <c r="Q53" s="62">
        <v>8970</v>
      </c>
      <c r="R53" s="62"/>
      <c r="S53" s="62"/>
    </row>
    <row r="54" spans="1:19" ht="11.25">
      <c r="A54" s="50" t="s">
        <v>40</v>
      </c>
      <c r="B54" s="59">
        <v>34</v>
      </c>
      <c r="C54" s="60">
        <v>32</v>
      </c>
      <c r="D54" s="52">
        <f t="shared" si="1"/>
        <v>330.07708333333335</v>
      </c>
      <c r="E54" s="33">
        <v>116477</v>
      </c>
      <c r="F54" s="62">
        <v>63374.8</v>
      </c>
      <c r="G54" s="53">
        <v>54.40971178859346</v>
      </c>
      <c r="H54" s="91">
        <v>73589</v>
      </c>
      <c r="I54" s="62">
        <v>35526.38</v>
      </c>
      <c r="J54" s="93">
        <v>48.276753319110185</v>
      </c>
      <c r="K54" s="62">
        <v>5676.18</v>
      </c>
      <c r="L54" s="33">
        <v>7068.01</v>
      </c>
      <c r="M54" s="33">
        <v>1012.67</v>
      </c>
      <c r="N54" s="62">
        <v>6910.42</v>
      </c>
      <c r="O54" s="53">
        <v>68.57616354073633</v>
      </c>
      <c r="P54" s="62"/>
      <c r="Q54" s="62">
        <v>4485</v>
      </c>
      <c r="R54" s="62"/>
      <c r="S54" s="62"/>
    </row>
    <row r="55" spans="1:19" ht="11.25">
      <c r="A55" s="50" t="s">
        <v>41</v>
      </c>
      <c r="B55" s="59">
        <v>35</v>
      </c>
      <c r="C55" s="60">
        <v>63</v>
      </c>
      <c r="D55" s="52">
        <f t="shared" si="1"/>
        <v>390.997380952381</v>
      </c>
      <c r="E55" s="33">
        <v>304221</v>
      </c>
      <c r="F55" s="62">
        <v>147797.01</v>
      </c>
      <c r="G55" s="53">
        <v>48.582119577543956</v>
      </c>
      <c r="H55" s="91">
        <v>217014</v>
      </c>
      <c r="I55" s="62">
        <v>100748.44</v>
      </c>
      <c r="J55" s="93">
        <v>46.42485738247302</v>
      </c>
      <c r="K55" s="62">
        <v>15953.51</v>
      </c>
      <c r="L55" s="33">
        <v>18580.11</v>
      </c>
      <c r="M55" s="33">
        <v>2647.35</v>
      </c>
      <c r="N55" s="62">
        <v>0</v>
      </c>
      <c r="O55" s="53">
        <v>0</v>
      </c>
      <c r="P55" s="62"/>
      <c r="Q55" s="62">
        <v>9867</v>
      </c>
      <c r="R55" s="62"/>
      <c r="S55" s="62"/>
    </row>
    <row r="56" spans="1:19" ht="11.25">
      <c r="A56" s="50" t="s">
        <v>42</v>
      </c>
      <c r="B56" s="59">
        <v>37</v>
      </c>
      <c r="C56" s="60">
        <v>28</v>
      </c>
      <c r="D56" s="52">
        <f t="shared" si="1"/>
        <v>199.06333333333333</v>
      </c>
      <c r="E56" s="33">
        <v>58720</v>
      </c>
      <c r="F56" s="62">
        <v>33442.64</v>
      </c>
      <c r="G56" s="53">
        <v>56.95272479564033</v>
      </c>
      <c r="H56" s="91">
        <v>35942</v>
      </c>
      <c r="I56" s="62">
        <v>23829.56</v>
      </c>
      <c r="J56" s="93">
        <v>66.30003895164432</v>
      </c>
      <c r="K56" s="62">
        <v>2876.11</v>
      </c>
      <c r="L56" s="33">
        <v>4257.28</v>
      </c>
      <c r="M56" s="33">
        <v>190.49</v>
      </c>
      <c r="N56" s="62">
        <v>0</v>
      </c>
      <c r="O56" s="53">
        <v>0</v>
      </c>
      <c r="P56" s="62"/>
      <c r="Q56" s="62">
        <v>2243</v>
      </c>
      <c r="R56" s="62"/>
      <c r="S56" s="62"/>
    </row>
    <row r="57" spans="1:19" ht="11.25">
      <c r="A57" s="50" t="s">
        <v>43</v>
      </c>
      <c r="B57" s="59">
        <v>39</v>
      </c>
      <c r="C57" s="60">
        <v>53</v>
      </c>
      <c r="D57" s="52">
        <f t="shared" si="1"/>
        <v>202.9314779874214</v>
      </c>
      <c r="E57" s="33">
        <v>124697</v>
      </c>
      <c r="F57" s="62">
        <v>64532.21</v>
      </c>
      <c r="G57" s="53">
        <v>51.751212940166965</v>
      </c>
      <c r="H57" s="91">
        <v>87967</v>
      </c>
      <c r="I57" s="62">
        <v>45492.4</v>
      </c>
      <c r="J57" s="93">
        <v>51.71530232928257</v>
      </c>
      <c r="K57" s="62">
        <v>2493.19</v>
      </c>
      <c r="L57" s="33">
        <v>8149.94</v>
      </c>
      <c r="M57" s="33">
        <v>1154.65</v>
      </c>
      <c r="N57" s="62"/>
      <c r="O57" s="53">
        <v>0</v>
      </c>
      <c r="P57" s="62"/>
      <c r="Q57" s="62">
        <v>4485</v>
      </c>
      <c r="R57" s="62"/>
      <c r="S57" s="62"/>
    </row>
    <row r="58" spans="1:19" ht="11.25">
      <c r="A58" s="50" t="s">
        <v>44</v>
      </c>
      <c r="B58" s="59">
        <v>40</v>
      </c>
      <c r="C58" s="60">
        <v>123</v>
      </c>
      <c r="D58" s="52">
        <f t="shared" si="1"/>
        <v>264.79554200542003</v>
      </c>
      <c r="E58" s="33">
        <v>358610</v>
      </c>
      <c r="F58" s="62">
        <v>195419.11</v>
      </c>
      <c r="G58" s="53">
        <v>54.49349153676696</v>
      </c>
      <c r="H58" s="91">
        <v>246599</v>
      </c>
      <c r="I58" s="62">
        <v>125268.81</v>
      </c>
      <c r="J58" s="93">
        <v>50.798587991029976</v>
      </c>
      <c r="K58" s="62">
        <v>16482.38</v>
      </c>
      <c r="L58" s="33">
        <v>21659.7</v>
      </c>
      <c r="M58" s="33">
        <v>3378.65</v>
      </c>
      <c r="N58" s="62">
        <v>9500</v>
      </c>
      <c r="O58" s="53">
        <v>71.25178129453236</v>
      </c>
      <c r="P58" s="62">
        <v>1000</v>
      </c>
      <c r="Q58" s="62">
        <v>11643.75</v>
      </c>
      <c r="R58" s="62"/>
      <c r="S58" s="62"/>
    </row>
    <row r="59" spans="1:19" ht="11.25">
      <c r="A59" s="50" t="s">
        <v>45</v>
      </c>
      <c r="B59" s="59">
        <v>42</v>
      </c>
      <c r="C59" s="60">
        <v>42</v>
      </c>
      <c r="D59" s="52">
        <f t="shared" si="1"/>
        <v>245.31313492063492</v>
      </c>
      <c r="E59" s="33">
        <v>142020</v>
      </c>
      <c r="F59" s="62">
        <v>61818.91</v>
      </c>
      <c r="G59" s="53">
        <v>43.528312913674135</v>
      </c>
      <c r="H59" s="91">
        <v>98025</v>
      </c>
      <c r="I59" s="62">
        <v>40983.06</v>
      </c>
      <c r="J59" s="93">
        <v>41.808783473603675</v>
      </c>
      <c r="K59" s="62">
        <v>6948.24</v>
      </c>
      <c r="L59" s="33">
        <v>8240.68</v>
      </c>
      <c r="M59" s="33">
        <v>702.03</v>
      </c>
      <c r="N59" s="62">
        <v>0</v>
      </c>
      <c r="O59" s="53">
        <v>0</v>
      </c>
      <c r="P59" s="62"/>
      <c r="Q59" s="62">
        <v>4485</v>
      </c>
      <c r="R59" s="62"/>
      <c r="S59" s="62"/>
    </row>
    <row r="60" spans="1:19" ht="11.25">
      <c r="A60" s="50" t="s">
        <v>46</v>
      </c>
      <c r="B60" s="59">
        <v>43</v>
      </c>
      <c r="C60" s="60">
        <v>67</v>
      </c>
      <c r="D60" s="52">
        <f t="shared" si="1"/>
        <v>267.91176616915425</v>
      </c>
      <c r="E60" s="33">
        <v>190611</v>
      </c>
      <c r="F60" s="62">
        <v>107700.53</v>
      </c>
      <c r="G60" s="53">
        <v>56.50278840150883</v>
      </c>
      <c r="H60" s="91">
        <v>123363</v>
      </c>
      <c r="I60" s="62">
        <v>68895.56</v>
      </c>
      <c r="J60" s="93">
        <v>55.847831197360634</v>
      </c>
      <c r="K60" s="62">
        <v>10160.42</v>
      </c>
      <c r="L60" s="33">
        <v>13277.71</v>
      </c>
      <c r="M60" s="33">
        <v>1892.41</v>
      </c>
      <c r="N60" s="62">
        <v>1620.54</v>
      </c>
      <c r="O60" s="53">
        <v>13.5045</v>
      </c>
      <c r="P60" s="62">
        <v>0</v>
      </c>
      <c r="Q60" s="62">
        <v>6728</v>
      </c>
      <c r="R60" s="62"/>
      <c r="S60" s="62"/>
    </row>
    <row r="61" spans="1:19" ht="11.25">
      <c r="A61" s="50" t="s">
        <v>48</v>
      </c>
      <c r="B61" s="59">
        <v>45</v>
      </c>
      <c r="C61" s="60">
        <v>57</v>
      </c>
      <c r="D61" s="52">
        <f t="shared" si="1"/>
        <v>523.5320175438596</v>
      </c>
      <c r="E61" s="33">
        <v>307553</v>
      </c>
      <c r="F61" s="62">
        <v>179047.95</v>
      </c>
      <c r="G61" s="53">
        <v>58.21694147025066</v>
      </c>
      <c r="H61" s="91">
        <v>216798</v>
      </c>
      <c r="I61" s="62">
        <v>127827.99</v>
      </c>
      <c r="J61" s="93">
        <v>58.96179392798827</v>
      </c>
      <c r="K61" s="62">
        <v>14830.72</v>
      </c>
      <c r="L61" s="33">
        <v>18930.95</v>
      </c>
      <c r="M61" s="33">
        <v>1509.66</v>
      </c>
      <c r="N61" s="62">
        <v>4000</v>
      </c>
      <c r="O61" s="53">
        <v>40</v>
      </c>
      <c r="P61" s="62"/>
      <c r="Q61" s="62">
        <v>8970</v>
      </c>
      <c r="R61" s="62"/>
      <c r="S61" s="62"/>
    </row>
    <row r="62" spans="1:19" ht="11.25">
      <c r="A62" s="50" t="s">
        <v>47</v>
      </c>
      <c r="B62" s="59">
        <v>44</v>
      </c>
      <c r="C62" s="60">
        <v>41</v>
      </c>
      <c r="D62" s="52">
        <f t="shared" si="1"/>
        <v>275.3191056910569</v>
      </c>
      <c r="E62" s="33">
        <v>129670</v>
      </c>
      <c r="F62" s="62">
        <v>67728.5</v>
      </c>
      <c r="G62" s="53">
        <v>52.23143363923807</v>
      </c>
      <c r="H62" s="91">
        <v>92701</v>
      </c>
      <c r="I62" s="62">
        <v>47033.85</v>
      </c>
      <c r="J62" s="93">
        <v>50.73715493899742</v>
      </c>
      <c r="K62" s="62">
        <v>5274.74</v>
      </c>
      <c r="L62" s="33">
        <v>8805.31</v>
      </c>
      <c r="M62" s="33">
        <v>1246.76</v>
      </c>
      <c r="N62" s="62"/>
      <c r="O62" s="53">
        <v>0</v>
      </c>
      <c r="P62" s="62"/>
      <c r="Q62" s="62">
        <v>4485</v>
      </c>
      <c r="R62" s="62"/>
      <c r="S62" s="62"/>
    </row>
    <row r="63" spans="1:19" ht="11.25">
      <c r="A63" s="50" t="s">
        <v>49</v>
      </c>
      <c r="B63" s="59">
        <v>46</v>
      </c>
      <c r="C63" s="60">
        <v>59</v>
      </c>
      <c r="D63" s="52">
        <f t="shared" si="1"/>
        <v>318.5420056497175</v>
      </c>
      <c r="E63" s="33">
        <v>213889</v>
      </c>
      <c r="F63" s="62">
        <v>112763.87</v>
      </c>
      <c r="G63" s="53">
        <v>52.72074300221142</v>
      </c>
      <c r="H63" s="91">
        <v>147025</v>
      </c>
      <c r="I63" s="62">
        <v>73695.21</v>
      </c>
      <c r="J63" s="93">
        <v>50.12427138241796</v>
      </c>
      <c r="K63" s="62">
        <v>9919.54</v>
      </c>
      <c r="L63" s="33">
        <v>13997.39</v>
      </c>
      <c r="M63" s="33">
        <v>1897.06</v>
      </c>
      <c r="N63" s="62">
        <v>5687.34</v>
      </c>
      <c r="O63" s="53">
        <v>64.83515731874145</v>
      </c>
      <c r="P63" s="62">
        <v>0</v>
      </c>
      <c r="Q63" s="62">
        <v>6728</v>
      </c>
      <c r="R63" s="62"/>
      <c r="S63" s="62"/>
    </row>
    <row r="64" spans="1:19" ht="11.25">
      <c r="A64" s="50" t="s">
        <v>50</v>
      </c>
      <c r="B64" s="59">
        <v>47</v>
      </c>
      <c r="C64" s="60">
        <v>104</v>
      </c>
      <c r="D64" s="52">
        <f t="shared" si="1"/>
        <v>330.76884615384614</v>
      </c>
      <c r="E64" s="33">
        <v>382670</v>
      </c>
      <c r="F64" s="62">
        <v>206399.76</v>
      </c>
      <c r="G64" s="53">
        <v>53.93674967988083</v>
      </c>
      <c r="H64" s="91">
        <v>258519</v>
      </c>
      <c r="I64" s="62">
        <v>132397.94</v>
      </c>
      <c r="J64" s="93">
        <v>51.214007481074894</v>
      </c>
      <c r="K64" s="62">
        <v>18159.87</v>
      </c>
      <c r="L64" s="33">
        <v>25926</v>
      </c>
      <c r="M64" s="33">
        <v>2489.59</v>
      </c>
      <c r="N64" s="62">
        <v>12456.14</v>
      </c>
      <c r="O64" s="53">
        <v>54.95517515221036</v>
      </c>
      <c r="P64" s="62"/>
      <c r="Q64" s="62">
        <v>11213</v>
      </c>
      <c r="R64" s="62"/>
      <c r="S64" s="62"/>
    </row>
    <row r="65" spans="1:19" ht="11.25">
      <c r="A65" s="63" t="s">
        <v>51</v>
      </c>
      <c r="B65" s="59">
        <v>48</v>
      </c>
      <c r="C65" s="60">
        <v>28</v>
      </c>
      <c r="D65" s="52">
        <f t="shared" si="1"/>
        <v>172.6822619047619</v>
      </c>
      <c r="E65" s="33">
        <v>52352</v>
      </c>
      <c r="F65" s="62">
        <v>29010.62</v>
      </c>
      <c r="G65" s="53">
        <v>55.41454003667482</v>
      </c>
      <c r="H65" s="91">
        <v>33247</v>
      </c>
      <c r="I65" s="62">
        <v>15884.14</v>
      </c>
      <c r="J65" s="93">
        <v>47.77616025506061</v>
      </c>
      <c r="K65" s="62">
        <v>2202.33</v>
      </c>
      <c r="L65" s="33">
        <v>2835.79</v>
      </c>
      <c r="M65" s="33">
        <v>404.16</v>
      </c>
      <c r="N65" s="62">
        <v>2667</v>
      </c>
      <c r="O65" s="53">
        <v>100</v>
      </c>
      <c r="P65" s="62"/>
      <c r="Q65" s="62">
        <v>2240</v>
      </c>
      <c r="R65" s="62"/>
      <c r="S65" s="62"/>
    </row>
    <row r="66" spans="1:19" ht="11.25">
      <c r="A66" s="55" t="s">
        <v>53</v>
      </c>
      <c r="B66" s="7"/>
      <c r="C66" s="56">
        <f>SUM(C38:C65)</f>
        <v>1512.5</v>
      </c>
      <c r="D66" s="64">
        <f t="shared" si="1"/>
        <v>304.892949862259</v>
      </c>
      <c r="E66" s="35">
        <f>SUM(E38:E65)</f>
        <v>5194709</v>
      </c>
      <c r="F66" s="35">
        <f>SUM(F38:F65)</f>
        <v>2766903.5200000005</v>
      </c>
      <c r="G66" s="36">
        <v>53.26387907388076</v>
      </c>
      <c r="H66" s="89">
        <f>SUM(H38:H65)</f>
        <v>3551356</v>
      </c>
      <c r="I66" s="35">
        <f>SUM(I38:I65)</f>
        <v>1800129.92</v>
      </c>
      <c r="J66" s="94">
        <v>50.68852348229803</v>
      </c>
      <c r="K66" s="35">
        <f>SUM(K38:K65)</f>
        <v>237613.28</v>
      </c>
      <c r="L66" s="35">
        <f>SUM(L38:L65)</f>
        <v>330863.13</v>
      </c>
      <c r="M66" s="35">
        <f>SUM(M38:M65)</f>
        <v>39934.270000000004</v>
      </c>
      <c r="N66" s="35">
        <f>SUM(N38:N65)</f>
        <v>128792.16999999998</v>
      </c>
      <c r="O66" s="36">
        <v>60.02310191032338</v>
      </c>
      <c r="P66" s="65">
        <f>SUM(P38:P65)</f>
        <v>1300</v>
      </c>
      <c r="Q66" s="65">
        <f>SUM(Q38:Q65)</f>
        <v>175194.12</v>
      </c>
      <c r="R66" s="66">
        <f>SUM(R38:R65)</f>
        <v>0</v>
      </c>
      <c r="S66" s="66">
        <f>SUM(S38:S65)</f>
        <v>0</v>
      </c>
    </row>
    <row r="67" spans="1:19" ht="11.25">
      <c r="A67" s="67" t="s">
        <v>54</v>
      </c>
      <c r="B67" s="68" t="s">
        <v>54</v>
      </c>
      <c r="C67" s="32">
        <v>496</v>
      </c>
      <c r="D67" s="32">
        <f t="shared" si="1"/>
        <v>724.0499596774195</v>
      </c>
      <c r="E67" s="33">
        <f>3807671+30000</f>
        <v>3837671</v>
      </c>
      <c r="F67" s="33">
        <v>2154772.68</v>
      </c>
      <c r="G67" s="36">
        <v>56.14792617710065</v>
      </c>
      <c r="H67" s="88">
        <v>2555685</v>
      </c>
      <c r="I67" s="33">
        <v>1384169.13</v>
      </c>
      <c r="J67" s="94">
        <v>54.16039652774109</v>
      </c>
      <c r="K67" s="33">
        <v>212758.11</v>
      </c>
      <c r="L67" s="33">
        <v>267862.34</v>
      </c>
      <c r="M67" s="33">
        <v>26843.82</v>
      </c>
      <c r="N67" s="33">
        <v>92146.45</v>
      </c>
      <c r="O67" s="36">
        <v>47.25458974358974</v>
      </c>
      <c r="P67" s="33">
        <v>0</v>
      </c>
      <c r="Q67" s="33">
        <v>122614.5</v>
      </c>
      <c r="R67" s="54"/>
      <c r="S67" s="54"/>
    </row>
    <row r="68" spans="1:19" ht="11.25">
      <c r="A68" s="50" t="s">
        <v>55</v>
      </c>
      <c r="B68" s="51" t="s">
        <v>55</v>
      </c>
      <c r="C68" s="60">
        <v>334</v>
      </c>
      <c r="D68" s="60">
        <f t="shared" si="1"/>
        <v>773.7977894211577</v>
      </c>
      <c r="E68" s="33">
        <v>2804530</v>
      </c>
      <c r="F68" s="33">
        <v>1550690.77</v>
      </c>
      <c r="G68" s="53">
        <v>55.29235807782409</v>
      </c>
      <c r="H68" s="91">
        <v>1793932</v>
      </c>
      <c r="I68" s="54">
        <v>926969.66</v>
      </c>
      <c r="J68" s="93">
        <v>51.67250821101358</v>
      </c>
      <c r="K68" s="54">
        <v>143774.3</v>
      </c>
      <c r="L68" s="54">
        <v>177858.33</v>
      </c>
      <c r="M68" s="33">
        <v>22420.5</v>
      </c>
      <c r="N68" s="54">
        <v>25185.89</v>
      </c>
      <c r="O68" s="53">
        <v>46.63449182513378</v>
      </c>
      <c r="P68" s="54">
        <v>535.1</v>
      </c>
      <c r="Q68" s="54">
        <v>74557.28</v>
      </c>
      <c r="R68" s="54"/>
      <c r="S68" s="54"/>
    </row>
    <row r="69" spans="1:19" ht="11.25">
      <c r="A69" s="50" t="s">
        <v>56</v>
      </c>
      <c r="B69" s="51" t="s">
        <v>56</v>
      </c>
      <c r="C69" s="60">
        <v>125</v>
      </c>
      <c r="D69" s="60">
        <f t="shared" si="1"/>
        <v>1973.53692</v>
      </c>
      <c r="E69" s="33">
        <f>2533892+20000</f>
        <v>2553892</v>
      </c>
      <c r="F69" s="33">
        <v>1480152.69</v>
      </c>
      <c r="G69" s="53">
        <v>57.95674562589177</v>
      </c>
      <c r="H69" s="91">
        <v>1689324</v>
      </c>
      <c r="I69" s="54">
        <v>914594.6</v>
      </c>
      <c r="J69" s="93">
        <v>54.139679540455234</v>
      </c>
      <c r="K69" s="54">
        <v>146336.9</v>
      </c>
      <c r="L69" s="54">
        <v>179040.64</v>
      </c>
      <c r="M69" s="33">
        <v>20059.05</v>
      </c>
      <c r="N69" s="54">
        <v>106143.84</v>
      </c>
      <c r="O69" s="53">
        <v>58.386235120684724</v>
      </c>
      <c r="P69" s="54">
        <v>20000</v>
      </c>
      <c r="Q69" s="54">
        <v>79460</v>
      </c>
      <c r="R69" s="54"/>
      <c r="S69" s="54"/>
    </row>
    <row r="70" spans="1:19" ht="11.25">
      <c r="A70" s="50" t="s">
        <v>57</v>
      </c>
      <c r="B70" s="51" t="s">
        <v>57</v>
      </c>
      <c r="C70" s="60">
        <v>344.83</v>
      </c>
      <c r="D70" s="60">
        <f t="shared" si="1"/>
        <v>1043.0666125337123</v>
      </c>
      <c r="E70" s="33">
        <f>3414230+20000</f>
        <v>3434230</v>
      </c>
      <c r="F70" s="33">
        <v>2158083.96</v>
      </c>
      <c r="G70" s="53">
        <v>62.8404026521229</v>
      </c>
      <c r="H70" s="91">
        <v>2201312</v>
      </c>
      <c r="I70" s="54">
        <v>1366835.99</v>
      </c>
      <c r="J70" s="93">
        <v>62.09187929743717</v>
      </c>
      <c r="K70" s="54">
        <v>197035.28</v>
      </c>
      <c r="L70" s="54">
        <v>211747.36</v>
      </c>
      <c r="M70" s="33">
        <v>27119.76</v>
      </c>
      <c r="N70" s="54">
        <v>209328.38</v>
      </c>
      <c r="O70" s="53">
        <v>70.95877288135594</v>
      </c>
      <c r="P70" s="54">
        <v>2665.2</v>
      </c>
      <c r="Q70" s="54">
        <v>108844</v>
      </c>
      <c r="R70" s="54"/>
      <c r="S70" s="54"/>
    </row>
    <row r="71" spans="1:19" ht="11.25">
      <c r="A71" s="50" t="s">
        <v>23</v>
      </c>
      <c r="B71" s="51" t="s">
        <v>58</v>
      </c>
      <c r="C71" s="60">
        <v>162</v>
      </c>
      <c r="D71" s="60">
        <f aca="true" t="shared" si="2" ref="D71:D102">F71/6/C71</f>
        <v>1068.369197530864</v>
      </c>
      <c r="E71" s="33">
        <v>1771237</v>
      </c>
      <c r="F71" s="33">
        <v>1038454.86</v>
      </c>
      <c r="G71" s="53">
        <v>58.62879219438166</v>
      </c>
      <c r="H71" s="91">
        <v>1244438</v>
      </c>
      <c r="I71" s="54">
        <v>696523.75</v>
      </c>
      <c r="J71" s="93">
        <v>55.97094833169671</v>
      </c>
      <c r="K71" s="54">
        <v>104071.87</v>
      </c>
      <c r="L71" s="54">
        <v>119939.4</v>
      </c>
      <c r="M71" s="33">
        <v>14293.73</v>
      </c>
      <c r="N71" s="54">
        <v>34169.07</v>
      </c>
      <c r="O71" s="53">
        <v>89.95411346584177</v>
      </c>
      <c r="P71" s="54"/>
      <c r="Q71" s="54">
        <v>61137.75</v>
      </c>
      <c r="R71" s="54"/>
      <c r="S71" s="54"/>
    </row>
    <row r="72" spans="1:19" ht="11.25">
      <c r="A72" s="50" t="s">
        <v>25</v>
      </c>
      <c r="B72" s="51" t="s">
        <v>59</v>
      </c>
      <c r="C72" s="60">
        <v>144</v>
      </c>
      <c r="D72" s="60">
        <f t="shared" si="2"/>
        <v>1232.865787037037</v>
      </c>
      <c r="E72" s="33">
        <v>1872015</v>
      </c>
      <c r="F72" s="33">
        <v>1065196.04</v>
      </c>
      <c r="G72" s="53">
        <v>56.901041925411924</v>
      </c>
      <c r="H72" s="91">
        <v>1288720</v>
      </c>
      <c r="I72" s="54">
        <v>674759.03</v>
      </c>
      <c r="J72" s="93">
        <v>52.35885452231672</v>
      </c>
      <c r="K72" s="54">
        <v>100363</v>
      </c>
      <c r="L72" s="54">
        <v>128738.16</v>
      </c>
      <c r="M72" s="33">
        <v>15801.05</v>
      </c>
      <c r="N72" s="54">
        <v>70435.55</v>
      </c>
      <c r="O72" s="53">
        <v>77.48770613538103</v>
      </c>
      <c r="P72" s="54">
        <v>0</v>
      </c>
      <c r="Q72" s="54">
        <v>60341</v>
      </c>
      <c r="R72" s="54"/>
      <c r="S72" s="54"/>
    </row>
    <row r="73" spans="1:19" ht="11.25">
      <c r="A73" s="50" t="s">
        <v>26</v>
      </c>
      <c r="B73" s="51" t="s">
        <v>60</v>
      </c>
      <c r="C73" s="60">
        <v>205</v>
      </c>
      <c r="D73" s="60">
        <f t="shared" si="2"/>
        <v>878.7430894308943</v>
      </c>
      <c r="E73" s="33">
        <v>1899296</v>
      </c>
      <c r="F73" s="33">
        <f>1078854+2000</f>
        <v>1080854</v>
      </c>
      <c r="G73" s="53">
        <v>56.9081385945108</v>
      </c>
      <c r="H73" s="91">
        <v>1299771</v>
      </c>
      <c r="I73" s="54">
        <v>679797.15</v>
      </c>
      <c r="J73" s="93">
        <v>52.30130153696305</v>
      </c>
      <c r="K73" s="54">
        <v>108331.23</v>
      </c>
      <c r="L73" s="54">
        <v>131253.91</v>
      </c>
      <c r="M73" s="33">
        <v>14874.33</v>
      </c>
      <c r="N73" s="54">
        <v>67340.64</v>
      </c>
      <c r="O73" s="53">
        <v>73.93570487483531</v>
      </c>
      <c r="P73" s="54">
        <v>325.42</v>
      </c>
      <c r="Q73" s="54">
        <v>64332</v>
      </c>
      <c r="R73" s="54"/>
      <c r="S73" s="54"/>
    </row>
    <row r="74" spans="1:19" ht="11.25">
      <c r="A74" s="50" t="s">
        <v>61</v>
      </c>
      <c r="B74" s="51" t="s">
        <v>62</v>
      </c>
      <c r="C74" s="60">
        <v>169</v>
      </c>
      <c r="D74" s="60">
        <f t="shared" si="2"/>
        <v>833.9496449704142</v>
      </c>
      <c r="E74" s="33">
        <v>1456714</v>
      </c>
      <c r="F74" s="33">
        <v>845624.94</v>
      </c>
      <c r="G74" s="53">
        <v>58.05016907917408</v>
      </c>
      <c r="H74" s="91">
        <v>974633</v>
      </c>
      <c r="I74" s="54">
        <v>535629.74</v>
      </c>
      <c r="J74" s="93">
        <v>54.9570699945518</v>
      </c>
      <c r="K74" s="54">
        <v>82191.17</v>
      </c>
      <c r="L74" s="54">
        <v>115119.32</v>
      </c>
      <c r="M74" s="33">
        <v>12224.33</v>
      </c>
      <c r="N74" s="54">
        <v>28726.37</v>
      </c>
      <c r="O74" s="53">
        <v>60.128456305599165</v>
      </c>
      <c r="P74" s="54">
        <v>0</v>
      </c>
      <c r="Q74" s="54">
        <v>46973</v>
      </c>
      <c r="R74" s="54"/>
      <c r="S74" s="54"/>
    </row>
    <row r="75" spans="1:19" ht="11.25">
      <c r="A75" s="50" t="s">
        <v>63</v>
      </c>
      <c r="B75" s="51" t="s">
        <v>64</v>
      </c>
      <c r="C75" s="60">
        <v>239</v>
      </c>
      <c r="D75" s="60">
        <f t="shared" si="2"/>
        <v>851.8637238493725</v>
      </c>
      <c r="E75" s="33">
        <v>2156659</v>
      </c>
      <c r="F75" s="33">
        <v>1221572.58</v>
      </c>
      <c r="G75" s="53">
        <v>56.64189749051658</v>
      </c>
      <c r="H75" s="91">
        <v>1428844</v>
      </c>
      <c r="I75" s="54">
        <v>763115.6</v>
      </c>
      <c r="J75" s="93">
        <v>53.40790177234184</v>
      </c>
      <c r="K75" s="54">
        <v>138995.33</v>
      </c>
      <c r="L75" s="54">
        <v>149704.08</v>
      </c>
      <c r="M75" s="33">
        <v>17369.05</v>
      </c>
      <c r="N75" s="54">
        <v>16272.05</v>
      </c>
      <c r="O75" s="53">
        <v>51.24732300327538</v>
      </c>
      <c r="P75" s="54">
        <v>883.19</v>
      </c>
      <c r="Q75" s="54">
        <v>63066.27</v>
      </c>
      <c r="R75" s="54"/>
      <c r="S75" s="54"/>
    </row>
    <row r="76" spans="1:19" ht="11.25">
      <c r="A76" s="50" t="s">
        <v>65</v>
      </c>
      <c r="B76" s="51" t="s">
        <v>65</v>
      </c>
      <c r="C76" s="60">
        <v>416</v>
      </c>
      <c r="D76" s="60">
        <f t="shared" si="2"/>
        <v>732.9263942307692</v>
      </c>
      <c r="E76" s="33">
        <f>3112705+5000</f>
        <v>3117705</v>
      </c>
      <c r="F76" s="33">
        <v>1829384.28</v>
      </c>
      <c r="G76" s="53">
        <v>58.67727318652663</v>
      </c>
      <c r="H76" s="91">
        <v>2046676</v>
      </c>
      <c r="I76" s="54">
        <v>1148574.66</v>
      </c>
      <c r="J76" s="93">
        <v>56.11902714450162</v>
      </c>
      <c r="K76" s="54">
        <v>171320.27</v>
      </c>
      <c r="L76" s="54">
        <v>216647.14</v>
      </c>
      <c r="M76" s="33">
        <v>22841.93</v>
      </c>
      <c r="N76" s="54">
        <v>133758.03</v>
      </c>
      <c r="O76" s="53">
        <v>68.59386153846154</v>
      </c>
      <c r="P76" s="54">
        <v>325.95</v>
      </c>
      <c r="Q76" s="54">
        <v>100835</v>
      </c>
      <c r="R76" s="54"/>
      <c r="S76" s="54"/>
    </row>
    <row r="77" spans="1:19" ht="11.25">
      <c r="A77" s="50" t="s">
        <v>38</v>
      </c>
      <c r="B77" s="51" t="s">
        <v>66</v>
      </c>
      <c r="C77" s="60">
        <v>327</v>
      </c>
      <c r="D77" s="60">
        <f t="shared" si="2"/>
        <v>755.7330733944954</v>
      </c>
      <c r="E77" s="33">
        <v>2714457</v>
      </c>
      <c r="F77" s="33">
        <v>1482748.29</v>
      </c>
      <c r="G77" s="53">
        <v>54.62412150938475</v>
      </c>
      <c r="H77" s="91">
        <v>1796809</v>
      </c>
      <c r="I77" s="54">
        <v>1011072.12</v>
      </c>
      <c r="J77" s="93">
        <v>56.270428298166365</v>
      </c>
      <c r="K77" s="54">
        <v>153771.55</v>
      </c>
      <c r="L77" s="54">
        <v>197395.93</v>
      </c>
      <c r="M77" s="33">
        <v>19117.47</v>
      </c>
      <c r="N77" s="54">
        <v>4559.74</v>
      </c>
      <c r="O77" s="53">
        <v>2.456227106227106</v>
      </c>
      <c r="P77" s="54">
        <v>1599</v>
      </c>
      <c r="Q77" s="54">
        <v>86927</v>
      </c>
      <c r="R77" s="54"/>
      <c r="S77" s="54"/>
    </row>
    <row r="78" spans="1:19" ht="11.25">
      <c r="A78" s="50" t="s">
        <v>67</v>
      </c>
      <c r="B78" s="51" t="s">
        <v>68</v>
      </c>
      <c r="C78" s="60">
        <v>365.5</v>
      </c>
      <c r="D78" s="60">
        <f t="shared" si="2"/>
        <v>632.069448244414</v>
      </c>
      <c r="E78" s="33">
        <v>2593784</v>
      </c>
      <c r="F78" s="33">
        <v>1386128.3</v>
      </c>
      <c r="G78" s="53">
        <v>53.44039056451887</v>
      </c>
      <c r="H78" s="91">
        <v>1776981</v>
      </c>
      <c r="I78" s="54">
        <v>871090.96</v>
      </c>
      <c r="J78" s="93">
        <v>49.020837026394766</v>
      </c>
      <c r="K78" s="54">
        <v>136433.2</v>
      </c>
      <c r="L78" s="54">
        <v>167840.23</v>
      </c>
      <c r="M78" s="33">
        <v>21732.75</v>
      </c>
      <c r="N78" s="54">
        <v>80379.35</v>
      </c>
      <c r="O78" s="53">
        <v>68.83266966388354</v>
      </c>
      <c r="P78" s="54"/>
      <c r="Q78" s="54">
        <v>82676</v>
      </c>
      <c r="R78" s="54"/>
      <c r="S78" s="69"/>
    </row>
    <row r="79" spans="1:19" ht="11.25">
      <c r="A79" s="50" t="s">
        <v>69</v>
      </c>
      <c r="B79" s="51" t="s">
        <v>70</v>
      </c>
      <c r="C79" s="60">
        <v>314.67</v>
      </c>
      <c r="D79" s="60">
        <f t="shared" si="2"/>
        <v>843.3693975699409</v>
      </c>
      <c r="E79" s="33">
        <v>3028180</v>
      </c>
      <c r="F79" s="33">
        <v>1592298.29</v>
      </c>
      <c r="G79" s="53">
        <v>52.5826829977082</v>
      </c>
      <c r="H79" s="91">
        <v>2047678</v>
      </c>
      <c r="I79" s="54">
        <v>969786.1</v>
      </c>
      <c r="J79" s="93">
        <v>47.36028320859042</v>
      </c>
      <c r="K79" s="54">
        <v>146827.96</v>
      </c>
      <c r="L79" s="54">
        <v>190251.78</v>
      </c>
      <c r="M79" s="33">
        <v>20592.24</v>
      </c>
      <c r="N79" s="54">
        <v>141752.46</v>
      </c>
      <c r="O79" s="53">
        <v>77.90908291471096</v>
      </c>
      <c r="P79" s="54">
        <v>0</v>
      </c>
      <c r="Q79" s="54">
        <v>102302</v>
      </c>
      <c r="R79" s="54"/>
      <c r="S79" s="54"/>
    </row>
    <row r="80" spans="1:19" ht="11.25">
      <c r="A80" s="50" t="s">
        <v>45</v>
      </c>
      <c r="B80" s="51" t="s">
        <v>71</v>
      </c>
      <c r="C80" s="60">
        <v>196</v>
      </c>
      <c r="D80" s="60">
        <f t="shared" si="2"/>
        <v>955.0158418367346</v>
      </c>
      <c r="E80" s="33">
        <v>1988236</v>
      </c>
      <c r="F80" s="33">
        <v>1123098.63</v>
      </c>
      <c r="G80" s="53">
        <v>56.487189146560056</v>
      </c>
      <c r="H80" s="91">
        <v>1419303</v>
      </c>
      <c r="I80" s="54">
        <v>767950.73</v>
      </c>
      <c r="J80" s="93">
        <v>54.10759577060007</v>
      </c>
      <c r="K80" s="54">
        <v>118509.46</v>
      </c>
      <c r="L80" s="54">
        <v>148908.29</v>
      </c>
      <c r="M80" s="33">
        <v>12566.89</v>
      </c>
      <c r="N80" s="54">
        <v>0</v>
      </c>
      <c r="O80" s="53">
        <v>0</v>
      </c>
      <c r="P80" s="54"/>
      <c r="Q80" s="54">
        <v>67644.75</v>
      </c>
      <c r="R80" s="54"/>
      <c r="S80" s="54"/>
    </row>
    <row r="81" spans="1:19" ht="11.25">
      <c r="A81" s="50" t="s">
        <v>46</v>
      </c>
      <c r="B81" s="51" t="s">
        <v>72</v>
      </c>
      <c r="C81" s="60">
        <v>254</v>
      </c>
      <c r="D81" s="60">
        <f t="shared" si="2"/>
        <v>1017.8400590551181</v>
      </c>
      <c r="E81" s="33">
        <v>2607194</v>
      </c>
      <c r="F81" s="33">
        <v>1551188.25</v>
      </c>
      <c r="G81" s="53">
        <v>59.49646439812304</v>
      </c>
      <c r="H81" s="91">
        <v>1709072</v>
      </c>
      <c r="I81" s="54">
        <v>957319</v>
      </c>
      <c r="J81" s="93">
        <v>56.013965473660555</v>
      </c>
      <c r="K81" s="54">
        <v>144158.93</v>
      </c>
      <c r="L81" s="54">
        <v>177591.32</v>
      </c>
      <c r="M81" s="33">
        <v>16777.84</v>
      </c>
      <c r="N81" s="54">
        <v>161480.74</v>
      </c>
      <c r="O81" s="53">
        <v>73.40033636363637</v>
      </c>
      <c r="P81" s="54">
        <v>0</v>
      </c>
      <c r="Q81" s="54">
        <v>79434</v>
      </c>
      <c r="R81" s="54"/>
      <c r="S81" s="54"/>
    </row>
    <row r="82" spans="1:19" ht="11.25">
      <c r="A82" s="50" t="s">
        <v>47</v>
      </c>
      <c r="B82" s="51" t="s">
        <v>73</v>
      </c>
      <c r="C82" s="60">
        <v>435</v>
      </c>
      <c r="D82" s="60">
        <f t="shared" si="2"/>
        <v>646.1923754789273</v>
      </c>
      <c r="E82" s="33">
        <v>2827234</v>
      </c>
      <c r="F82" s="33">
        <v>1686562.1</v>
      </c>
      <c r="G82" s="53">
        <v>59.654138992386194</v>
      </c>
      <c r="H82" s="91">
        <v>1840572</v>
      </c>
      <c r="I82" s="54">
        <v>1021145.27</v>
      </c>
      <c r="J82" s="93">
        <v>55.47977856883621</v>
      </c>
      <c r="K82" s="54">
        <v>160728.07</v>
      </c>
      <c r="L82" s="54">
        <v>198119.46</v>
      </c>
      <c r="M82" s="33">
        <v>21808.69</v>
      </c>
      <c r="N82" s="54">
        <v>143327.14</v>
      </c>
      <c r="O82" s="53">
        <v>78.23576547906922</v>
      </c>
      <c r="P82" s="54">
        <v>2162.29</v>
      </c>
      <c r="Q82" s="54">
        <v>90789</v>
      </c>
      <c r="R82" s="54"/>
      <c r="S82" s="54"/>
    </row>
    <row r="83" spans="1:19" ht="11.25">
      <c r="A83" s="50" t="s">
        <v>49</v>
      </c>
      <c r="B83" s="51" t="s">
        <v>74</v>
      </c>
      <c r="C83" s="60">
        <v>297</v>
      </c>
      <c r="D83" s="60">
        <f t="shared" si="2"/>
        <v>677.8234904601571</v>
      </c>
      <c r="E83" s="33">
        <v>2138144</v>
      </c>
      <c r="F83" s="33">
        <v>1207881.46</v>
      </c>
      <c r="G83" s="53">
        <v>56.49205385605459</v>
      </c>
      <c r="H83" s="91">
        <v>1449944</v>
      </c>
      <c r="I83" s="54">
        <v>791981.59</v>
      </c>
      <c r="J83" s="93">
        <v>54.62152952114012</v>
      </c>
      <c r="K83" s="54">
        <v>114245.98</v>
      </c>
      <c r="L83" s="54">
        <v>140237.49</v>
      </c>
      <c r="M83" s="33">
        <v>14540.53</v>
      </c>
      <c r="N83" s="54">
        <v>60562.41</v>
      </c>
      <c r="O83" s="53">
        <v>50.42245441678461</v>
      </c>
      <c r="P83" s="54">
        <v>1660.5</v>
      </c>
      <c r="Q83" s="54">
        <v>66986</v>
      </c>
      <c r="R83" s="54"/>
      <c r="S83" s="70"/>
    </row>
    <row r="84" spans="1:19" ht="11.25">
      <c r="A84" s="50" t="s">
        <v>50</v>
      </c>
      <c r="B84" s="51" t="s">
        <v>75</v>
      </c>
      <c r="C84" s="60">
        <v>293.5</v>
      </c>
      <c r="D84" s="60">
        <f t="shared" si="2"/>
        <v>1037.7327541169789</v>
      </c>
      <c r="E84" s="33">
        <v>3030332</v>
      </c>
      <c r="F84" s="33">
        <v>1827447.38</v>
      </c>
      <c r="G84" s="53">
        <v>60.30518702241206</v>
      </c>
      <c r="H84" s="91">
        <v>2009511</v>
      </c>
      <c r="I84" s="54">
        <v>1098798.63</v>
      </c>
      <c r="J84" s="93">
        <v>54.679901229702146</v>
      </c>
      <c r="K84" s="54">
        <v>164587.51</v>
      </c>
      <c r="L84" s="54">
        <v>211458.18</v>
      </c>
      <c r="M84" s="33">
        <v>23759.42</v>
      </c>
      <c r="N84" s="54">
        <v>212632</v>
      </c>
      <c r="O84" s="53">
        <v>96.30072463768116</v>
      </c>
      <c r="P84" s="54">
        <v>4086.68</v>
      </c>
      <c r="Q84" s="54">
        <v>95795</v>
      </c>
      <c r="R84" s="54"/>
      <c r="S84" s="70"/>
    </row>
    <row r="85" spans="1:19" ht="11.25">
      <c r="A85" s="50" t="s">
        <v>51</v>
      </c>
      <c r="B85" s="51" t="s">
        <v>76</v>
      </c>
      <c r="C85" s="60">
        <v>171</v>
      </c>
      <c r="D85" s="60">
        <f t="shared" si="2"/>
        <v>942.6653411306044</v>
      </c>
      <c r="E85" s="33">
        <v>1623697</v>
      </c>
      <c r="F85" s="33">
        <v>967174.64</v>
      </c>
      <c r="G85" s="53">
        <v>59.566202314840766</v>
      </c>
      <c r="H85" s="91">
        <v>1118095</v>
      </c>
      <c r="I85" s="54">
        <v>626837.52</v>
      </c>
      <c r="J85" s="93">
        <v>56.062992858388604</v>
      </c>
      <c r="K85" s="54">
        <v>100702.51</v>
      </c>
      <c r="L85" s="54">
        <v>118515.99</v>
      </c>
      <c r="M85" s="33">
        <v>14757.27</v>
      </c>
      <c r="N85" s="54">
        <v>27508</v>
      </c>
      <c r="O85" s="53">
        <v>100</v>
      </c>
      <c r="P85" s="54">
        <v>1493.1</v>
      </c>
      <c r="Q85" s="54">
        <v>57636</v>
      </c>
      <c r="R85" s="54"/>
      <c r="S85" s="70"/>
    </row>
    <row r="86" spans="1:19" ht="11.25">
      <c r="A86" s="50" t="s">
        <v>77</v>
      </c>
      <c r="B86" s="51" t="s">
        <v>78</v>
      </c>
      <c r="C86" s="60">
        <v>153</v>
      </c>
      <c r="D86" s="60">
        <f t="shared" si="2"/>
        <v>375.0516775599129</v>
      </c>
      <c r="E86" s="33">
        <v>562587</v>
      </c>
      <c r="F86" s="33">
        <v>344297.44</v>
      </c>
      <c r="G86" s="53">
        <v>61.19896833734161</v>
      </c>
      <c r="H86" s="91">
        <v>395081</v>
      </c>
      <c r="I86" s="54">
        <v>233048.63</v>
      </c>
      <c r="J86" s="93">
        <v>58.987556981985975</v>
      </c>
      <c r="K86" s="54">
        <v>28668.63</v>
      </c>
      <c r="L86" s="54">
        <v>43329.46</v>
      </c>
      <c r="M86" s="33">
        <v>5320.52</v>
      </c>
      <c r="N86" s="54">
        <v>444.79</v>
      </c>
      <c r="O86" s="53">
        <v>30.654031702274292</v>
      </c>
      <c r="P86" s="54">
        <v>1224.62</v>
      </c>
      <c r="Q86" s="54">
        <v>26556</v>
      </c>
      <c r="R86" s="54"/>
      <c r="S86" s="70"/>
    </row>
    <row r="87" spans="1:19" ht="11.25">
      <c r="A87" s="50" t="s">
        <v>79</v>
      </c>
      <c r="B87" s="51" t="s">
        <v>80</v>
      </c>
      <c r="C87" s="60">
        <v>170</v>
      </c>
      <c r="D87" s="60">
        <f t="shared" si="2"/>
        <v>640.083137254902</v>
      </c>
      <c r="E87" s="33">
        <v>1203553</v>
      </c>
      <c r="F87" s="33">
        <v>652884.8</v>
      </c>
      <c r="G87" s="53">
        <v>54.24645196347814</v>
      </c>
      <c r="H87" s="91">
        <v>846136</v>
      </c>
      <c r="I87" s="54">
        <v>426519</v>
      </c>
      <c r="J87" s="93">
        <v>50.407854056558286</v>
      </c>
      <c r="K87" s="54">
        <v>70372</v>
      </c>
      <c r="L87" s="54">
        <v>85398</v>
      </c>
      <c r="M87" s="33">
        <v>12172</v>
      </c>
      <c r="N87" s="54">
        <v>12311.19</v>
      </c>
      <c r="O87" s="53">
        <v>53.52691304347827</v>
      </c>
      <c r="P87" s="54"/>
      <c r="Q87" s="54">
        <v>39000</v>
      </c>
      <c r="R87" s="54"/>
      <c r="S87" s="70"/>
    </row>
    <row r="88" spans="1:19" ht="11.25">
      <c r="A88" s="50" t="s">
        <v>81</v>
      </c>
      <c r="B88" s="51" t="s">
        <v>82</v>
      </c>
      <c r="C88" s="60">
        <v>229</v>
      </c>
      <c r="D88" s="60">
        <f t="shared" si="2"/>
        <v>650.3886098981077</v>
      </c>
      <c r="E88" s="33">
        <v>1748906</v>
      </c>
      <c r="F88" s="33">
        <v>893633.95</v>
      </c>
      <c r="G88" s="53">
        <v>51.096739904831935</v>
      </c>
      <c r="H88" s="91">
        <v>1253846</v>
      </c>
      <c r="I88" s="54">
        <v>609903.24</v>
      </c>
      <c r="J88" s="93">
        <v>48.64259566166818</v>
      </c>
      <c r="K88" s="54">
        <v>89454.99</v>
      </c>
      <c r="L88" s="54">
        <v>117315.31</v>
      </c>
      <c r="M88" s="33">
        <v>10626.74</v>
      </c>
      <c r="N88" s="54"/>
      <c r="O88" s="53">
        <v>0</v>
      </c>
      <c r="P88" s="54"/>
      <c r="Q88" s="54">
        <v>58463</v>
      </c>
      <c r="R88" s="54"/>
      <c r="S88" s="70"/>
    </row>
    <row r="89" spans="1:19" ht="11.25">
      <c r="A89" s="55" t="s">
        <v>83</v>
      </c>
      <c r="B89" s="55"/>
      <c r="C89" s="56">
        <f>SUM(C67:C88)</f>
        <v>5840.5</v>
      </c>
      <c r="D89" s="56">
        <f t="shared" si="2"/>
        <v>831.5535293781926</v>
      </c>
      <c r="E89" s="35">
        <f>SUM(E67:E88)</f>
        <v>50970253</v>
      </c>
      <c r="F89" s="35">
        <f>SUM(F67:F88)</f>
        <v>29140130.330000002</v>
      </c>
      <c r="G89" s="36">
        <v>57.1708567544289</v>
      </c>
      <c r="H89" s="89">
        <f>SUM(H67:H88)</f>
        <v>34186363</v>
      </c>
      <c r="I89" s="35">
        <f>SUM(I67:I88)</f>
        <v>18476422.099999998</v>
      </c>
      <c r="J89" s="94">
        <v>54.04617654121322</v>
      </c>
      <c r="K89" s="35">
        <f>SUM(K67:K88)</f>
        <v>2833638.25</v>
      </c>
      <c r="L89" s="35">
        <f>SUM(L67:L88)</f>
        <v>3494272.12</v>
      </c>
      <c r="M89" s="35">
        <f>SUM(M67:M88)</f>
        <v>387619.91000000003</v>
      </c>
      <c r="N89" s="35">
        <f>SUM(N67:N88)</f>
        <v>1628464.09</v>
      </c>
      <c r="O89" s="36">
        <v>65.0339629739527</v>
      </c>
      <c r="P89" s="35">
        <f>SUM(P67:P88)</f>
        <v>36961.049999999996</v>
      </c>
      <c r="Q89" s="35">
        <f>SUM(Q67:Q88)</f>
        <v>1636369.55</v>
      </c>
      <c r="R89" s="35">
        <f>SUM(R67:R88)</f>
        <v>0</v>
      </c>
      <c r="S89" s="35">
        <f>SUM(S67:S88)</f>
        <v>0</v>
      </c>
    </row>
    <row r="90" spans="1:19" ht="11.25">
      <c r="A90" s="6" t="s">
        <v>23</v>
      </c>
      <c r="B90" s="68">
        <v>8</v>
      </c>
      <c r="C90" s="71"/>
      <c r="D90" s="71"/>
      <c r="E90" s="33">
        <v>27500</v>
      </c>
      <c r="F90" s="33">
        <v>17036.45</v>
      </c>
      <c r="G90" s="36">
        <v>61.95072727272728</v>
      </c>
      <c r="H90" s="89"/>
      <c r="I90" s="35"/>
      <c r="J90" s="94"/>
      <c r="K90" s="35"/>
      <c r="L90" s="35"/>
      <c r="M90" s="35"/>
      <c r="N90" s="35"/>
      <c r="O90" s="36"/>
      <c r="P90" s="35"/>
      <c r="Q90" s="35"/>
      <c r="R90" s="35"/>
      <c r="S90" s="35"/>
    </row>
    <row r="91" spans="1:19" ht="11.25">
      <c r="A91" s="70" t="s">
        <v>24</v>
      </c>
      <c r="B91" s="51">
        <v>10</v>
      </c>
      <c r="C91" s="72"/>
      <c r="D91" s="72"/>
      <c r="E91" s="33">
        <v>19000</v>
      </c>
      <c r="F91" s="33">
        <v>5095.44</v>
      </c>
      <c r="G91" s="53">
        <v>26.818105263157893</v>
      </c>
      <c r="H91" s="89"/>
      <c r="I91" s="35"/>
      <c r="J91" s="93"/>
      <c r="K91" s="35"/>
      <c r="L91" s="35"/>
      <c r="M91" s="35"/>
      <c r="N91" s="35"/>
      <c r="O91" s="36"/>
      <c r="P91" s="35"/>
      <c r="Q91" s="35"/>
      <c r="R91" s="35"/>
      <c r="S91" s="35"/>
    </row>
    <row r="92" spans="1:19" ht="11.25">
      <c r="A92" s="70" t="s">
        <v>25</v>
      </c>
      <c r="B92" s="51">
        <v>11</v>
      </c>
      <c r="C92" s="72"/>
      <c r="D92" s="72"/>
      <c r="E92" s="33">
        <v>4784</v>
      </c>
      <c r="F92" s="33">
        <v>1749.6</v>
      </c>
      <c r="G92" s="53">
        <v>36.57190635451505</v>
      </c>
      <c r="H92" s="89"/>
      <c r="I92" s="35"/>
      <c r="J92" s="93"/>
      <c r="K92" s="35"/>
      <c r="L92" s="35"/>
      <c r="M92" s="35"/>
      <c r="N92" s="35"/>
      <c r="O92" s="36"/>
      <c r="P92" s="35"/>
      <c r="Q92" s="35"/>
      <c r="R92" s="35"/>
      <c r="S92" s="35"/>
    </row>
    <row r="93" spans="1:19" ht="11.25">
      <c r="A93" s="70" t="s">
        <v>27</v>
      </c>
      <c r="B93" s="51">
        <v>13</v>
      </c>
      <c r="C93" s="72"/>
      <c r="D93" s="72"/>
      <c r="E93" s="33">
        <v>2040</v>
      </c>
      <c r="F93" s="33">
        <v>935</v>
      </c>
      <c r="G93" s="53">
        <v>45.83333333333333</v>
      </c>
      <c r="H93" s="89"/>
      <c r="I93" s="35"/>
      <c r="J93" s="93"/>
      <c r="K93" s="35"/>
      <c r="L93" s="35"/>
      <c r="M93" s="35"/>
      <c r="N93" s="35"/>
      <c r="O93" s="36"/>
      <c r="P93" s="35"/>
      <c r="Q93" s="35"/>
      <c r="R93" s="35"/>
      <c r="S93" s="35"/>
    </row>
    <row r="94" spans="1:19" ht="11.25">
      <c r="A94" s="70" t="s">
        <v>36</v>
      </c>
      <c r="B94" s="51">
        <v>28</v>
      </c>
      <c r="C94" s="72"/>
      <c r="D94" s="72"/>
      <c r="E94" s="33">
        <v>13076</v>
      </c>
      <c r="F94" s="33">
        <v>4097.17</v>
      </c>
      <c r="G94" s="53">
        <v>31.333511777301926</v>
      </c>
      <c r="H94" s="89"/>
      <c r="I94" s="35"/>
      <c r="J94" s="93"/>
      <c r="K94" s="35"/>
      <c r="L94" s="35"/>
      <c r="M94" s="35"/>
      <c r="N94" s="35"/>
      <c r="O94" s="36"/>
      <c r="P94" s="35"/>
      <c r="Q94" s="35"/>
      <c r="R94" s="35"/>
      <c r="S94" s="35"/>
    </row>
    <row r="95" spans="1:19" ht="11.25">
      <c r="A95" s="70" t="s">
        <v>40</v>
      </c>
      <c r="B95" s="51">
        <v>34</v>
      </c>
      <c r="C95" s="72"/>
      <c r="D95" s="72"/>
      <c r="E95" s="33">
        <v>18150</v>
      </c>
      <c r="F95" s="33">
        <v>9562</v>
      </c>
      <c r="G95" s="53">
        <v>52.6831955922865</v>
      </c>
      <c r="H95" s="89"/>
      <c r="I95" s="35"/>
      <c r="J95" s="93"/>
      <c r="K95" s="35"/>
      <c r="L95" s="35"/>
      <c r="M95" s="35"/>
      <c r="N95" s="35"/>
      <c r="O95" s="36"/>
      <c r="P95" s="35"/>
      <c r="Q95" s="35"/>
      <c r="R95" s="35"/>
      <c r="S95" s="35"/>
    </row>
    <row r="96" spans="1:19" ht="11.25">
      <c r="A96" s="70" t="s">
        <v>41</v>
      </c>
      <c r="B96" s="51">
        <v>35</v>
      </c>
      <c r="C96" s="72"/>
      <c r="D96" s="72"/>
      <c r="E96" s="33">
        <v>1050</v>
      </c>
      <c r="F96" s="33">
        <v>630</v>
      </c>
      <c r="G96" s="53">
        <v>60</v>
      </c>
      <c r="H96" s="89"/>
      <c r="I96" s="35"/>
      <c r="J96" s="93"/>
      <c r="K96" s="35"/>
      <c r="L96" s="35"/>
      <c r="M96" s="35"/>
      <c r="N96" s="35"/>
      <c r="O96" s="36"/>
      <c r="P96" s="35"/>
      <c r="Q96" s="35"/>
      <c r="R96" s="35"/>
      <c r="S96" s="35"/>
    </row>
    <row r="97" spans="1:19" ht="11.25">
      <c r="A97" s="70" t="s">
        <v>46</v>
      </c>
      <c r="B97" s="51">
        <v>43</v>
      </c>
      <c r="C97" s="72"/>
      <c r="D97" s="72"/>
      <c r="E97" s="33">
        <v>28500</v>
      </c>
      <c r="F97" s="33">
        <v>15602</v>
      </c>
      <c r="G97" s="53">
        <v>54.743859649122804</v>
      </c>
      <c r="H97" s="89"/>
      <c r="I97" s="35"/>
      <c r="J97" s="93"/>
      <c r="K97" s="35"/>
      <c r="L97" s="35"/>
      <c r="M97" s="35"/>
      <c r="N97" s="35"/>
      <c r="O97" s="36"/>
      <c r="P97" s="35"/>
      <c r="Q97" s="35"/>
      <c r="R97" s="35"/>
      <c r="S97" s="35"/>
    </row>
    <row r="98" spans="1:19" ht="11.25">
      <c r="A98" s="70" t="s">
        <v>50</v>
      </c>
      <c r="B98" s="51">
        <v>47</v>
      </c>
      <c r="C98" s="72"/>
      <c r="D98" s="72"/>
      <c r="E98" s="33">
        <v>3200</v>
      </c>
      <c r="F98" s="33">
        <v>2658.19</v>
      </c>
      <c r="G98" s="53">
        <v>83.0684375</v>
      </c>
      <c r="H98" s="89"/>
      <c r="I98" s="35"/>
      <c r="J98" s="93"/>
      <c r="K98" s="35"/>
      <c r="L98" s="35"/>
      <c r="M98" s="35"/>
      <c r="N98" s="35"/>
      <c r="O98" s="36"/>
      <c r="P98" s="35"/>
      <c r="Q98" s="35"/>
      <c r="R98" s="35"/>
      <c r="S98" s="35"/>
    </row>
    <row r="99" spans="1:19" ht="11.25">
      <c r="A99" s="70" t="s">
        <v>51</v>
      </c>
      <c r="B99" s="51">
        <v>48</v>
      </c>
      <c r="C99" s="72"/>
      <c r="D99" s="72"/>
      <c r="E99" s="33">
        <v>6370</v>
      </c>
      <c r="F99" s="33">
        <v>3045</v>
      </c>
      <c r="G99" s="53">
        <v>47.8021978021978</v>
      </c>
      <c r="H99" s="89"/>
      <c r="I99" s="35"/>
      <c r="J99" s="93"/>
      <c r="K99" s="35"/>
      <c r="L99" s="35"/>
      <c r="M99" s="35"/>
      <c r="N99" s="35"/>
      <c r="O99" s="36"/>
      <c r="P99" s="35"/>
      <c r="Q99" s="35"/>
      <c r="R99" s="35"/>
      <c r="S99" s="35"/>
    </row>
    <row r="100" spans="1:19" ht="11.25">
      <c r="A100" s="70" t="s">
        <v>84</v>
      </c>
      <c r="B100" s="51" t="s">
        <v>82</v>
      </c>
      <c r="C100" s="72"/>
      <c r="D100" s="72"/>
      <c r="E100" s="33">
        <v>1800</v>
      </c>
      <c r="F100" s="33">
        <v>1207.44</v>
      </c>
      <c r="G100" s="53">
        <v>67.08</v>
      </c>
      <c r="H100" s="89"/>
      <c r="I100" s="35"/>
      <c r="J100" s="93"/>
      <c r="K100" s="35"/>
      <c r="L100" s="35"/>
      <c r="M100" s="35"/>
      <c r="N100" s="35"/>
      <c r="O100" s="36"/>
      <c r="P100" s="35"/>
      <c r="Q100" s="35"/>
      <c r="R100" s="35"/>
      <c r="S100" s="35"/>
    </row>
    <row r="101" spans="1:19" ht="11.25">
      <c r="A101" s="73" t="s">
        <v>85</v>
      </c>
      <c r="B101" s="72"/>
      <c r="C101" s="72"/>
      <c r="D101" s="71"/>
      <c r="E101" s="35">
        <f>SUM(E90:E100)</f>
        <v>125470</v>
      </c>
      <c r="F101" s="35">
        <f>SUM(F90:F100)</f>
        <v>61618.29</v>
      </c>
      <c r="G101" s="53">
        <v>49.10997848091177</v>
      </c>
      <c r="H101" s="89">
        <f>SUM(H90:H100)</f>
        <v>0</v>
      </c>
      <c r="I101" s="35">
        <f>SUM(I90:I100)</f>
        <v>0</v>
      </c>
      <c r="J101" s="94">
        <v>0</v>
      </c>
      <c r="K101" s="35">
        <f>SUM(K90:K100)</f>
        <v>0</v>
      </c>
      <c r="L101" s="35">
        <f>SUM(L90:L100)</f>
        <v>0</v>
      </c>
      <c r="M101" s="35">
        <f>SUM(M90:M100)</f>
        <v>0</v>
      </c>
      <c r="N101" s="35">
        <f>SUM(N90:N100)</f>
        <v>0</v>
      </c>
      <c r="O101" s="36">
        <v>0</v>
      </c>
      <c r="P101" s="35">
        <f>SUM(P90:P100)</f>
        <v>0</v>
      </c>
      <c r="Q101" s="35">
        <f>SUM(Q90:Q100)</f>
        <v>0</v>
      </c>
      <c r="R101" s="35">
        <f>SUM(R90:R100)</f>
        <v>0</v>
      </c>
      <c r="S101" s="35">
        <f>SUM(S90:S100)</f>
        <v>0</v>
      </c>
    </row>
    <row r="102" spans="1:19" ht="11.25" hidden="1">
      <c r="A102" s="70" t="s">
        <v>61</v>
      </c>
      <c r="B102" s="51" t="s">
        <v>86</v>
      </c>
      <c r="C102" s="51"/>
      <c r="D102" s="60" t="e">
        <f>F102/6/C102</f>
        <v>#DIV/0!</v>
      </c>
      <c r="E102" s="33"/>
      <c r="F102" s="33"/>
      <c r="G102" s="53" t="e">
        <v>#DIV/0!</v>
      </c>
      <c r="H102" s="88"/>
      <c r="I102" s="33"/>
      <c r="J102" s="93" t="e">
        <v>#DIV/0!</v>
      </c>
      <c r="K102" s="33"/>
      <c r="L102" s="33"/>
      <c r="M102" s="33"/>
      <c r="N102" s="33"/>
      <c r="O102" s="36" t="e">
        <v>#DIV/0!</v>
      </c>
      <c r="P102" s="33"/>
      <c r="Q102" s="33"/>
      <c r="R102" s="33"/>
      <c r="S102" s="35"/>
    </row>
    <row r="103" spans="1:19" ht="11.25" hidden="1">
      <c r="A103" s="70" t="s">
        <v>67</v>
      </c>
      <c r="B103" s="51" t="s">
        <v>87</v>
      </c>
      <c r="C103" s="51"/>
      <c r="D103" s="60" t="e">
        <f>F103/6/C103</f>
        <v>#DIV/0!</v>
      </c>
      <c r="E103" s="33"/>
      <c r="F103" s="33"/>
      <c r="G103" s="53" t="e">
        <v>#DIV/0!</v>
      </c>
      <c r="H103" s="88"/>
      <c r="I103" s="33"/>
      <c r="J103" s="93" t="e">
        <v>#DIV/0!</v>
      </c>
      <c r="K103" s="33"/>
      <c r="L103" s="33"/>
      <c r="M103" s="33"/>
      <c r="N103" s="33"/>
      <c r="O103" s="36" t="e">
        <v>#DIV/0!</v>
      </c>
      <c r="P103" s="33"/>
      <c r="Q103" s="33"/>
      <c r="R103" s="33"/>
      <c r="S103" s="35"/>
    </row>
    <row r="104" spans="1:19" ht="11.25" hidden="1">
      <c r="A104" s="70" t="s">
        <v>69</v>
      </c>
      <c r="B104" s="51" t="s">
        <v>88</v>
      </c>
      <c r="C104" s="51"/>
      <c r="D104" s="60" t="e">
        <f>F104/6/C104</f>
        <v>#DIV/0!</v>
      </c>
      <c r="E104" s="33"/>
      <c r="F104" s="33"/>
      <c r="G104" s="53" t="e">
        <v>#DIV/0!</v>
      </c>
      <c r="H104" s="88"/>
      <c r="I104" s="33"/>
      <c r="J104" s="93" t="e">
        <v>#DIV/0!</v>
      </c>
      <c r="K104" s="33"/>
      <c r="L104" s="33"/>
      <c r="M104" s="33"/>
      <c r="N104" s="33"/>
      <c r="O104" s="36" t="e">
        <v>#DIV/0!</v>
      </c>
      <c r="P104" s="33"/>
      <c r="Q104" s="33"/>
      <c r="R104" s="33"/>
      <c r="S104" s="35"/>
    </row>
    <row r="105" spans="1:19" ht="11.25" hidden="1">
      <c r="A105" s="73" t="s">
        <v>89</v>
      </c>
      <c r="B105" s="72"/>
      <c r="C105" s="72">
        <f>SUM(C102:C104)</f>
        <v>0</v>
      </c>
      <c r="D105" s="74" t="e">
        <f>F105/6/C105</f>
        <v>#DIV/0!</v>
      </c>
      <c r="E105" s="35">
        <f>SUM(E102:E104)</f>
        <v>0</v>
      </c>
      <c r="F105" s="35">
        <f>SUM(F102:F104)</f>
        <v>0</v>
      </c>
      <c r="G105" s="53" t="e">
        <v>#DIV/0!</v>
      </c>
      <c r="H105" s="89">
        <f>SUM(H102:H104)</f>
        <v>0</v>
      </c>
      <c r="I105" s="35">
        <f>SUM(I102:I104)</f>
        <v>0</v>
      </c>
      <c r="J105" s="93" t="e">
        <v>#DIV/0!</v>
      </c>
      <c r="K105" s="35">
        <f>SUM(K102:K104)</f>
        <v>0</v>
      </c>
      <c r="L105" s="35">
        <f>SUM(L102:L104)</f>
        <v>0</v>
      </c>
      <c r="M105" s="35">
        <f>SUM(M102:M104)</f>
        <v>0</v>
      </c>
      <c r="N105" s="35">
        <f>SUM(N102:N104)</f>
        <v>0</v>
      </c>
      <c r="O105" s="36" t="e">
        <v>#DIV/0!</v>
      </c>
      <c r="P105" s="35">
        <f>SUM(P102:P104)</f>
        <v>0</v>
      </c>
      <c r="Q105" s="35">
        <f>SUM(Q102:Q104)</f>
        <v>0</v>
      </c>
      <c r="R105" s="35">
        <f>SUM(R102:R104)</f>
        <v>0</v>
      </c>
      <c r="S105" s="35">
        <f>SUM(S102:S104)</f>
        <v>0</v>
      </c>
    </row>
    <row r="106" spans="1:19" ht="11.25">
      <c r="A106" s="70" t="s">
        <v>54</v>
      </c>
      <c r="B106" s="51" t="s">
        <v>54</v>
      </c>
      <c r="C106" s="72"/>
      <c r="D106" s="72"/>
      <c r="E106" s="33">
        <v>3253</v>
      </c>
      <c r="F106" s="33">
        <v>1600</v>
      </c>
      <c r="G106" s="53">
        <v>49.18536735321241</v>
      </c>
      <c r="H106" s="89"/>
      <c r="I106" s="35"/>
      <c r="J106" s="93"/>
      <c r="K106" s="35"/>
      <c r="L106" s="35"/>
      <c r="M106" s="35"/>
      <c r="N106" s="35"/>
      <c r="O106" s="36"/>
      <c r="P106" s="35"/>
      <c r="Q106" s="35"/>
      <c r="R106" s="35"/>
      <c r="S106" s="35"/>
    </row>
    <row r="107" spans="1:19" ht="11.25">
      <c r="A107" s="75" t="s">
        <v>55</v>
      </c>
      <c r="B107" s="60" t="s">
        <v>55</v>
      </c>
      <c r="C107" s="72"/>
      <c r="D107" s="72"/>
      <c r="E107" s="33">
        <v>3036</v>
      </c>
      <c r="F107" s="33">
        <v>730</v>
      </c>
      <c r="G107" s="53">
        <v>24.04479578392622</v>
      </c>
      <c r="H107" s="89"/>
      <c r="I107" s="35"/>
      <c r="J107" s="93"/>
      <c r="K107" s="35"/>
      <c r="L107" s="35"/>
      <c r="M107" s="35"/>
      <c r="N107" s="35"/>
      <c r="O107" s="36"/>
      <c r="P107" s="35"/>
      <c r="Q107" s="35"/>
      <c r="R107" s="35"/>
      <c r="S107" s="35"/>
    </row>
    <row r="108" spans="1:19" ht="11.25">
      <c r="A108" s="75" t="s">
        <v>56</v>
      </c>
      <c r="B108" s="60" t="s">
        <v>56</v>
      </c>
      <c r="C108" s="72"/>
      <c r="D108" s="72"/>
      <c r="E108" s="33">
        <v>4752</v>
      </c>
      <c r="F108" s="33">
        <v>3650</v>
      </c>
      <c r="G108" s="53">
        <v>76.8097643097643</v>
      </c>
      <c r="H108" s="89"/>
      <c r="I108" s="35"/>
      <c r="J108" s="93"/>
      <c r="K108" s="35"/>
      <c r="L108" s="35"/>
      <c r="M108" s="35"/>
      <c r="N108" s="35"/>
      <c r="O108" s="36"/>
      <c r="P108" s="35"/>
      <c r="Q108" s="35"/>
      <c r="R108" s="35"/>
      <c r="S108" s="35"/>
    </row>
    <row r="109" spans="1:19" ht="11.25">
      <c r="A109" s="75" t="s">
        <v>22</v>
      </c>
      <c r="B109" s="60">
        <v>6</v>
      </c>
      <c r="C109" s="72"/>
      <c r="D109" s="72"/>
      <c r="E109" s="33">
        <v>5314</v>
      </c>
      <c r="F109" s="33">
        <v>3800</v>
      </c>
      <c r="G109" s="53">
        <v>71.50922092585623</v>
      </c>
      <c r="H109" s="89"/>
      <c r="I109" s="35"/>
      <c r="J109" s="93"/>
      <c r="K109" s="35"/>
      <c r="L109" s="35"/>
      <c r="M109" s="35"/>
      <c r="N109" s="35"/>
      <c r="O109" s="36"/>
      <c r="P109" s="35"/>
      <c r="Q109" s="35"/>
      <c r="R109" s="35"/>
      <c r="S109" s="35"/>
    </row>
    <row r="110" spans="1:19" ht="11.25">
      <c r="A110" s="75" t="s">
        <v>57</v>
      </c>
      <c r="B110" s="60" t="s">
        <v>57</v>
      </c>
      <c r="C110" s="72"/>
      <c r="D110" s="72"/>
      <c r="E110" s="33">
        <v>4750</v>
      </c>
      <c r="F110" s="33">
        <v>3200</v>
      </c>
      <c r="G110" s="53">
        <v>67.36842105263158</v>
      </c>
      <c r="H110" s="89"/>
      <c r="I110" s="35"/>
      <c r="J110" s="93"/>
      <c r="K110" s="35"/>
      <c r="L110" s="35"/>
      <c r="M110" s="35"/>
      <c r="N110" s="35"/>
      <c r="O110" s="36"/>
      <c r="P110" s="35"/>
      <c r="Q110" s="35"/>
      <c r="R110" s="35"/>
      <c r="S110" s="35"/>
    </row>
    <row r="111" spans="1:19" ht="11.25">
      <c r="A111" s="75" t="s">
        <v>23</v>
      </c>
      <c r="B111" s="60">
        <v>8</v>
      </c>
      <c r="C111" s="72"/>
      <c r="D111" s="72"/>
      <c r="E111" s="33">
        <v>8343</v>
      </c>
      <c r="F111" s="33">
        <v>6400</v>
      </c>
      <c r="G111" s="53">
        <v>76.71101522234208</v>
      </c>
      <c r="H111" s="89"/>
      <c r="I111" s="35"/>
      <c r="J111" s="93"/>
      <c r="K111" s="35"/>
      <c r="L111" s="35"/>
      <c r="M111" s="35"/>
      <c r="N111" s="35"/>
      <c r="O111" s="36"/>
      <c r="P111" s="35"/>
      <c r="Q111" s="35"/>
      <c r="R111" s="35"/>
      <c r="S111" s="35"/>
    </row>
    <row r="112" spans="1:19" ht="11.25">
      <c r="A112" s="75" t="s">
        <v>24</v>
      </c>
      <c r="B112" s="60">
        <v>10</v>
      </c>
      <c r="C112" s="72"/>
      <c r="D112" s="72"/>
      <c r="E112" s="33">
        <v>2538</v>
      </c>
      <c r="F112" s="33">
        <v>910</v>
      </c>
      <c r="G112" s="53">
        <v>35.85500394011032</v>
      </c>
      <c r="H112" s="89"/>
      <c r="I112" s="35"/>
      <c r="J112" s="93"/>
      <c r="K112" s="35"/>
      <c r="L112" s="35"/>
      <c r="M112" s="35"/>
      <c r="N112" s="35"/>
      <c r="O112" s="36"/>
      <c r="P112" s="35"/>
      <c r="Q112" s="35"/>
      <c r="R112" s="35"/>
      <c r="S112" s="35"/>
    </row>
    <row r="113" spans="1:19" ht="11.25">
      <c r="A113" s="75" t="s">
        <v>25</v>
      </c>
      <c r="B113" s="60">
        <v>11</v>
      </c>
      <c r="C113" s="72"/>
      <c r="D113" s="72"/>
      <c r="E113" s="33">
        <v>6808</v>
      </c>
      <c r="F113" s="33">
        <v>5795</v>
      </c>
      <c r="G113" s="53">
        <v>85.12044653349001</v>
      </c>
      <c r="H113" s="89"/>
      <c r="I113" s="35"/>
      <c r="J113" s="93"/>
      <c r="K113" s="35"/>
      <c r="L113" s="35"/>
      <c r="M113" s="35"/>
      <c r="N113" s="35"/>
      <c r="O113" s="36"/>
      <c r="P113" s="35"/>
      <c r="Q113" s="35"/>
      <c r="R113" s="35"/>
      <c r="S113" s="35"/>
    </row>
    <row r="114" spans="1:19" ht="11.25">
      <c r="A114" s="75" t="s">
        <v>26</v>
      </c>
      <c r="B114" s="60">
        <v>12</v>
      </c>
      <c r="C114" s="72"/>
      <c r="D114" s="72"/>
      <c r="E114" s="33">
        <v>7057</v>
      </c>
      <c r="F114" s="33">
        <v>5598</v>
      </c>
      <c r="G114" s="53">
        <v>79.32549241887487</v>
      </c>
      <c r="H114" s="89"/>
      <c r="I114" s="35"/>
      <c r="J114" s="93"/>
      <c r="K114" s="35"/>
      <c r="L114" s="35"/>
      <c r="M114" s="35"/>
      <c r="N114" s="35"/>
      <c r="O114" s="36"/>
      <c r="P114" s="35"/>
      <c r="Q114" s="35"/>
      <c r="R114" s="35"/>
      <c r="S114" s="35"/>
    </row>
    <row r="115" spans="1:19" ht="11.25">
      <c r="A115" s="75" t="s">
        <v>27</v>
      </c>
      <c r="B115" s="60">
        <v>13</v>
      </c>
      <c r="C115" s="72"/>
      <c r="D115" s="72"/>
      <c r="E115" s="33">
        <v>3581</v>
      </c>
      <c r="F115" s="33">
        <v>2450</v>
      </c>
      <c r="G115" s="53">
        <v>68.41664339569952</v>
      </c>
      <c r="H115" s="89"/>
      <c r="I115" s="35"/>
      <c r="J115" s="93"/>
      <c r="K115" s="35"/>
      <c r="L115" s="35"/>
      <c r="M115" s="35"/>
      <c r="N115" s="35"/>
      <c r="O115" s="36"/>
      <c r="P115" s="35"/>
      <c r="Q115" s="35"/>
      <c r="R115" s="35"/>
      <c r="S115" s="35"/>
    </row>
    <row r="116" spans="1:19" ht="11.25">
      <c r="A116" s="75" t="s">
        <v>61</v>
      </c>
      <c r="B116" s="60">
        <v>14</v>
      </c>
      <c r="C116" s="72"/>
      <c r="D116" s="72"/>
      <c r="E116" s="33">
        <v>2856</v>
      </c>
      <c r="F116" s="33">
        <v>1000</v>
      </c>
      <c r="G116" s="53">
        <v>35.01400560224089</v>
      </c>
      <c r="H116" s="89"/>
      <c r="I116" s="35"/>
      <c r="J116" s="93"/>
      <c r="K116" s="35"/>
      <c r="L116" s="35"/>
      <c r="M116" s="35"/>
      <c r="N116" s="35"/>
      <c r="O116" s="36"/>
      <c r="P116" s="35"/>
      <c r="Q116" s="35"/>
      <c r="R116" s="35"/>
      <c r="S116" s="35"/>
    </row>
    <row r="117" spans="1:19" ht="11.25">
      <c r="A117" s="75" t="s">
        <v>29</v>
      </c>
      <c r="B117" s="60">
        <v>16</v>
      </c>
      <c r="C117" s="72"/>
      <c r="D117" s="72"/>
      <c r="E117" s="33">
        <v>2750</v>
      </c>
      <c r="F117" s="33">
        <v>720</v>
      </c>
      <c r="G117" s="53">
        <v>26.181818181818183</v>
      </c>
      <c r="H117" s="89"/>
      <c r="I117" s="35"/>
      <c r="J117" s="93"/>
      <c r="K117" s="35"/>
      <c r="L117" s="35"/>
      <c r="M117" s="35"/>
      <c r="N117" s="35"/>
      <c r="O117" s="36"/>
      <c r="P117" s="35"/>
      <c r="Q117" s="35"/>
      <c r="R117" s="35"/>
      <c r="S117" s="35"/>
    </row>
    <row r="118" spans="1:19" ht="11.25">
      <c r="A118" s="75" t="s">
        <v>30</v>
      </c>
      <c r="B118" s="60">
        <v>17</v>
      </c>
      <c r="C118" s="72"/>
      <c r="D118" s="72"/>
      <c r="E118" s="33">
        <v>3302</v>
      </c>
      <c r="F118" s="33">
        <v>783</v>
      </c>
      <c r="G118" s="53">
        <v>23.71290127195639</v>
      </c>
      <c r="H118" s="89"/>
      <c r="I118" s="35"/>
      <c r="J118" s="93"/>
      <c r="K118" s="35"/>
      <c r="L118" s="35"/>
      <c r="M118" s="35"/>
      <c r="N118" s="35"/>
      <c r="O118" s="36"/>
      <c r="P118" s="35"/>
      <c r="Q118" s="35"/>
      <c r="R118" s="35"/>
      <c r="S118" s="35"/>
    </row>
    <row r="119" spans="1:19" ht="11.25">
      <c r="A119" s="75" t="s">
        <v>31</v>
      </c>
      <c r="B119" s="60">
        <v>18</v>
      </c>
      <c r="C119" s="72"/>
      <c r="D119" s="72"/>
      <c r="E119" s="33">
        <v>2364</v>
      </c>
      <c r="F119" s="33">
        <v>450</v>
      </c>
      <c r="G119" s="53">
        <v>19.035532994923855</v>
      </c>
      <c r="H119" s="89"/>
      <c r="I119" s="35"/>
      <c r="J119" s="93"/>
      <c r="K119" s="35"/>
      <c r="L119" s="35"/>
      <c r="M119" s="35"/>
      <c r="N119" s="35"/>
      <c r="O119" s="36"/>
      <c r="P119" s="35"/>
      <c r="Q119" s="35"/>
      <c r="R119" s="35"/>
      <c r="S119" s="35"/>
    </row>
    <row r="120" spans="1:19" ht="11.25">
      <c r="A120" s="75" t="s">
        <v>32</v>
      </c>
      <c r="B120" s="60">
        <v>20</v>
      </c>
      <c r="C120" s="72"/>
      <c r="D120" s="72"/>
      <c r="E120" s="33">
        <v>2495</v>
      </c>
      <c r="F120" s="33">
        <v>900</v>
      </c>
      <c r="G120" s="53">
        <v>36.07214428857716</v>
      </c>
      <c r="H120" s="89"/>
      <c r="I120" s="35"/>
      <c r="J120" s="93"/>
      <c r="K120" s="35"/>
      <c r="L120" s="35"/>
      <c r="M120" s="35"/>
      <c r="N120" s="35"/>
      <c r="O120" s="36"/>
      <c r="P120" s="35"/>
      <c r="Q120" s="35"/>
      <c r="R120" s="35"/>
      <c r="S120" s="35"/>
    </row>
    <row r="121" spans="1:19" ht="11.25">
      <c r="A121" s="75" t="s">
        <v>33</v>
      </c>
      <c r="B121" s="60">
        <v>21</v>
      </c>
      <c r="C121" s="72"/>
      <c r="D121" s="72"/>
      <c r="E121" s="33">
        <v>3784</v>
      </c>
      <c r="F121" s="33">
        <v>3784</v>
      </c>
      <c r="G121" s="53">
        <v>100</v>
      </c>
      <c r="H121" s="89"/>
      <c r="I121" s="35"/>
      <c r="J121" s="93"/>
      <c r="K121" s="35"/>
      <c r="L121" s="35"/>
      <c r="M121" s="35"/>
      <c r="N121" s="35"/>
      <c r="O121" s="36"/>
      <c r="P121" s="35"/>
      <c r="Q121" s="35"/>
      <c r="R121" s="35"/>
      <c r="S121" s="35"/>
    </row>
    <row r="122" spans="1:19" ht="11.25">
      <c r="A122" s="75" t="s">
        <v>34</v>
      </c>
      <c r="B122" s="60">
        <v>23</v>
      </c>
      <c r="C122" s="72"/>
      <c r="D122" s="72"/>
      <c r="E122" s="33">
        <v>8063</v>
      </c>
      <c r="F122" s="33">
        <v>6257</v>
      </c>
      <c r="G122" s="53">
        <v>77.6013890611435</v>
      </c>
      <c r="H122" s="89"/>
      <c r="I122" s="35"/>
      <c r="J122" s="93"/>
      <c r="K122" s="35"/>
      <c r="L122" s="35"/>
      <c r="M122" s="35"/>
      <c r="N122" s="35"/>
      <c r="O122" s="36"/>
      <c r="P122" s="35"/>
      <c r="Q122" s="35"/>
      <c r="R122" s="35"/>
      <c r="S122" s="35"/>
    </row>
    <row r="123" spans="1:19" ht="11.25">
      <c r="A123" s="75" t="s">
        <v>35</v>
      </c>
      <c r="B123" s="60">
        <v>26</v>
      </c>
      <c r="C123" s="72"/>
      <c r="D123" s="72"/>
      <c r="E123" s="33">
        <v>928</v>
      </c>
      <c r="F123" s="33">
        <v>0</v>
      </c>
      <c r="G123" s="53">
        <v>0</v>
      </c>
      <c r="H123" s="89"/>
      <c r="I123" s="35"/>
      <c r="J123" s="93"/>
      <c r="K123" s="35"/>
      <c r="L123" s="35"/>
      <c r="M123" s="35"/>
      <c r="N123" s="35"/>
      <c r="O123" s="36"/>
      <c r="P123" s="35"/>
      <c r="Q123" s="35"/>
      <c r="R123" s="35"/>
      <c r="S123" s="35"/>
    </row>
    <row r="124" spans="1:19" ht="11.25">
      <c r="A124" s="75" t="s">
        <v>65</v>
      </c>
      <c r="B124" s="60" t="s">
        <v>65</v>
      </c>
      <c r="C124" s="72"/>
      <c r="D124" s="72"/>
      <c r="E124" s="33">
        <v>1647</v>
      </c>
      <c r="F124" s="33">
        <v>90</v>
      </c>
      <c r="G124" s="53">
        <v>5.46448087431694</v>
      </c>
      <c r="H124" s="89"/>
      <c r="I124" s="35"/>
      <c r="J124" s="93"/>
      <c r="K124" s="35"/>
      <c r="L124" s="35"/>
      <c r="M124" s="35"/>
      <c r="N124" s="35"/>
      <c r="O124" s="36"/>
      <c r="P124" s="35"/>
      <c r="Q124" s="35"/>
      <c r="R124" s="35"/>
      <c r="S124" s="35"/>
    </row>
    <row r="125" spans="1:19" ht="11.25">
      <c r="A125" s="75" t="s">
        <v>36</v>
      </c>
      <c r="B125" s="60">
        <v>28</v>
      </c>
      <c r="C125" s="72"/>
      <c r="D125" s="72"/>
      <c r="E125" s="33">
        <v>5134</v>
      </c>
      <c r="F125" s="33">
        <v>4875</v>
      </c>
      <c r="G125" s="53">
        <v>94.95520062329568</v>
      </c>
      <c r="H125" s="89"/>
      <c r="I125" s="35"/>
      <c r="J125" s="93"/>
      <c r="K125" s="35"/>
      <c r="L125" s="35"/>
      <c r="M125" s="35"/>
      <c r="N125" s="35"/>
      <c r="O125" s="36"/>
      <c r="P125" s="35"/>
      <c r="Q125" s="35"/>
      <c r="R125" s="35"/>
      <c r="S125" s="35"/>
    </row>
    <row r="126" spans="1:19" ht="11.25">
      <c r="A126" s="75" t="s">
        <v>37</v>
      </c>
      <c r="B126" s="60">
        <v>29</v>
      </c>
      <c r="C126" s="72"/>
      <c r="D126" s="72"/>
      <c r="E126" s="33">
        <v>5905</v>
      </c>
      <c r="F126" s="33">
        <v>2785</v>
      </c>
      <c r="G126" s="53">
        <v>47.16342082980525</v>
      </c>
      <c r="H126" s="89"/>
      <c r="I126" s="35"/>
      <c r="J126" s="93"/>
      <c r="K126" s="35"/>
      <c r="L126" s="35"/>
      <c r="M126" s="35"/>
      <c r="N126" s="35"/>
      <c r="O126" s="36"/>
      <c r="P126" s="35"/>
      <c r="Q126" s="35"/>
      <c r="R126" s="35"/>
      <c r="S126" s="35"/>
    </row>
    <row r="127" spans="1:19" ht="11.25">
      <c r="A127" s="75" t="s">
        <v>38</v>
      </c>
      <c r="B127" s="60">
        <v>31</v>
      </c>
      <c r="C127" s="72"/>
      <c r="D127" s="72"/>
      <c r="E127" s="33">
        <v>3400</v>
      </c>
      <c r="F127" s="33">
        <v>2160</v>
      </c>
      <c r="G127" s="53">
        <v>63.52941176470588</v>
      </c>
      <c r="H127" s="89"/>
      <c r="I127" s="35"/>
      <c r="J127" s="93"/>
      <c r="K127" s="35"/>
      <c r="L127" s="35"/>
      <c r="M127" s="35"/>
      <c r="N127" s="35"/>
      <c r="O127" s="36"/>
      <c r="P127" s="35"/>
      <c r="Q127" s="35"/>
      <c r="R127" s="35"/>
      <c r="S127" s="35"/>
    </row>
    <row r="128" spans="1:19" ht="11.25">
      <c r="A128" s="75" t="s">
        <v>39</v>
      </c>
      <c r="B128" s="60">
        <v>33</v>
      </c>
      <c r="C128" s="72"/>
      <c r="D128" s="72"/>
      <c r="E128" s="33">
        <v>5008</v>
      </c>
      <c r="F128" s="33">
        <v>2575</v>
      </c>
      <c r="G128" s="53">
        <v>51.41773162939297</v>
      </c>
      <c r="H128" s="89"/>
      <c r="I128" s="35"/>
      <c r="J128" s="93"/>
      <c r="K128" s="35"/>
      <c r="L128" s="35"/>
      <c r="M128" s="35"/>
      <c r="N128" s="35"/>
      <c r="O128" s="36"/>
      <c r="P128" s="35"/>
      <c r="Q128" s="35"/>
      <c r="R128" s="35"/>
      <c r="S128" s="35"/>
    </row>
    <row r="129" spans="1:19" ht="11.25">
      <c r="A129" s="75" t="s">
        <v>40</v>
      </c>
      <c r="B129" s="60">
        <v>34</v>
      </c>
      <c r="C129" s="72"/>
      <c r="D129" s="72"/>
      <c r="E129" s="33">
        <v>3624</v>
      </c>
      <c r="F129" s="33">
        <v>2000</v>
      </c>
      <c r="G129" s="53">
        <v>55.18763796909493</v>
      </c>
      <c r="H129" s="89"/>
      <c r="I129" s="35"/>
      <c r="J129" s="93"/>
      <c r="K129" s="35"/>
      <c r="L129" s="35"/>
      <c r="M129" s="35"/>
      <c r="N129" s="35"/>
      <c r="O129" s="36"/>
      <c r="P129" s="35"/>
      <c r="Q129" s="35"/>
      <c r="R129" s="35"/>
      <c r="S129" s="35"/>
    </row>
    <row r="130" spans="1:19" ht="11.25">
      <c r="A130" s="75" t="s">
        <v>41</v>
      </c>
      <c r="B130" s="60">
        <v>35</v>
      </c>
      <c r="C130" s="72"/>
      <c r="D130" s="72"/>
      <c r="E130" s="33">
        <v>2308</v>
      </c>
      <c r="F130" s="33">
        <v>325</v>
      </c>
      <c r="G130" s="53">
        <v>14.081455805892547</v>
      </c>
      <c r="H130" s="89"/>
      <c r="I130" s="35"/>
      <c r="J130" s="93"/>
      <c r="K130" s="35"/>
      <c r="L130" s="35"/>
      <c r="M130" s="35"/>
      <c r="N130" s="35"/>
      <c r="O130" s="36"/>
      <c r="P130" s="35"/>
      <c r="Q130" s="35"/>
      <c r="R130" s="35"/>
      <c r="S130" s="35"/>
    </row>
    <row r="131" spans="1:19" ht="11.25">
      <c r="A131" s="75" t="s">
        <v>67</v>
      </c>
      <c r="B131" s="60" t="s">
        <v>68</v>
      </c>
      <c r="C131" s="72"/>
      <c r="D131" s="72"/>
      <c r="E131" s="33">
        <v>7836</v>
      </c>
      <c r="F131" s="33">
        <v>6250</v>
      </c>
      <c r="G131" s="53">
        <v>79.76008167432363</v>
      </c>
      <c r="H131" s="89"/>
      <c r="I131" s="35"/>
      <c r="J131" s="93"/>
      <c r="K131" s="35"/>
      <c r="L131" s="35"/>
      <c r="M131" s="35"/>
      <c r="N131" s="35"/>
      <c r="O131" s="36"/>
      <c r="P131" s="35"/>
      <c r="Q131" s="35"/>
      <c r="R131" s="35"/>
      <c r="S131" s="35"/>
    </row>
    <row r="132" spans="1:19" ht="11.25">
      <c r="A132" s="75" t="s">
        <v>42</v>
      </c>
      <c r="B132" s="60">
        <v>37</v>
      </c>
      <c r="C132" s="72"/>
      <c r="D132" s="72"/>
      <c r="E132" s="33">
        <v>3401</v>
      </c>
      <c r="F132" s="33">
        <v>2850</v>
      </c>
      <c r="G132" s="53">
        <v>83.79888268156425</v>
      </c>
      <c r="H132" s="89"/>
      <c r="I132" s="35"/>
      <c r="J132" s="93"/>
      <c r="K132" s="35"/>
      <c r="L132" s="35"/>
      <c r="M132" s="35"/>
      <c r="N132" s="35"/>
      <c r="O132" s="36"/>
      <c r="P132" s="35"/>
      <c r="Q132" s="35"/>
      <c r="R132" s="35"/>
      <c r="S132" s="35"/>
    </row>
    <row r="133" spans="1:19" ht="11.25">
      <c r="A133" s="75" t="s">
        <v>43</v>
      </c>
      <c r="B133" s="60">
        <v>39</v>
      </c>
      <c r="C133" s="72"/>
      <c r="D133" s="72"/>
      <c r="E133" s="33">
        <v>7414</v>
      </c>
      <c r="F133" s="33">
        <v>1940</v>
      </c>
      <c r="G133" s="53">
        <v>26.16671162665228</v>
      </c>
      <c r="H133" s="89"/>
      <c r="I133" s="35"/>
      <c r="J133" s="93"/>
      <c r="K133" s="35"/>
      <c r="L133" s="35"/>
      <c r="M133" s="35"/>
      <c r="N133" s="35"/>
      <c r="O133" s="36"/>
      <c r="P133" s="35"/>
      <c r="Q133" s="35"/>
      <c r="R133" s="35"/>
      <c r="S133" s="35"/>
    </row>
    <row r="134" spans="1:19" ht="11.25">
      <c r="A134" s="75" t="s">
        <v>44</v>
      </c>
      <c r="B134" s="60">
        <v>40</v>
      </c>
      <c r="C134" s="72"/>
      <c r="D134" s="72"/>
      <c r="E134" s="33">
        <v>7446</v>
      </c>
      <c r="F134" s="33">
        <v>6030</v>
      </c>
      <c r="G134" s="53">
        <v>80.98307816277196</v>
      </c>
      <c r="H134" s="89"/>
      <c r="I134" s="35"/>
      <c r="J134" s="93"/>
      <c r="K134" s="35"/>
      <c r="L134" s="35"/>
      <c r="M134" s="35"/>
      <c r="N134" s="35"/>
      <c r="O134" s="36"/>
      <c r="P134" s="35"/>
      <c r="Q134" s="35"/>
      <c r="R134" s="35"/>
      <c r="S134" s="35"/>
    </row>
    <row r="135" spans="1:19" ht="11.25">
      <c r="A135" s="75" t="s">
        <v>69</v>
      </c>
      <c r="B135" s="60" t="s">
        <v>70</v>
      </c>
      <c r="C135" s="72"/>
      <c r="D135" s="72"/>
      <c r="E135" s="33">
        <v>3804</v>
      </c>
      <c r="F135" s="33">
        <v>800</v>
      </c>
      <c r="G135" s="53">
        <v>21.03049421661409</v>
      </c>
      <c r="H135" s="89"/>
      <c r="I135" s="35"/>
      <c r="J135" s="93"/>
      <c r="K135" s="35"/>
      <c r="L135" s="35"/>
      <c r="M135" s="35"/>
      <c r="N135" s="35"/>
      <c r="O135" s="36"/>
      <c r="P135" s="35"/>
      <c r="Q135" s="35"/>
      <c r="R135" s="35"/>
      <c r="S135" s="35"/>
    </row>
    <row r="136" spans="1:19" ht="11.25">
      <c r="A136" s="75" t="s">
        <v>45</v>
      </c>
      <c r="B136" s="60">
        <v>42</v>
      </c>
      <c r="C136" s="72"/>
      <c r="D136" s="72"/>
      <c r="E136" s="33">
        <v>4862</v>
      </c>
      <c r="F136" s="33">
        <v>2600</v>
      </c>
      <c r="G136" s="53">
        <v>53.475935828877006</v>
      </c>
      <c r="H136" s="89"/>
      <c r="I136" s="35"/>
      <c r="J136" s="93"/>
      <c r="K136" s="35"/>
      <c r="L136" s="35"/>
      <c r="M136" s="35"/>
      <c r="N136" s="35"/>
      <c r="O136" s="36"/>
      <c r="P136" s="35"/>
      <c r="Q136" s="35"/>
      <c r="R136" s="35"/>
      <c r="S136" s="35"/>
    </row>
    <row r="137" spans="1:19" ht="11.25">
      <c r="A137" s="75" t="s">
        <v>46</v>
      </c>
      <c r="B137" s="60">
        <v>43</v>
      </c>
      <c r="C137" s="72"/>
      <c r="D137" s="72"/>
      <c r="E137" s="33">
        <v>7049</v>
      </c>
      <c r="F137" s="33">
        <v>2520</v>
      </c>
      <c r="G137" s="53">
        <v>35.749751737835155</v>
      </c>
      <c r="H137" s="89"/>
      <c r="I137" s="35"/>
      <c r="J137" s="93"/>
      <c r="K137" s="35"/>
      <c r="L137" s="35"/>
      <c r="M137" s="35"/>
      <c r="N137" s="35"/>
      <c r="O137" s="36"/>
      <c r="P137" s="35"/>
      <c r="Q137" s="35"/>
      <c r="R137" s="35"/>
      <c r="S137" s="35"/>
    </row>
    <row r="138" spans="1:19" ht="11.25">
      <c r="A138" s="75" t="s">
        <v>47</v>
      </c>
      <c r="B138" s="60">
        <v>44</v>
      </c>
      <c r="C138" s="72"/>
      <c r="D138" s="72"/>
      <c r="E138" s="33">
        <v>8977</v>
      </c>
      <c r="F138" s="33">
        <v>7060</v>
      </c>
      <c r="G138" s="53">
        <v>78.64542720285174</v>
      </c>
      <c r="H138" s="89"/>
      <c r="I138" s="35"/>
      <c r="J138" s="93"/>
      <c r="K138" s="35"/>
      <c r="L138" s="35"/>
      <c r="M138" s="35"/>
      <c r="N138" s="35"/>
      <c r="O138" s="36"/>
      <c r="P138" s="35"/>
      <c r="Q138" s="35"/>
      <c r="R138" s="35"/>
      <c r="S138" s="35"/>
    </row>
    <row r="139" spans="1:19" ht="11.25">
      <c r="A139" s="75" t="s">
        <v>48</v>
      </c>
      <c r="B139" s="60">
        <v>45</v>
      </c>
      <c r="C139" s="72"/>
      <c r="D139" s="72"/>
      <c r="E139" s="33">
        <v>5934</v>
      </c>
      <c r="F139" s="33">
        <v>2890</v>
      </c>
      <c r="G139" s="53">
        <v>48.70239298955173</v>
      </c>
      <c r="H139" s="89"/>
      <c r="I139" s="35"/>
      <c r="J139" s="93"/>
      <c r="K139" s="35"/>
      <c r="L139" s="35"/>
      <c r="M139" s="35"/>
      <c r="N139" s="35"/>
      <c r="O139" s="36"/>
      <c r="P139" s="35"/>
      <c r="Q139" s="35"/>
      <c r="R139" s="35"/>
      <c r="S139" s="35"/>
    </row>
    <row r="140" spans="1:19" ht="11.25">
      <c r="A140" s="75" t="s">
        <v>49</v>
      </c>
      <c r="B140" s="60">
        <v>46</v>
      </c>
      <c r="C140" s="72"/>
      <c r="D140" s="72"/>
      <c r="E140" s="33">
        <v>6207</v>
      </c>
      <c r="F140" s="33">
        <v>3800</v>
      </c>
      <c r="G140" s="53">
        <v>61.22120186885775</v>
      </c>
      <c r="H140" s="89"/>
      <c r="I140" s="35"/>
      <c r="J140" s="93"/>
      <c r="K140" s="35"/>
      <c r="L140" s="35"/>
      <c r="M140" s="35"/>
      <c r="N140" s="35"/>
      <c r="O140" s="36"/>
      <c r="P140" s="35"/>
      <c r="Q140" s="35"/>
      <c r="R140" s="35"/>
      <c r="S140" s="35"/>
    </row>
    <row r="141" spans="1:19" ht="11.25">
      <c r="A141" s="75" t="s">
        <v>50</v>
      </c>
      <c r="B141" s="60">
        <v>47</v>
      </c>
      <c r="C141" s="72"/>
      <c r="D141" s="72"/>
      <c r="E141" s="33">
        <v>11354</v>
      </c>
      <c r="F141" s="33">
        <v>8553.1</v>
      </c>
      <c r="G141" s="53">
        <v>75.33116082437907</v>
      </c>
      <c r="H141" s="89"/>
      <c r="I141" s="35"/>
      <c r="J141" s="93"/>
      <c r="K141" s="35"/>
      <c r="L141" s="35"/>
      <c r="M141" s="35"/>
      <c r="N141" s="35"/>
      <c r="O141" s="36"/>
      <c r="P141" s="35"/>
      <c r="Q141" s="35"/>
      <c r="R141" s="35"/>
      <c r="S141" s="35"/>
    </row>
    <row r="142" spans="1:19" ht="11.25">
      <c r="A142" s="75" t="s">
        <v>51</v>
      </c>
      <c r="B142" s="60">
        <v>48</v>
      </c>
      <c r="C142" s="72"/>
      <c r="D142" s="72"/>
      <c r="E142" s="33">
        <v>3975</v>
      </c>
      <c r="F142" s="33">
        <v>0</v>
      </c>
      <c r="G142" s="53">
        <v>0</v>
      </c>
      <c r="H142" s="89"/>
      <c r="I142" s="35"/>
      <c r="J142" s="93"/>
      <c r="K142" s="35"/>
      <c r="L142" s="35"/>
      <c r="M142" s="35"/>
      <c r="N142" s="35"/>
      <c r="O142" s="36"/>
      <c r="P142" s="35"/>
      <c r="Q142" s="35"/>
      <c r="R142" s="35"/>
      <c r="S142" s="35"/>
    </row>
    <row r="143" spans="1:19" ht="11.25">
      <c r="A143" s="73" t="s">
        <v>90</v>
      </c>
      <c r="B143" s="72"/>
      <c r="C143" s="72"/>
      <c r="D143" s="72"/>
      <c r="E143" s="35">
        <f>SUM(E106:E142)</f>
        <v>181259</v>
      </c>
      <c r="F143" s="35">
        <f>SUM(F106:F142)</f>
        <v>108130.1</v>
      </c>
      <c r="G143" s="36">
        <v>59.65502402639318</v>
      </c>
      <c r="H143" s="89">
        <f>SUM(H106:H142)</f>
        <v>0</v>
      </c>
      <c r="I143" s="35">
        <f>SUM(I106:I142)</f>
        <v>0</v>
      </c>
      <c r="J143" s="94">
        <v>0</v>
      </c>
      <c r="K143" s="35">
        <f>SUM(K106:K142)</f>
        <v>0</v>
      </c>
      <c r="L143" s="35">
        <f>SUM(L106:L142)</f>
        <v>0</v>
      </c>
      <c r="M143" s="35">
        <f>SUM(M106:M142)</f>
        <v>0</v>
      </c>
      <c r="N143" s="35">
        <f>SUM(N106:N142)</f>
        <v>0</v>
      </c>
      <c r="O143" s="36"/>
      <c r="P143" s="35">
        <f>SUM(P106:P142)</f>
        <v>0</v>
      </c>
      <c r="Q143" s="35">
        <f>SUM(Q106:Q142)</f>
        <v>0</v>
      </c>
      <c r="R143" s="35">
        <f>SUM(R106:R142)</f>
        <v>0</v>
      </c>
      <c r="S143" s="35">
        <f>SUM(S106:S142)</f>
        <v>0</v>
      </c>
    </row>
    <row r="144" spans="1:19" ht="11.25">
      <c r="A144" s="75" t="s">
        <v>55</v>
      </c>
      <c r="B144" s="60" t="s">
        <v>55</v>
      </c>
      <c r="C144" s="54"/>
      <c r="D144" s="54"/>
      <c r="E144" s="33">
        <f>131129+25960</f>
        <v>157089</v>
      </c>
      <c r="F144" s="33">
        <v>72238.67</v>
      </c>
      <c r="G144" s="53">
        <v>45.98582332308436</v>
      </c>
      <c r="H144" s="91">
        <v>97794</v>
      </c>
      <c r="I144" s="54">
        <v>50534.08</v>
      </c>
      <c r="J144" s="93">
        <v>51.674008630386325</v>
      </c>
      <c r="K144" s="54">
        <v>7692.78</v>
      </c>
      <c r="L144" s="54">
        <v>9653.43</v>
      </c>
      <c r="M144" s="33">
        <v>1076.59</v>
      </c>
      <c r="N144" s="54"/>
      <c r="O144" s="53">
        <v>0</v>
      </c>
      <c r="P144" s="54">
        <v>0</v>
      </c>
      <c r="Q144" s="54">
        <v>3281.79</v>
      </c>
      <c r="R144" s="54"/>
      <c r="S144" s="54"/>
    </row>
    <row r="145" spans="1:19" ht="11.25">
      <c r="A145" s="75" t="s">
        <v>56</v>
      </c>
      <c r="B145" s="60" t="s">
        <v>56</v>
      </c>
      <c r="C145" s="54"/>
      <c r="D145" s="54"/>
      <c r="E145" s="33">
        <v>95348</v>
      </c>
      <c r="F145" s="33">
        <v>45909.89</v>
      </c>
      <c r="G145" s="53">
        <v>48.149819608172166</v>
      </c>
      <c r="H145" s="91">
        <v>60544</v>
      </c>
      <c r="I145" s="54">
        <v>33192.92</v>
      </c>
      <c r="J145" s="93">
        <v>54.82445824524312</v>
      </c>
      <c r="K145" s="54">
        <v>4894.83</v>
      </c>
      <c r="L145" s="54">
        <v>2862.77</v>
      </c>
      <c r="M145" s="33">
        <v>779.5</v>
      </c>
      <c r="N145" s="54">
        <v>809.73</v>
      </c>
      <c r="O145" s="53">
        <v>7.3611818181818185</v>
      </c>
      <c r="P145" s="54"/>
      <c r="Q145" s="54">
        <v>2160</v>
      </c>
      <c r="R145" s="54"/>
      <c r="S145" s="54"/>
    </row>
    <row r="146" spans="1:19" ht="11.25">
      <c r="A146" s="75" t="s">
        <v>22</v>
      </c>
      <c r="B146" s="60">
        <v>6</v>
      </c>
      <c r="C146" s="54"/>
      <c r="D146" s="54"/>
      <c r="E146" s="33">
        <v>177811</v>
      </c>
      <c r="F146" s="33">
        <v>94007.35</v>
      </c>
      <c r="G146" s="53">
        <v>52.86925443307781</v>
      </c>
      <c r="H146" s="91">
        <v>113886</v>
      </c>
      <c r="I146" s="54">
        <v>58357.03</v>
      </c>
      <c r="J146" s="93">
        <v>51.241618811794254</v>
      </c>
      <c r="K146" s="54">
        <v>9273.23</v>
      </c>
      <c r="L146" s="54">
        <v>11509.79</v>
      </c>
      <c r="M146" s="33">
        <v>1649.09</v>
      </c>
      <c r="N146" s="54">
        <v>7088.13</v>
      </c>
      <c r="O146" s="53">
        <v>49.916408450704225</v>
      </c>
      <c r="P146" s="54">
        <v>0</v>
      </c>
      <c r="Q146" s="54">
        <v>4313</v>
      </c>
      <c r="R146" s="54"/>
      <c r="S146" s="54"/>
    </row>
    <row r="147" spans="1:19" ht="11.25">
      <c r="A147" s="75" t="s">
        <v>57</v>
      </c>
      <c r="B147" s="60" t="s">
        <v>57</v>
      </c>
      <c r="C147" s="54"/>
      <c r="D147" s="54"/>
      <c r="E147" s="33">
        <v>85447</v>
      </c>
      <c r="F147" s="33">
        <v>67359.63</v>
      </c>
      <c r="G147" s="53">
        <v>78.83205963930858</v>
      </c>
      <c r="H147" s="91">
        <v>61325</v>
      </c>
      <c r="I147" s="54">
        <v>51727.18</v>
      </c>
      <c r="J147" s="93">
        <v>84.34925397472483</v>
      </c>
      <c r="K147" s="54">
        <v>5251.98</v>
      </c>
      <c r="L147" s="54">
        <v>6234.84</v>
      </c>
      <c r="M147" s="33">
        <v>852.66</v>
      </c>
      <c r="N147" s="54">
        <v>1136.97</v>
      </c>
      <c r="O147" s="53">
        <v>49.43347826086957</v>
      </c>
      <c r="P147" s="54"/>
      <c r="Q147" s="54">
        <v>2156</v>
      </c>
      <c r="R147" s="54"/>
      <c r="S147" s="54"/>
    </row>
    <row r="148" spans="1:19" ht="11.25">
      <c r="A148" s="75" t="s">
        <v>23</v>
      </c>
      <c r="B148" s="60">
        <v>8</v>
      </c>
      <c r="C148" s="54"/>
      <c r="D148" s="54"/>
      <c r="E148" s="33">
        <v>155396</v>
      </c>
      <c r="F148" s="33">
        <v>83573.74</v>
      </c>
      <c r="G148" s="53">
        <v>53.78113979767819</v>
      </c>
      <c r="H148" s="91">
        <v>114300</v>
      </c>
      <c r="I148" s="54">
        <v>58237.93</v>
      </c>
      <c r="J148" s="93">
        <v>50.95181977252844</v>
      </c>
      <c r="K148" s="54">
        <v>9274.76</v>
      </c>
      <c r="L148" s="54">
        <v>10945.29</v>
      </c>
      <c r="M148" s="33">
        <v>1234.76</v>
      </c>
      <c r="N148" s="54"/>
      <c r="O148" s="53"/>
      <c r="P148" s="54"/>
      <c r="Q148" s="54">
        <v>3881</v>
      </c>
      <c r="R148" s="54"/>
      <c r="S148" s="54"/>
    </row>
    <row r="149" spans="1:19" ht="11.25">
      <c r="A149" s="75" t="s">
        <v>24</v>
      </c>
      <c r="B149" s="60">
        <v>10</v>
      </c>
      <c r="C149" s="54"/>
      <c r="D149" s="54"/>
      <c r="E149" s="33">
        <v>191945</v>
      </c>
      <c r="F149" s="33">
        <v>92235.49</v>
      </c>
      <c r="G149" s="53">
        <v>48.05308291437652</v>
      </c>
      <c r="H149" s="91">
        <v>118701</v>
      </c>
      <c r="I149" s="54">
        <v>57439.98</v>
      </c>
      <c r="J149" s="93">
        <v>48.39047691257867</v>
      </c>
      <c r="K149" s="54">
        <v>9526.56</v>
      </c>
      <c r="L149" s="54">
        <v>11164.82</v>
      </c>
      <c r="M149" s="33">
        <v>1624.88</v>
      </c>
      <c r="N149" s="54">
        <v>4000.02</v>
      </c>
      <c r="O149" s="53">
        <v>16.393524590163935</v>
      </c>
      <c r="P149" s="54"/>
      <c r="Q149" s="54">
        <v>4102.24</v>
      </c>
      <c r="R149" s="54"/>
      <c r="S149" s="54"/>
    </row>
    <row r="150" spans="1:19" ht="11.25">
      <c r="A150" s="75" t="s">
        <v>25</v>
      </c>
      <c r="B150" s="60">
        <v>11</v>
      </c>
      <c r="C150" s="54"/>
      <c r="D150" s="54"/>
      <c r="E150" s="33">
        <v>112236</v>
      </c>
      <c r="F150" s="33">
        <v>62078.49</v>
      </c>
      <c r="G150" s="53">
        <v>55.31067571902063</v>
      </c>
      <c r="H150" s="91">
        <v>79670</v>
      </c>
      <c r="I150" s="54">
        <v>41140.98</v>
      </c>
      <c r="J150" s="93">
        <v>51.63923685201457</v>
      </c>
      <c r="K150" s="54">
        <v>6446</v>
      </c>
      <c r="L150" s="54">
        <v>7955.66</v>
      </c>
      <c r="M150" s="33">
        <v>982.32</v>
      </c>
      <c r="N150" s="54">
        <v>1281.94</v>
      </c>
      <c r="O150" s="53">
        <v>31.786263327547733</v>
      </c>
      <c r="P150" s="54"/>
      <c r="Q150" s="54">
        <v>4025</v>
      </c>
      <c r="R150" s="54"/>
      <c r="S150" s="54"/>
    </row>
    <row r="151" spans="1:19" ht="11.25">
      <c r="A151" s="75" t="s">
        <v>26</v>
      </c>
      <c r="B151" s="60">
        <v>12</v>
      </c>
      <c r="C151" s="54"/>
      <c r="D151" s="54"/>
      <c r="E151" s="33">
        <v>207085</v>
      </c>
      <c r="F151" s="33">
        <v>115984.92</v>
      </c>
      <c r="G151" s="53">
        <v>56.00836371538257</v>
      </c>
      <c r="H151" s="91">
        <v>140386</v>
      </c>
      <c r="I151" s="54">
        <v>72840.55</v>
      </c>
      <c r="J151" s="93">
        <v>51.88590742666648</v>
      </c>
      <c r="K151" s="54">
        <v>10816.15</v>
      </c>
      <c r="L151" s="54">
        <v>13197.23</v>
      </c>
      <c r="M151" s="33">
        <v>1337.58</v>
      </c>
      <c r="N151" s="54">
        <v>7972.98</v>
      </c>
      <c r="O151" s="53">
        <v>64.92654723127036</v>
      </c>
      <c r="P151" s="54">
        <v>936.23</v>
      </c>
      <c r="Q151" s="54">
        <v>6465</v>
      </c>
      <c r="R151" s="54"/>
      <c r="S151" s="54"/>
    </row>
    <row r="152" spans="1:19" ht="11.25">
      <c r="A152" s="75" t="s">
        <v>27</v>
      </c>
      <c r="B152" s="60">
        <v>13</v>
      </c>
      <c r="C152" s="54"/>
      <c r="D152" s="54"/>
      <c r="E152" s="33">
        <v>126804</v>
      </c>
      <c r="F152" s="33">
        <v>71973.68</v>
      </c>
      <c r="G152" s="53">
        <v>56.75978675751553</v>
      </c>
      <c r="H152" s="91">
        <v>86562</v>
      </c>
      <c r="I152" s="54">
        <v>44599.48</v>
      </c>
      <c r="J152" s="93">
        <v>51.523162588664775</v>
      </c>
      <c r="K152" s="54">
        <v>7130.25</v>
      </c>
      <c r="L152" s="54">
        <v>8615.1</v>
      </c>
      <c r="M152" s="33">
        <v>700.78</v>
      </c>
      <c r="N152" s="54">
        <v>4805.15</v>
      </c>
      <c r="O152" s="53">
        <v>90.83459357277881</v>
      </c>
      <c r="P152" s="54">
        <v>0</v>
      </c>
      <c r="Q152" s="54">
        <v>4600</v>
      </c>
      <c r="R152" s="54"/>
      <c r="S152" s="54"/>
    </row>
    <row r="153" spans="1:19" ht="11.25">
      <c r="A153" s="75" t="s">
        <v>61</v>
      </c>
      <c r="B153" s="60">
        <v>14</v>
      </c>
      <c r="C153" s="54"/>
      <c r="D153" s="54"/>
      <c r="E153" s="33">
        <v>186494</v>
      </c>
      <c r="F153" s="33">
        <v>112513.22</v>
      </c>
      <c r="G153" s="53">
        <v>60.33074522504746</v>
      </c>
      <c r="H153" s="91">
        <v>118719</v>
      </c>
      <c r="I153" s="54">
        <v>67025.95</v>
      </c>
      <c r="J153" s="93">
        <v>56.4576436796132</v>
      </c>
      <c r="K153" s="54">
        <v>9629.38</v>
      </c>
      <c r="L153" s="54">
        <v>13883.74</v>
      </c>
      <c r="M153" s="33">
        <v>1048.16</v>
      </c>
      <c r="N153" s="54">
        <v>16612.99</v>
      </c>
      <c r="O153" s="53">
        <v>65.294933773533</v>
      </c>
      <c r="P153" s="54"/>
      <c r="Q153" s="54">
        <v>4313</v>
      </c>
      <c r="R153" s="54"/>
      <c r="S153" s="54"/>
    </row>
    <row r="154" spans="1:19" ht="11.25">
      <c r="A154" s="75" t="s">
        <v>29</v>
      </c>
      <c r="B154" s="60">
        <v>16</v>
      </c>
      <c r="C154" s="54"/>
      <c r="D154" s="54"/>
      <c r="E154" s="33">
        <f>139225+100000</f>
        <v>239225</v>
      </c>
      <c r="F154" s="33">
        <v>75343.4</v>
      </c>
      <c r="G154" s="53">
        <v>31.494785244017137</v>
      </c>
      <c r="H154" s="91">
        <v>90213</v>
      </c>
      <c r="I154" s="54">
        <v>46090.65</v>
      </c>
      <c r="J154" s="93">
        <v>51.09091816035382</v>
      </c>
      <c r="K154" s="54">
        <v>6398</v>
      </c>
      <c r="L154" s="54">
        <v>8872.16</v>
      </c>
      <c r="M154" s="33">
        <v>947.73</v>
      </c>
      <c r="N154" s="54">
        <v>5677.01</v>
      </c>
      <c r="O154" s="53">
        <v>54.066761904761904</v>
      </c>
      <c r="P154" s="54"/>
      <c r="Q154" s="54">
        <v>3450</v>
      </c>
      <c r="R154" s="54">
        <v>0</v>
      </c>
      <c r="S154" s="54"/>
    </row>
    <row r="155" spans="1:19" ht="15" customHeight="1">
      <c r="A155" s="75" t="s">
        <v>30</v>
      </c>
      <c r="B155" s="60">
        <v>17</v>
      </c>
      <c r="C155" s="54"/>
      <c r="D155" s="54"/>
      <c r="E155" s="33">
        <v>154815</v>
      </c>
      <c r="F155" s="33">
        <v>82765.3</v>
      </c>
      <c r="G155" s="53">
        <v>53.46077576462229</v>
      </c>
      <c r="H155" s="91">
        <v>100335</v>
      </c>
      <c r="I155" s="54">
        <v>51560.76</v>
      </c>
      <c r="J155" s="93">
        <v>51.3886081626551</v>
      </c>
      <c r="K155" s="54">
        <v>8334.48</v>
      </c>
      <c r="L155" s="54">
        <v>10296.87</v>
      </c>
      <c r="M155" s="33">
        <v>601.17</v>
      </c>
      <c r="N155" s="54">
        <v>5299.89</v>
      </c>
      <c r="O155" s="53">
        <v>58.368832599118946</v>
      </c>
      <c r="P155" s="54">
        <v>701.52</v>
      </c>
      <c r="Q155" s="54">
        <v>3670</v>
      </c>
      <c r="R155" s="54"/>
      <c r="S155" s="54"/>
    </row>
    <row r="156" spans="1:19" ht="13.5" customHeight="1">
      <c r="A156" s="75" t="s">
        <v>31</v>
      </c>
      <c r="B156" s="60">
        <v>18</v>
      </c>
      <c r="C156" s="54"/>
      <c r="D156" s="54"/>
      <c r="E156" s="33">
        <v>165231</v>
      </c>
      <c r="F156" s="33">
        <v>90438.11</v>
      </c>
      <c r="G156" s="53">
        <v>54.73434767083659</v>
      </c>
      <c r="H156" s="91">
        <v>121259</v>
      </c>
      <c r="I156" s="54">
        <v>61362.78</v>
      </c>
      <c r="J156" s="93">
        <v>50.604722123718645</v>
      </c>
      <c r="K156" s="54">
        <v>8728.71</v>
      </c>
      <c r="L156" s="54">
        <v>12067.99</v>
      </c>
      <c r="M156" s="33">
        <v>1360.16</v>
      </c>
      <c r="N156" s="54"/>
      <c r="O156" s="53">
        <v>0</v>
      </c>
      <c r="P156" s="54"/>
      <c r="Q156" s="54">
        <v>5750</v>
      </c>
      <c r="R156" s="54"/>
      <c r="S156" s="54"/>
    </row>
    <row r="157" spans="1:19" ht="13.5" customHeight="1">
      <c r="A157" s="75" t="s">
        <v>63</v>
      </c>
      <c r="B157" s="60" t="s">
        <v>64</v>
      </c>
      <c r="C157" s="54"/>
      <c r="D157" s="54"/>
      <c r="E157" s="33">
        <v>130678</v>
      </c>
      <c r="F157" s="33">
        <v>71885.88</v>
      </c>
      <c r="G157" s="53">
        <v>55.009932811949994</v>
      </c>
      <c r="H157" s="91">
        <v>89938</v>
      </c>
      <c r="I157" s="54">
        <v>45712.92</v>
      </c>
      <c r="J157" s="93">
        <v>50.82714759056238</v>
      </c>
      <c r="K157" s="54">
        <v>7348.16</v>
      </c>
      <c r="L157" s="54">
        <v>8971.04</v>
      </c>
      <c r="M157" s="33">
        <v>821.24</v>
      </c>
      <c r="N157" s="54">
        <v>1242.84</v>
      </c>
      <c r="O157" s="53">
        <v>50.31740890688259</v>
      </c>
      <c r="P157" s="54">
        <v>651.9</v>
      </c>
      <c r="Q157" s="54">
        <v>2871.56</v>
      </c>
      <c r="R157" s="54"/>
      <c r="S157" s="54"/>
    </row>
    <row r="158" spans="1:19" ht="11.25">
      <c r="A158" s="75" t="s">
        <v>32</v>
      </c>
      <c r="B158" s="60">
        <v>20</v>
      </c>
      <c r="C158" s="60"/>
      <c r="D158" s="60"/>
      <c r="E158" s="33">
        <v>154287</v>
      </c>
      <c r="F158" s="33">
        <v>81778.7</v>
      </c>
      <c r="G158" s="53">
        <v>53.00427126070245</v>
      </c>
      <c r="H158" s="90">
        <v>98333</v>
      </c>
      <c r="I158" s="62">
        <v>51983.44</v>
      </c>
      <c r="J158" s="93">
        <v>52.86469445659138</v>
      </c>
      <c r="K158" s="62">
        <v>8210.14</v>
      </c>
      <c r="L158" s="62">
        <v>10045.43</v>
      </c>
      <c r="M158" s="76">
        <v>1431.71</v>
      </c>
      <c r="N158" s="62">
        <v>4163.43</v>
      </c>
      <c r="O158" s="53">
        <v>41.6343</v>
      </c>
      <c r="P158" s="62">
        <v>322.88</v>
      </c>
      <c r="Q158" s="62">
        <v>3670</v>
      </c>
      <c r="R158" s="62"/>
      <c r="S158" s="62"/>
    </row>
    <row r="159" spans="1:19" ht="11.25">
      <c r="A159" s="75" t="s">
        <v>33</v>
      </c>
      <c r="B159" s="60">
        <v>21</v>
      </c>
      <c r="C159" s="60"/>
      <c r="D159" s="60"/>
      <c r="E159" s="33">
        <v>152560</v>
      </c>
      <c r="F159" s="33">
        <v>84414.05</v>
      </c>
      <c r="G159" s="53">
        <v>55.331705558468805</v>
      </c>
      <c r="H159" s="90">
        <v>107329</v>
      </c>
      <c r="I159" s="62">
        <v>54858.52</v>
      </c>
      <c r="J159" s="93">
        <v>51.11248590781615</v>
      </c>
      <c r="K159" s="62">
        <v>8353.97</v>
      </c>
      <c r="L159" s="62">
        <v>10554.84</v>
      </c>
      <c r="M159" s="76">
        <v>1189.28</v>
      </c>
      <c r="N159" s="62">
        <v>2545</v>
      </c>
      <c r="O159" s="53">
        <v>100</v>
      </c>
      <c r="P159" s="62">
        <v>255.84</v>
      </c>
      <c r="Q159" s="62">
        <v>3881</v>
      </c>
      <c r="R159" s="62"/>
      <c r="S159" s="62"/>
    </row>
    <row r="160" spans="1:19" ht="11.25">
      <c r="A160" s="75" t="s">
        <v>34</v>
      </c>
      <c r="B160" s="60">
        <v>23</v>
      </c>
      <c r="C160" s="60"/>
      <c r="D160" s="60"/>
      <c r="E160" s="33">
        <v>124444</v>
      </c>
      <c r="F160" s="33">
        <v>62750.31</v>
      </c>
      <c r="G160" s="53">
        <v>50.424536337629775</v>
      </c>
      <c r="H160" s="91">
        <v>85542</v>
      </c>
      <c r="I160" s="54">
        <v>43318.06</v>
      </c>
      <c r="J160" s="93">
        <v>50.63952210609992</v>
      </c>
      <c r="K160" s="54">
        <v>6543.26</v>
      </c>
      <c r="L160" s="54">
        <v>8497.79</v>
      </c>
      <c r="M160" s="33">
        <v>457.12</v>
      </c>
      <c r="N160" s="54">
        <v>723.81</v>
      </c>
      <c r="O160" s="53">
        <v>10.437058399423215</v>
      </c>
      <c r="P160" s="54"/>
      <c r="Q160" s="54">
        <v>3019</v>
      </c>
      <c r="R160" s="54"/>
      <c r="S160" s="54"/>
    </row>
    <row r="161" spans="1:19" ht="11.25">
      <c r="A161" s="75" t="s">
        <v>35</v>
      </c>
      <c r="B161" s="60">
        <v>26</v>
      </c>
      <c r="C161" s="60"/>
      <c r="D161" s="60"/>
      <c r="E161" s="33">
        <v>127894</v>
      </c>
      <c r="F161" s="33">
        <v>62457.27</v>
      </c>
      <c r="G161" s="53">
        <v>48.835183824104334</v>
      </c>
      <c r="H161" s="91">
        <v>83285</v>
      </c>
      <c r="I161" s="54">
        <v>40191.76</v>
      </c>
      <c r="J161" s="93">
        <v>48.25810169898541</v>
      </c>
      <c r="K161" s="54">
        <v>6821.57</v>
      </c>
      <c r="L161" s="54">
        <v>9371.84</v>
      </c>
      <c r="M161" s="33">
        <v>683.08</v>
      </c>
      <c r="N161" s="54">
        <v>963.39</v>
      </c>
      <c r="O161" s="53">
        <v>13.453288646837033</v>
      </c>
      <c r="P161" s="54"/>
      <c r="Q161" s="54">
        <v>3019</v>
      </c>
      <c r="R161" s="54"/>
      <c r="S161" s="54">
        <v>0</v>
      </c>
    </row>
    <row r="162" spans="1:19" ht="11.25">
      <c r="A162" s="75" t="s">
        <v>65</v>
      </c>
      <c r="B162" s="60" t="s">
        <v>65</v>
      </c>
      <c r="C162" s="60"/>
      <c r="D162" s="60"/>
      <c r="E162" s="33">
        <v>84977</v>
      </c>
      <c r="F162" s="33">
        <v>47535.11</v>
      </c>
      <c r="G162" s="53">
        <v>55.938795203407985</v>
      </c>
      <c r="H162" s="91">
        <v>56261</v>
      </c>
      <c r="I162" s="54">
        <v>28932.3</v>
      </c>
      <c r="J162" s="93">
        <v>51.42514352748796</v>
      </c>
      <c r="K162" s="54">
        <v>4729.35</v>
      </c>
      <c r="L162" s="54">
        <v>5666.19</v>
      </c>
      <c r="M162" s="33">
        <v>458.93</v>
      </c>
      <c r="N162" s="54">
        <v>3723.96</v>
      </c>
      <c r="O162" s="53">
        <v>74.4792</v>
      </c>
      <c r="P162" s="54"/>
      <c r="Q162" s="54">
        <v>2875</v>
      </c>
      <c r="R162" s="54"/>
      <c r="S162" s="54"/>
    </row>
    <row r="163" spans="1:19" ht="11.25">
      <c r="A163" s="75" t="s">
        <v>36</v>
      </c>
      <c r="B163" s="60">
        <v>28</v>
      </c>
      <c r="C163" s="60"/>
      <c r="D163" s="60"/>
      <c r="E163" s="33">
        <v>139208</v>
      </c>
      <c r="F163" s="33">
        <v>72268.73</v>
      </c>
      <c r="G163" s="53">
        <v>51.91420751680938</v>
      </c>
      <c r="H163" s="91">
        <v>98738</v>
      </c>
      <c r="I163" s="54">
        <v>50357.81</v>
      </c>
      <c r="J163" s="93">
        <v>51.00144827725901</v>
      </c>
      <c r="K163" s="54">
        <v>8008.21</v>
      </c>
      <c r="L163" s="54">
        <v>9455.26</v>
      </c>
      <c r="M163" s="33">
        <v>994.45</v>
      </c>
      <c r="N163" s="54">
        <v>0</v>
      </c>
      <c r="O163" s="53">
        <v>0</v>
      </c>
      <c r="P163" s="54"/>
      <c r="Q163" s="54">
        <v>3450</v>
      </c>
      <c r="R163" s="54"/>
      <c r="S163" s="54"/>
    </row>
    <row r="164" spans="1:19" ht="11.25">
      <c r="A164" s="75" t="s">
        <v>37</v>
      </c>
      <c r="B164" s="60">
        <v>29</v>
      </c>
      <c r="C164" s="60"/>
      <c r="D164" s="60"/>
      <c r="E164" s="33">
        <v>134200</v>
      </c>
      <c r="F164" s="33">
        <v>76162.39</v>
      </c>
      <c r="G164" s="53">
        <v>56.75289865871833</v>
      </c>
      <c r="H164" s="91">
        <v>84297</v>
      </c>
      <c r="I164" s="54">
        <v>43986.53</v>
      </c>
      <c r="J164" s="93">
        <v>52.180421604564806</v>
      </c>
      <c r="K164" s="54">
        <v>7020.95</v>
      </c>
      <c r="L164" s="54">
        <v>8504.27</v>
      </c>
      <c r="M164" s="33">
        <v>710.16</v>
      </c>
      <c r="N164" s="54">
        <v>6517.92</v>
      </c>
      <c r="O164" s="53">
        <v>59.146279491833035</v>
      </c>
      <c r="P164" s="54"/>
      <c r="Q164" s="54">
        <v>3018</v>
      </c>
      <c r="R164" s="54"/>
      <c r="S164" s="54"/>
    </row>
    <row r="165" spans="1:19" ht="11.25">
      <c r="A165" s="75" t="s">
        <v>38</v>
      </c>
      <c r="B165" s="60">
        <v>31</v>
      </c>
      <c r="C165" s="60"/>
      <c r="D165" s="60"/>
      <c r="E165" s="33">
        <v>239715</v>
      </c>
      <c r="F165" s="33">
        <v>116881.41</v>
      </c>
      <c r="G165" s="53">
        <v>48.75848820474313</v>
      </c>
      <c r="H165" s="91">
        <v>141666</v>
      </c>
      <c r="I165" s="54">
        <v>77321.1</v>
      </c>
      <c r="J165" s="93">
        <v>54.57985684638517</v>
      </c>
      <c r="K165" s="54">
        <v>10330.15</v>
      </c>
      <c r="L165" s="54">
        <v>13789.94</v>
      </c>
      <c r="M165" s="33">
        <v>1535.86</v>
      </c>
      <c r="N165" s="54">
        <v>450.18</v>
      </c>
      <c r="O165" s="53">
        <v>1.2181842781761603</v>
      </c>
      <c r="P165" s="54">
        <v>1992.75</v>
      </c>
      <c r="Q165" s="54">
        <v>5175</v>
      </c>
      <c r="R165" s="54"/>
      <c r="S165" s="54"/>
    </row>
    <row r="166" spans="1:19" ht="11.25">
      <c r="A166" s="75" t="s">
        <v>39</v>
      </c>
      <c r="B166" s="60">
        <v>33</v>
      </c>
      <c r="C166" s="60"/>
      <c r="D166" s="60"/>
      <c r="E166" s="33">
        <v>170339</v>
      </c>
      <c r="F166" s="33">
        <v>91565.57</v>
      </c>
      <c r="G166" s="53">
        <v>53.75490639254663</v>
      </c>
      <c r="H166" s="91">
        <v>121647</v>
      </c>
      <c r="I166" s="54">
        <v>60428.7</v>
      </c>
      <c r="J166" s="93">
        <v>49.67545438851759</v>
      </c>
      <c r="K166" s="54">
        <v>10163</v>
      </c>
      <c r="L166" s="54">
        <v>11961.45</v>
      </c>
      <c r="M166" s="33">
        <v>904.6</v>
      </c>
      <c r="N166" s="54"/>
      <c r="O166" s="53">
        <v>0</v>
      </c>
      <c r="P166" s="54">
        <v>1000</v>
      </c>
      <c r="Q166" s="54">
        <v>4312</v>
      </c>
      <c r="R166" s="54"/>
      <c r="S166" s="54"/>
    </row>
    <row r="167" spans="1:19" ht="11.25">
      <c r="A167" s="75" t="s">
        <v>40</v>
      </c>
      <c r="B167" s="60">
        <v>34</v>
      </c>
      <c r="C167" s="60"/>
      <c r="D167" s="60"/>
      <c r="E167" s="33">
        <v>121954</v>
      </c>
      <c r="F167" s="33">
        <v>68180.65</v>
      </c>
      <c r="G167" s="53">
        <v>55.90685832363022</v>
      </c>
      <c r="H167" s="91">
        <v>90121</v>
      </c>
      <c r="I167" s="54">
        <v>49288.77</v>
      </c>
      <c r="J167" s="93">
        <v>54.69176995372887</v>
      </c>
      <c r="K167" s="54">
        <v>5645.01</v>
      </c>
      <c r="L167" s="54">
        <v>8867.61</v>
      </c>
      <c r="M167" s="33">
        <v>608.52</v>
      </c>
      <c r="N167" s="54"/>
      <c r="O167" s="53">
        <v>0</v>
      </c>
      <c r="P167" s="54"/>
      <c r="Q167" s="54">
        <v>3235</v>
      </c>
      <c r="R167" s="54"/>
      <c r="S167" s="54"/>
    </row>
    <row r="168" spans="1:19" ht="11.25">
      <c r="A168" s="75" t="s">
        <v>41</v>
      </c>
      <c r="B168" s="60">
        <v>35</v>
      </c>
      <c r="C168" s="60"/>
      <c r="D168" s="60"/>
      <c r="E168" s="33">
        <v>152828</v>
      </c>
      <c r="F168" s="33">
        <v>92337.76</v>
      </c>
      <c r="G168" s="53">
        <v>60.41939958646321</v>
      </c>
      <c r="H168" s="91">
        <v>100676</v>
      </c>
      <c r="I168" s="54">
        <v>61074.39</v>
      </c>
      <c r="J168" s="93">
        <v>60.664299336485364</v>
      </c>
      <c r="K168" s="54">
        <v>8478.54</v>
      </c>
      <c r="L168" s="54">
        <v>11272.32</v>
      </c>
      <c r="M168" s="33">
        <v>796.86</v>
      </c>
      <c r="N168" s="54">
        <v>2290.23</v>
      </c>
      <c r="O168" s="53">
        <v>43.15488976823064</v>
      </c>
      <c r="P168" s="54">
        <v>159.9</v>
      </c>
      <c r="Q168" s="54">
        <v>3450</v>
      </c>
      <c r="R168" s="54"/>
      <c r="S168" s="54"/>
    </row>
    <row r="169" spans="1:19" ht="11.25">
      <c r="A169" s="75" t="s">
        <v>67</v>
      </c>
      <c r="B169" s="60" t="s">
        <v>68</v>
      </c>
      <c r="C169" s="60"/>
      <c r="D169" s="60"/>
      <c r="E169" s="33">
        <v>117435</v>
      </c>
      <c r="F169" s="33">
        <f>59185.83+2198.4</f>
        <v>61384.23</v>
      </c>
      <c r="G169" s="53">
        <v>52.270813641588965</v>
      </c>
      <c r="H169" s="91">
        <v>81169</v>
      </c>
      <c r="I169" s="54">
        <v>40050.33</v>
      </c>
      <c r="J169" s="93">
        <v>49.341903928839834</v>
      </c>
      <c r="K169" s="54">
        <v>6413.89</v>
      </c>
      <c r="L169" s="54">
        <v>7973.87</v>
      </c>
      <c r="M169" s="33">
        <v>872.68</v>
      </c>
      <c r="N169" s="54">
        <v>1071.06</v>
      </c>
      <c r="O169" s="53">
        <v>24.8794425087108</v>
      </c>
      <c r="P169" s="54"/>
      <c r="Q169" s="54">
        <v>2804</v>
      </c>
      <c r="R169" s="54"/>
      <c r="S169" s="54"/>
    </row>
    <row r="170" spans="1:19" ht="11.25">
      <c r="A170" s="75" t="s">
        <v>42</v>
      </c>
      <c r="B170" s="60">
        <v>37</v>
      </c>
      <c r="C170" s="60"/>
      <c r="D170" s="60"/>
      <c r="E170" s="33">
        <v>4000</v>
      </c>
      <c r="F170" s="33">
        <v>1169.24</v>
      </c>
      <c r="G170" s="53">
        <v>29.231</v>
      </c>
      <c r="H170" s="91"/>
      <c r="I170" s="54"/>
      <c r="J170" s="93">
        <v>0</v>
      </c>
      <c r="K170" s="54"/>
      <c r="L170" s="54"/>
      <c r="M170" s="33"/>
      <c r="N170" s="54"/>
      <c r="O170" s="53">
        <v>0</v>
      </c>
      <c r="P170" s="54"/>
      <c r="Q170" s="54"/>
      <c r="R170" s="54"/>
      <c r="S170" s="54"/>
    </row>
    <row r="171" spans="1:19" ht="11.25">
      <c r="A171" s="75" t="s">
        <v>43</v>
      </c>
      <c r="B171" s="60">
        <v>39</v>
      </c>
      <c r="C171" s="60"/>
      <c r="D171" s="60"/>
      <c r="E171" s="33">
        <v>186035</v>
      </c>
      <c r="F171" s="33">
        <v>102463.54</v>
      </c>
      <c r="G171" s="53">
        <v>55.0775606740667</v>
      </c>
      <c r="H171" s="91">
        <v>135860</v>
      </c>
      <c r="I171" s="54">
        <v>72681.54</v>
      </c>
      <c r="J171" s="93">
        <v>53.497379655527745</v>
      </c>
      <c r="K171" s="54">
        <v>10000.78</v>
      </c>
      <c r="L171" s="54">
        <v>12110.31</v>
      </c>
      <c r="M171" s="33">
        <v>1152.83</v>
      </c>
      <c r="N171" s="54"/>
      <c r="O171" s="53">
        <v>0</v>
      </c>
      <c r="P171" s="54"/>
      <c r="Q171" s="54">
        <v>4744</v>
      </c>
      <c r="R171" s="54"/>
      <c r="S171" s="54"/>
    </row>
    <row r="172" spans="1:19" ht="11.25">
      <c r="A172" s="75" t="s">
        <v>44</v>
      </c>
      <c r="B172" s="60">
        <v>40</v>
      </c>
      <c r="C172" s="60"/>
      <c r="D172" s="60"/>
      <c r="E172" s="33">
        <v>236083</v>
      </c>
      <c r="F172" s="33">
        <v>129082.09</v>
      </c>
      <c r="G172" s="53">
        <v>54.676571375321394</v>
      </c>
      <c r="H172" s="91">
        <v>150346</v>
      </c>
      <c r="I172" s="54">
        <v>77265.99</v>
      </c>
      <c r="J172" s="93">
        <v>51.39211552020008</v>
      </c>
      <c r="K172" s="54">
        <v>11109.58</v>
      </c>
      <c r="L172" s="54">
        <v>15010.66</v>
      </c>
      <c r="M172" s="33">
        <v>1475</v>
      </c>
      <c r="N172" s="54">
        <v>10353.81</v>
      </c>
      <c r="O172" s="53">
        <v>52.709922109657384</v>
      </c>
      <c r="P172" s="54">
        <v>747.3</v>
      </c>
      <c r="Q172" s="54">
        <v>5891.25</v>
      </c>
      <c r="R172" s="54"/>
      <c r="S172" s="54"/>
    </row>
    <row r="173" spans="1:19" ht="11.25">
      <c r="A173" s="75" t="s">
        <v>69</v>
      </c>
      <c r="B173" s="60" t="s">
        <v>70</v>
      </c>
      <c r="C173" s="60"/>
      <c r="D173" s="60"/>
      <c r="E173" s="33">
        <v>95991</v>
      </c>
      <c r="F173" s="33">
        <v>52926.31</v>
      </c>
      <c r="G173" s="53">
        <v>55.136741986227875</v>
      </c>
      <c r="H173" s="91">
        <v>70652</v>
      </c>
      <c r="I173" s="54">
        <v>37698.1</v>
      </c>
      <c r="J173" s="93">
        <v>53.35744211062673</v>
      </c>
      <c r="K173" s="54">
        <v>4701.71</v>
      </c>
      <c r="L173" s="54">
        <v>7020.58</v>
      </c>
      <c r="M173" s="33">
        <v>267.3</v>
      </c>
      <c r="N173" s="54">
        <v>866.62</v>
      </c>
      <c r="O173" s="53">
        <v>38.37998228520815</v>
      </c>
      <c r="P173" s="54"/>
      <c r="Q173" s="54">
        <v>2372</v>
      </c>
      <c r="R173" s="54"/>
      <c r="S173" s="54"/>
    </row>
    <row r="174" spans="1:19" ht="11.25">
      <c r="A174" s="75" t="s">
        <v>45</v>
      </c>
      <c r="B174" s="60">
        <v>42</v>
      </c>
      <c r="C174" s="60"/>
      <c r="D174" s="60"/>
      <c r="E174" s="33">
        <v>176823</v>
      </c>
      <c r="F174" s="33">
        <v>81222.23</v>
      </c>
      <c r="G174" s="53">
        <v>45.93419973645962</v>
      </c>
      <c r="H174" s="91">
        <v>130167</v>
      </c>
      <c r="I174" s="54">
        <v>56883.47</v>
      </c>
      <c r="J174" s="93">
        <v>43.70037720774083</v>
      </c>
      <c r="K174" s="54">
        <v>7210.8</v>
      </c>
      <c r="L174" s="54">
        <v>11136.5</v>
      </c>
      <c r="M174" s="33">
        <v>1171.01</v>
      </c>
      <c r="N174" s="54">
        <v>291.95</v>
      </c>
      <c r="O174" s="53">
        <v>9.648050231328487</v>
      </c>
      <c r="P174" s="54"/>
      <c r="Q174" s="54">
        <v>4528.5</v>
      </c>
      <c r="R174" s="54"/>
      <c r="S174" s="54"/>
    </row>
    <row r="175" spans="1:19" ht="11.25">
      <c r="A175" s="75" t="s">
        <v>46</v>
      </c>
      <c r="B175" s="60">
        <v>43</v>
      </c>
      <c r="C175" s="60"/>
      <c r="D175" s="60"/>
      <c r="E175" s="33">
        <v>170229</v>
      </c>
      <c r="F175" s="33">
        <v>94140.1</v>
      </c>
      <c r="G175" s="53">
        <v>55.30203431847688</v>
      </c>
      <c r="H175" s="91">
        <v>125565</v>
      </c>
      <c r="I175" s="54">
        <v>65998.05</v>
      </c>
      <c r="J175" s="93">
        <v>52.56086489069407</v>
      </c>
      <c r="K175" s="54">
        <v>9889.29</v>
      </c>
      <c r="L175" s="54">
        <v>11418.25</v>
      </c>
      <c r="M175" s="33">
        <v>1285.51</v>
      </c>
      <c r="N175" s="54"/>
      <c r="O175" s="53">
        <v>0</v>
      </c>
      <c r="P175" s="54"/>
      <c r="Q175" s="54">
        <v>4313</v>
      </c>
      <c r="R175" s="54"/>
      <c r="S175" s="54"/>
    </row>
    <row r="176" spans="1:19" ht="11.25">
      <c r="A176" s="75" t="s">
        <v>47</v>
      </c>
      <c r="B176" s="60">
        <v>44</v>
      </c>
      <c r="C176" s="60"/>
      <c r="D176" s="60"/>
      <c r="E176" s="33">
        <v>152659</v>
      </c>
      <c r="F176" s="33">
        <v>82920</v>
      </c>
      <c r="G176" s="53">
        <v>54.31713819689635</v>
      </c>
      <c r="H176" s="91">
        <v>102673</v>
      </c>
      <c r="I176" s="54">
        <v>50107.88</v>
      </c>
      <c r="J176" s="93">
        <v>48.803366026121765</v>
      </c>
      <c r="K176" s="54">
        <v>8031.1</v>
      </c>
      <c r="L176" s="54">
        <v>9863.11</v>
      </c>
      <c r="M176" s="33">
        <v>950.41</v>
      </c>
      <c r="N176" s="54">
        <v>5928</v>
      </c>
      <c r="O176" s="53">
        <v>100</v>
      </c>
      <c r="P176" s="54">
        <v>1983.9</v>
      </c>
      <c r="Q176" s="54">
        <v>3881.25</v>
      </c>
      <c r="R176" s="54"/>
      <c r="S176" s="54"/>
    </row>
    <row r="177" spans="1:19" ht="11.25">
      <c r="A177" s="75" t="s">
        <v>48</v>
      </c>
      <c r="B177" s="60">
        <v>45</v>
      </c>
      <c r="C177" s="60"/>
      <c r="D177" s="60"/>
      <c r="E177" s="33">
        <v>358526</v>
      </c>
      <c r="F177" s="33">
        <v>181007.35</v>
      </c>
      <c r="G177" s="53">
        <v>50.48653375208493</v>
      </c>
      <c r="H177" s="91">
        <v>220360</v>
      </c>
      <c r="I177" s="54">
        <v>113422.26</v>
      </c>
      <c r="J177" s="93">
        <v>51.47134688691233</v>
      </c>
      <c r="K177" s="54">
        <v>17722.77</v>
      </c>
      <c r="L177" s="54">
        <v>19116.49</v>
      </c>
      <c r="M177" s="33">
        <v>1884.36</v>
      </c>
      <c r="N177" s="54">
        <v>14824.55</v>
      </c>
      <c r="O177" s="53">
        <v>39.7441018766756</v>
      </c>
      <c r="P177" s="54">
        <v>147.6</v>
      </c>
      <c r="Q177" s="54">
        <v>7762.5</v>
      </c>
      <c r="R177" s="54"/>
      <c r="S177" s="54"/>
    </row>
    <row r="178" spans="1:19" ht="11.25">
      <c r="A178" s="75" t="s">
        <v>49</v>
      </c>
      <c r="B178" s="60">
        <v>46</v>
      </c>
      <c r="C178" s="60"/>
      <c r="D178" s="60"/>
      <c r="E178" s="33">
        <v>287447</v>
      </c>
      <c r="F178" s="33">
        <v>148413.68</v>
      </c>
      <c r="G178" s="53">
        <v>51.631667750924514</v>
      </c>
      <c r="H178" s="91">
        <v>190126</v>
      </c>
      <c r="I178" s="54">
        <v>88805.1</v>
      </c>
      <c r="J178" s="93">
        <v>46.70855117132849</v>
      </c>
      <c r="K178" s="54">
        <v>15302.12</v>
      </c>
      <c r="L178" s="54">
        <v>18316.81</v>
      </c>
      <c r="M178" s="33">
        <v>2158.75</v>
      </c>
      <c r="N178" s="54">
        <v>4450.82</v>
      </c>
      <c r="O178" s="53">
        <v>40.461999999999996</v>
      </c>
      <c r="P178" s="54">
        <v>0</v>
      </c>
      <c r="Q178" s="54">
        <v>6900</v>
      </c>
      <c r="R178" s="54"/>
      <c r="S178" s="54">
        <v>10519.7</v>
      </c>
    </row>
    <row r="179" spans="1:19" ht="11.25">
      <c r="A179" s="75" t="s">
        <v>50</v>
      </c>
      <c r="B179" s="60">
        <v>47</v>
      </c>
      <c r="C179" s="60"/>
      <c r="D179" s="60"/>
      <c r="E179" s="33">
        <v>307786</v>
      </c>
      <c r="F179" s="33">
        <v>166793.72</v>
      </c>
      <c r="G179" s="53">
        <v>54.191457701130005</v>
      </c>
      <c r="H179" s="91">
        <v>199164</v>
      </c>
      <c r="I179" s="54">
        <v>99526.98</v>
      </c>
      <c r="J179" s="93">
        <v>49.972374525516656</v>
      </c>
      <c r="K179" s="54">
        <v>15312.23</v>
      </c>
      <c r="L179" s="54">
        <v>19568.3</v>
      </c>
      <c r="M179" s="33">
        <v>1432.41</v>
      </c>
      <c r="N179" s="54">
        <v>13325.31</v>
      </c>
      <c r="O179" s="53">
        <v>48.81065934065934</v>
      </c>
      <c r="P179" s="54">
        <v>959.4</v>
      </c>
      <c r="Q179" s="54">
        <v>6900</v>
      </c>
      <c r="R179" s="54"/>
      <c r="S179" s="54">
        <v>6789.6</v>
      </c>
    </row>
    <row r="180" spans="1:19" ht="11.25">
      <c r="A180" s="75" t="s">
        <v>51</v>
      </c>
      <c r="B180" s="60">
        <v>48</v>
      </c>
      <c r="C180" s="60"/>
      <c r="D180" s="60"/>
      <c r="E180" s="33">
        <v>278468</v>
      </c>
      <c r="F180" s="33">
        <v>146608.25</v>
      </c>
      <c r="G180" s="53">
        <v>52.64814987718517</v>
      </c>
      <c r="H180" s="91">
        <v>206966</v>
      </c>
      <c r="I180" s="54">
        <v>97996.69</v>
      </c>
      <c r="J180" s="93">
        <v>47.34917329416426</v>
      </c>
      <c r="K180" s="54">
        <v>16080.36</v>
      </c>
      <c r="L180" s="54">
        <v>21429.76</v>
      </c>
      <c r="M180" s="33">
        <v>2791.44</v>
      </c>
      <c r="N180" s="54"/>
      <c r="O180" s="53">
        <v>0</v>
      </c>
      <c r="P180" s="54"/>
      <c r="Q180" s="54">
        <v>6900</v>
      </c>
      <c r="R180" s="54"/>
      <c r="S180" s="54"/>
    </row>
    <row r="181" spans="1:19" ht="11.25">
      <c r="A181" s="73" t="s">
        <v>91</v>
      </c>
      <c r="B181" s="72"/>
      <c r="C181" s="71"/>
      <c r="D181" s="71"/>
      <c r="E181" s="35">
        <f>SUM(E144:E180)</f>
        <v>6159492</v>
      </c>
      <c r="F181" s="35">
        <f>SUM(F144:F180)</f>
        <v>3242770.4600000004</v>
      </c>
      <c r="G181" s="36">
        <v>52.64671924243104</v>
      </c>
      <c r="H181" s="89">
        <f>SUM(H144:H180)</f>
        <v>4074575</v>
      </c>
      <c r="I181" s="35">
        <f>SUM(I144:I180)</f>
        <v>2102000.9600000004</v>
      </c>
      <c r="J181" s="94">
        <v>51.588226011301806</v>
      </c>
      <c r="K181" s="35">
        <f>SUM(K144:K180)</f>
        <v>316824.05</v>
      </c>
      <c r="L181" s="35">
        <f>SUM(L144:L180)</f>
        <v>397182.31</v>
      </c>
      <c r="M181" s="35">
        <f>SUM(M144:M180)</f>
        <v>40228.89000000001</v>
      </c>
      <c r="N181" s="35">
        <f>SUM(N144:N180)</f>
        <v>128417.68999999997</v>
      </c>
      <c r="O181" s="36">
        <v>39.84748644782528</v>
      </c>
      <c r="P181" s="35">
        <f>SUM(P144:P180)</f>
        <v>9859.220000000001</v>
      </c>
      <c r="Q181" s="35">
        <f>SUM(Q144:Q180)</f>
        <v>151139.09</v>
      </c>
      <c r="R181" s="35">
        <f>SUM(R144:R180)</f>
        <v>0</v>
      </c>
      <c r="S181" s="35">
        <f>SUM(S144:S180)</f>
        <v>17309.300000000003</v>
      </c>
    </row>
    <row r="182" spans="1:19" ht="11.25">
      <c r="A182" s="70" t="s">
        <v>92</v>
      </c>
      <c r="B182" s="51" t="s">
        <v>54</v>
      </c>
      <c r="C182" s="72"/>
      <c r="D182" s="72"/>
      <c r="E182" s="33">
        <v>7200</v>
      </c>
      <c r="F182" s="33">
        <v>7199.99</v>
      </c>
      <c r="G182" s="53">
        <v>99.99986111111112</v>
      </c>
      <c r="H182" s="88"/>
      <c r="I182" s="33"/>
      <c r="J182" s="93">
        <v>0</v>
      </c>
      <c r="K182" s="33"/>
      <c r="L182" s="33"/>
      <c r="M182" s="33"/>
      <c r="N182" s="33"/>
      <c r="O182" s="53">
        <v>0</v>
      </c>
      <c r="P182" s="33"/>
      <c r="Q182" s="33"/>
      <c r="R182" s="33"/>
      <c r="S182" s="33"/>
    </row>
    <row r="183" spans="1:19" ht="11.25">
      <c r="A183" s="75" t="s">
        <v>55</v>
      </c>
      <c r="B183" s="60" t="s">
        <v>55</v>
      </c>
      <c r="C183" s="72"/>
      <c r="D183" s="72"/>
      <c r="E183" s="33">
        <v>3000</v>
      </c>
      <c r="F183" s="33">
        <v>2649.77</v>
      </c>
      <c r="G183" s="53">
        <v>88.32566666666666</v>
      </c>
      <c r="H183" s="88"/>
      <c r="I183" s="33"/>
      <c r="J183" s="93">
        <v>0</v>
      </c>
      <c r="K183" s="33"/>
      <c r="L183" s="33"/>
      <c r="M183" s="33"/>
      <c r="N183" s="33"/>
      <c r="O183" s="53">
        <v>0</v>
      </c>
      <c r="P183" s="33"/>
      <c r="Q183" s="33"/>
      <c r="R183" s="33"/>
      <c r="S183" s="33"/>
    </row>
    <row r="184" spans="1:19" ht="11.25">
      <c r="A184" s="75" t="s">
        <v>56</v>
      </c>
      <c r="B184" s="60" t="s">
        <v>56</v>
      </c>
      <c r="C184" s="72"/>
      <c r="D184" s="72"/>
      <c r="E184" s="33">
        <v>1133448</v>
      </c>
      <c r="F184" s="33">
        <v>613159.48</v>
      </c>
      <c r="G184" s="53">
        <v>54.09683373211651</v>
      </c>
      <c r="H184" s="88">
        <v>440238</v>
      </c>
      <c r="I184" s="33">
        <v>228396.89</v>
      </c>
      <c r="J184" s="93">
        <v>51.8803215533416</v>
      </c>
      <c r="K184" s="33">
        <v>36417.37</v>
      </c>
      <c r="L184" s="33">
        <v>43843.46</v>
      </c>
      <c r="M184" s="33">
        <v>4028.38</v>
      </c>
      <c r="N184" s="33">
        <v>220800.43</v>
      </c>
      <c r="O184" s="53">
        <v>60.065078536025375</v>
      </c>
      <c r="P184" s="33"/>
      <c r="Q184" s="33">
        <v>14240</v>
      </c>
      <c r="R184" s="33"/>
      <c r="S184" s="33"/>
    </row>
    <row r="185" spans="1:19" ht="11.25">
      <c r="A185" s="75" t="s">
        <v>22</v>
      </c>
      <c r="B185" s="60">
        <v>6</v>
      </c>
      <c r="C185" s="72"/>
      <c r="D185" s="72"/>
      <c r="E185" s="33">
        <v>13099</v>
      </c>
      <c r="F185" s="33">
        <v>13099</v>
      </c>
      <c r="G185" s="53">
        <v>100</v>
      </c>
      <c r="H185" s="88"/>
      <c r="I185" s="33"/>
      <c r="J185" s="93">
        <v>0</v>
      </c>
      <c r="K185" s="33"/>
      <c r="L185" s="33"/>
      <c r="M185" s="33"/>
      <c r="N185" s="33"/>
      <c r="O185" s="53">
        <v>0</v>
      </c>
      <c r="P185" s="33"/>
      <c r="Q185" s="33"/>
      <c r="R185" s="33"/>
      <c r="S185" s="33"/>
    </row>
    <row r="186" spans="1:19" ht="11.25">
      <c r="A186" s="75" t="s">
        <v>57</v>
      </c>
      <c r="B186" s="60" t="s">
        <v>57</v>
      </c>
      <c r="C186" s="72"/>
      <c r="D186" s="72"/>
      <c r="E186" s="33">
        <v>33711</v>
      </c>
      <c r="F186" s="33">
        <v>31321.08</v>
      </c>
      <c r="G186" s="53">
        <v>92.91056331761148</v>
      </c>
      <c r="H186" s="88"/>
      <c r="I186" s="33"/>
      <c r="J186" s="93">
        <v>0</v>
      </c>
      <c r="K186" s="33"/>
      <c r="L186" s="33"/>
      <c r="M186" s="33"/>
      <c r="N186" s="33"/>
      <c r="O186" s="53">
        <v>0</v>
      </c>
      <c r="P186" s="33"/>
      <c r="Q186" s="33"/>
      <c r="R186" s="33"/>
      <c r="S186" s="33"/>
    </row>
    <row r="187" spans="1:19" ht="11.25">
      <c r="A187" s="75" t="s">
        <v>23</v>
      </c>
      <c r="B187" s="60">
        <v>8</v>
      </c>
      <c r="C187" s="72"/>
      <c r="D187" s="72"/>
      <c r="E187" s="33">
        <f>9828+4800</f>
        <v>14628</v>
      </c>
      <c r="F187" s="33">
        <v>14502.55</v>
      </c>
      <c r="G187" s="53">
        <v>99.14239814055236</v>
      </c>
      <c r="H187" s="88"/>
      <c r="I187" s="33"/>
      <c r="J187" s="93">
        <v>0</v>
      </c>
      <c r="K187" s="33"/>
      <c r="L187" s="33"/>
      <c r="M187" s="33"/>
      <c r="N187" s="33"/>
      <c r="O187" s="53">
        <v>0</v>
      </c>
      <c r="P187" s="33"/>
      <c r="Q187" s="33"/>
      <c r="R187" s="33"/>
      <c r="S187" s="33"/>
    </row>
    <row r="188" spans="1:19" ht="11.25">
      <c r="A188" s="75" t="s">
        <v>24</v>
      </c>
      <c r="B188" s="60">
        <v>10</v>
      </c>
      <c r="C188" s="72"/>
      <c r="D188" s="72"/>
      <c r="E188" s="33">
        <f>69150+4200</f>
        <v>73350</v>
      </c>
      <c r="F188" s="33">
        <v>51909.51</v>
      </c>
      <c r="G188" s="53">
        <v>70.76961145194274</v>
      </c>
      <c r="H188" s="88"/>
      <c r="I188" s="33"/>
      <c r="J188" s="93">
        <v>0</v>
      </c>
      <c r="K188" s="33"/>
      <c r="L188" s="33"/>
      <c r="M188" s="33"/>
      <c r="N188" s="33"/>
      <c r="O188" s="53">
        <v>0</v>
      </c>
      <c r="P188" s="33"/>
      <c r="Q188" s="33"/>
      <c r="R188" s="33"/>
      <c r="S188" s="33"/>
    </row>
    <row r="189" spans="1:19" ht="11.25">
      <c r="A189" s="75" t="s">
        <v>25</v>
      </c>
      <c r="B189" s="60">
        <v>11</v>
      </c>
      <c r="C189" s="72"/>
      <c r="D189" s="72"/>
      <c r="E189" s="33">
        <v>30819</v>
      </c>
      <c r="F189" s="33">
        <v>10306.49</v>
      </c>
      <c r="G189" s="53">
        <v>33.44200006489503</v>
      </c>
      <c r="H189" s="88"/>
      <c r="I189" s="33"/>
      <c r="J189" s="93">
        <v>0</v>
      </c>
      <c r="K189" s="33"/>
      <c r="L189" s="33"/>
      <c r="M189" s="33"/>
      <c r="N189" s="33"/>
      <c r="O189" s="53">
        <v>0</v>
      </c>
      <c r="P189" s="33"/>
      <c r="Q189" s="33"/>
      <c r="R189" s="33"/>
      <c r="S189" s="33"/>
    </row>
    <row r="190" spans="1:19" ht="11.25">
      <c r="A190" s="75" t="s">
        <v>26</v>
      </c>
      <c r="B190" s="60">
        <v>12</v>
      </c>
      <c r="C190" s="72"/>
      <c r="D190" s="72"/>
      <c r="E190" s="33">
        <v>1307291</v>
      </c>
      <c r="F190" s="33">
        <v>710163.89</v>
      </c>
      <c r="G190" s="53">
        <v>54.323321280418824</v>
      </c>
      <c r="H190" s="88">
        <v>534888</v>
      </c>
      <c r="I190" s="33">
        <v>272420.06</v>
      </c>
      <c r="J190" s="93">
        <v>50.9302994271698</v>
      </c>
      <c r="K190" s="33">
        <v>41765.75</v>
      </c>
      <c r="L190" s="33">
        <v>54416.66</v>
      </c>
      <c r="M190" s="33">
        <v>5725.28</v>
      </c>
      <c r="N190" s="33">
        <v>197097.6</v>
      </c>
      <c r="O190" s="53">
        <v>54.74933333333334</v>
      </c>
      <c r="P190" s="33">
        <v>8182.57</v>
      </c>
      <c r="Q190" s="33">
        <v>21850</v>
      </c>
      <c r="R190" s="33"/>
      <c r="S190" s="33"/>
    </row>
    <row r="191" spans="1:19" ht="11.25">
      <c r="A191" s="75" t="s">
        <v>27</v>
      </c>
      <c r="B191" s="60">
        <v>13</v>
      </c>
      <c r="C191" s="72"/>
      <c r="D191" s="72"/>
      <c r="E191" s="33">
        <v>4800</v>
      </c>
      <c r="F191" s="33">
        <v>157.44</v>
      </c>
      <c r="G191" s="53">
        <v>3.28</v>
      </c>
      <c r="H191" s="88"/>
      <c r="I191" s="33"/>
      <c r="J191" s="93">
        <v>0</v>
      </c>
      <c r="K191" s="33"/>
      <c r="L191" s="33"/>
      <c r="M191" s="33"/>
      <c r="N191" s="33"/>
      <c r="O191" s="53">
        <v>0</v>
      </c>
      <c r="P191" s="33"/>
      <c r="Q191" s="33"/>
      <c r="R191" s="33"/>
      <c r="S191" s="33"/>
    </row>
    <row r="192" spans="1:19" ht="11.25" hidden="1">
      <c r="A192" s="75" t="s">
        <v>61</v>
      </c>
      <c r="B192" s="60">
        <v>14</v>
      </c>
      <c r="C192" s="72"/>
      <c r="D192" s="72"/>
      <c r="E192" s="33"/>
      <c r="F192" s="33"/>
      <c r="G192" s="53" t="e">
        <v>#DIV/0!</v>
      </c>
      <c r="H192" s="88"/>
      <c r="I192" s="33"/>
      <c r="J192" s="93">
        <v>0</v>
      </c>
      <c r="K192" s="33"/>
      <c r="L192" s="33"/>
      <c r="M192" s="33"/>
      <c r="N192" s="33"/>
      <c r="O192" s="53">
        <v>0</v>
      </c>
      <c r="P192" s="33"/>
      <c r="Q192" s="33"/>
      <c r="R192" s="33"/>
      <c r="S192" s="33"/>
    </row>
    <row r="193" spans="1:19" ht="11.25">
      <c r="A193" s="75" t="s">
        <v>29</v>
      </c>
      <c r="B193" s="60">
        <v>16</v>
      </c>
      <c r="C193" s="72"/>
      <c r="D193" s="72"/>
      <c r="E193" s="33">
        <v>37523</v>
      </c>
      <c r="F193" s="33">
        <v>30125.19</v>
      </c>
      <c r="G193" s="53">
        <v>80.28459877941529</v>
      </c>
      <c r="H193" s="88"/>
      <c r="I193" s="33"/>
      <c r="J193" s="93">
        <v>0</v>
      </c>
      <c r="K193" s="33"/>
      <c r="L193" s="33"/>
      <c r="M193" s="33"/>
      <c r="N193" s="33"/>
      <c r="O193" s="53">
        <v>0</v>
      </c>
      <c r="P193" s="33"/>
      <c r="Q193" s="33"/>
      <c r="R193" s="33"/>
      <c r="S193" s="33"/>
    </row>
    <row r="194" spans="1:19" ht="11.25">
      <c r="A194" s="75" t="s">
        <v>30</v>
      </c>
      <c r="B194" s="60">
        <v>17</v>
      </c>
      <c r="C194" s="72"/>
      <c r="D194" s="72"/>
      <c r="E194" s="33">
        <f>2500+4200</f>
        <v>6700</v>
      </c>
      <c r="F194" s="33">
        <v>3810.66</v>
      </c>
      <c r="G194" s="53">
        <v>56.87552238805969</v>
      </c>
      <c r="H194" s="88"/>
      <c r="I194" s="33"/>
      <c r="J194" s="93">
        <v>0</v>
      </c>
      <c r="K194" s="33"/>
      <c r="L194" s="33"/>
      <c r="M194" s="33"/>
      <c r="N194" s="33"/>
      <c r="O194" s="53">
        <v>0</v>
      </c>
      <c r="P194" s="33"/>
      <c r="Q194" s="33"/>
      <c r="R194" s="33"/>
      <c r="S194" s="33"/>
    </row>
    <row r="195" spans="1:19" ht="11.25" hidden="1">
      <c r="A195" s="75" t="s">
        <v>31</v>
      </c>
      <c r="B195" s="60">
        <v>18</v>
      </c>
      <c r="C195" s="72"/>
      <c r="D195" s="72"/>
      <c r="E195" s="33"/>
      <c r="F195" s="33"/>
      <c r="G195" s="53" t="e">
        <v>#DIV/0!</v>
      </c>
      <c r="H195" s="88"/>
      <c r="I195" s="33"/>
      <c r="J195" s="93">
        <v>0</v>
      </c>
      <c r="K195" s="33"/>
      <c r="L195" s="33"/>
      <c r="M195" s="33"/>
      <c r="N195" s="33"/>
      <c r="O195" s="53"/>
      <c r="P195" s="33"/>
      <c r="Q195" s="33"/>
      <c r="R195" s="33"/>
      <c r="S195" s="33"/>
    </row>
    <row r="196" spans="1:19" ht="11.25">
      <c r="A196" s="75" t="s">
        <v>32</v>
      </c>
      <c r="B196" s="60">
        <v>20</v>
      </c>
      <c r="C196" s="72"/>
      <c r="D196" s="72"/>
      <c r="E196" s="33">
        <f>14032+4200</f>
        <v>18232</v>
      </c>
      <c r="F196" s="33">
        <v>15524.71</v>
      </c>
      <c r="G196" s="53">
        <v>85.15088854760859</v>
      </c>
      <c r="H196" s="88"/>
      <c r="I196" s="33"/>
      <c r="J196" s="93">
        <v>0</v>
      </c>
      <c r="K196" s="33"/>
      <c r="L196" s="33"/>
      <c r="M196" s="33"/>
      <c r="N196" s="33"/>
      <c r="O196" s="53"/>
      <c r="P196" s="33"/>
      <c r="Q196" s="33"/>
      <c r="R196" s="33"/>
      <c r="S196" s="33"/>
    </row>
    <row r="197" spans="1:19" ht="11.25">
      <c r="A197" s="75" t="s">
        <v>33</v>
      </c>
      <c r="B197" s="60">
        <v>21</v>
      </c>
      <c r="C197" s="72"/>
      <c r="D197" s="72"/>
      <c r="E197" s="33">
        <f>17000+4800</f>
        <v>21800</v>
      </c>
      <c r="F197" s="33">
        <v>9481.54</v>
      </c>
      <c r="G197" s="53">
        <v>43.49330275229358</v>
      </c>
      <c r="H197" s="88"/>
      <c r="I197" s="33"/>
      <c r="J197" s="93">
        <v>0</v>
      </c>
      <c r="K197" s="33"/>
      <c r="L197" s="33"/>
      <c r="M197" s="33"/>
      <c r="N197" s="33"/>
      <c r="O197" s="53">
        <v>0</v>
      </c>
      <c r="P197" s="33"/>
      <c r="Q197" s="33"/>
      <c r="R197" s="33"/>
      <c r="S197" s="33"/>
    </row>
    <row r="198" spans="1:19" ht="11.25">
      <c r="A198" s="75" t="s">
        <v>34</v>
      </c>
      <c r="B198" s="60">
        <v>23</v>
      </c>
      <c r="C198" s="72"/>
      <c r="D198" s="72"/>
      <c r="E198" s="33">
        <v>200</v>
      </c>
      <c r="F198" s="33">
        <v>200</v>
      </c>
      <c r="G198" s="53">
        <v>100</v>
      </c>
      <c r="H198" s="88"/>
      <c r="I198" s="33"/>
      <c r="J198" s="93">
        <v>0</v>
      </c>
      <c r="K198" s="33"/>
      <c r="L198" s="33"/>
      <c r="M198" s="33"/>
      <c r="N198" s="33"/>
      <c r="O198" s="53"/>
      <c r="P198" s="33"/>
      <c r="Q198" s="33"/>
      <c r="R198" s="33"/>
      <c r="S198" s="33"/>
    </row>
    <row r="199" spans="1:19" ht="11.25">
      <c r="A199" s="75" t="s">
        <v>35</v>
      </c>
      <c r="B199" s="60">
        <v>26</v>
      </c>
      <c r="C199" s="72"/>
      <c r="D199" s="72"/>
      <c r="E199" s="33">
        <v>10812</v>
      </c>
      <c r="F199" s="33">
        <v>10786.53</v>
      </c>
      <c r="G199" s="53">
        <v>99.7644284128746</v>
      </c>
      <c r="H199" s="88"/>
      <c r="I199" s="33"/>
      <c r="J199" s="93">
        <v>0</v>
      </c>
      <c r="K199" s="33"/>
      <c r="L199" s="33"/>
      <c r="M199" s="33"/>
      <c r="N199" s="33"/>
      <c r="O199" s="53">
        <v>0</v>
      </c>
      <c r="P199" s="33"/>
      <c r="Q199" s="33"/>
      <c r="R199" s="33"/>
      <c r="S199" s="33"/>
    </row>
    <row r="200" spans="1:19" ht="11.25" hidden="1">
      <c r="A200" s="75" t="s">
        <v>93</v>
      </c>
      <c r="B200" s="60" t="s">
        <v>65</v>
      </c>
      <c r="C200" s="72"/>
      <c r="D200" s="72"/>
      <c r="E200" s="33"/>
      <c r="F200" s="33"/>
      <c r="G200" s="53" t="e">
        <v>#DIV/0!</v>
      </c>
      <c r="H200" s="88"/>
      <c r="I200" s="33"/>
      <c r="J200" s="93">
        <v>0</v>
      </c>
      <c r="K200" s="33"/>
      <c r="L200" s="33"/>
      <c r="M200" s="33"/>
      <c r="N200" s="33"/>
      <c r="O200" s="53"/>
      <c r="P200" s="33"/>
      <c r="Q200" s="33"/>
      <c r="R200" s="33"/>
      <c r="S200" s="33"/>
    </row>
    <row r="201" spans="1:19" ht="11.25">
      <c r="A201" s="75" t="s">
        <v>36</v>
      </c>
      <c r="B201" s="60">
        <v>28</v>
      </c>
      <c r="C201" s="72"/>
      <c r="D201" s="72"/>
      <c r="E201" s="33">
        <f>1500+4200</f>
        <v>5700</v>
      </c>
      <c r="F201" s="33">
        <v>1961.25</v>
      </c>
      <c r="G201" s="53">
        <v>34.4078947368421</v>
      </c>
      <c r="H201" s="88"/>
      <c r="I201" s="33"/>
      <c r="J201" s="93">
        <v>0</v>
      </c>
      <c r="K201" s="33"/>
      <c r="L201" s="33"/>
      <c r="M201" s="33"/>
      <c r="N201" s="33"/>
      <c r="O201" s="53"/>
      <c r="P201" s="33"/>
      <c r="Q201" s="33"/>
      <c r="R201" s="33"/>
      <c r="S201" s="33"/>
    </row>
    <row r="202" spans="1:19" ht="11.25">
      <c r="A202" s="75" t="s">
        <v>37</v>
      </c>
      <c r="B202" s="60">
        <v>29</v>
      </c>
      <c r="C202" s="72"/>
      <c r="D202" s="72"/>
      <c r="E202" s="33">
        <v>97789</v>
      </c>
      <c r="F202" s="33">
        <v>34215.11</v>
      </c>
      <c r="G202" s="53">
        <v>34.988710386648805</v>
      </c>
      <c r="H202" s="88"/>
      <c r="I202" s="33"/>
      <c r="J202" s="93">
        <v>0</v>
      </c>
      <c r="K202" s="33"/>
      <c r="L202" s="33">
        <v>2626.85</v>
      </c>
      <c r="M202" s="33">
        <v>375.36</v>
      </c>
      <c r="N202" s="33">
        <v>10735.17</v>
      </c>
      <c r="O202" s="53">
        <v>29.132075983717776</v>
      </c>
      <c r="P202" s="33">
        <v>0</v>
      </c>
      <c r="Q202" s="33"/>
      <c r="R202" s="33"/>
      <c r="S202" s="33"/>
    </row>
    <row r="203" spans="1:19" ht="11.25">
      <c r="A203" s="75" t="s">
        <v>38</v>
      </c>
      <c r="B203" s="60">
        <v>31</v>
      </c>
      <c r="C203" s="72"/>
      <c r="D203" s="72"/>
      <c r="E203" s="33">
        <v>12572</v>
      </c>
      <c r="F203" s="33">
        <v>6609.16</v>
      </c>
      <c r="G203" s="53">
        <v>52.570474069360486</v>
      </c>
      <c r="H203" s="88"/>
      <c r="I203" s="33"/>
      <c r="J203" s="93">
        <v>0</v>
      </c>
      <c r="K203" s="33"/>
      <c r="L203" s="33"/>
      <c r="M203" s="33"/>
      <c r="N203" s="33"/>
      <c r="O203" s="53">
        <v>0</v>
      </c>
      <c r="P203" s="33"/>
      <c r="Q203" s="33"/>
      <c r="R203" s="33"/>
      <c r="S203" s="33"/>
    </row>
    <row r="204" spans="1:19" ht="11.25">
      <c r="A204" s="75" t="s">
        <v>39</v>
      </c>
      <c r="B204" s="60">
        <v>33</v>
      </c>
      <c r="C204" s="72"/>
      <c r="D204" s="72"/>
      <c r="E204" s="33">
        <f>13769+4200</f>
        <v>17969</v>
      </c>
      <c r="F204" s="33">
        <v>10231.62</v>
      </c>
      <c r="G204" s="53">
        <v>56.94039735099338</v>
      </c>
      <c r="H204" s="88"/>
      <c r="I204" s="33"/>
      <c r="J204" s="93">
        <v>0</v>
      </c>
      <c r="K204" s="33"/>
      <c r="L204" s="33"/>
      <c r="M204" s="33"/>
      <c r="N204" s="33"/>
      <c r="O204" s="53">
        <v>0</v>
      </c>
      <c r="P204" s="33"/>
      <c r="Q204" s="33"/>
      <c r="R204" s="33"/>
      <c r="S204" s="33"/>
    </row>
    <row r="205" spans="1:19" ht="11.25">
      <c r="A205" s="75" t="s">
        <v>40</v>
      </c>
      <c r="B205" s="60">
        <v>34</v>
      </c>
      <c r="C205" s="72"/>
      <c r="D205" s="72"/>
      <c r="E205" s="33">
        <f>16384+4800</f>
        <v>21184</v>
      </c>
      <c r="F205" s="33">
        <v>20484</v>
      </c>
      <c r="G205" s="53">
        <v>96.69561933534743</v>
      </c>
      <c r="H205" s="88"/>
      <c r="I205" s="33"/>
      <c r="J205" s="93">
        <v>0</v>
      </c>
      <c r="K205" s="33"/>
      <c r="L205" s="33"/>
      <c r="M205" s="33"/>
      <c r="N205" s="33"/>
      <c r="O205" s="53">
        <v>0</v>
      </c>
      <c r="P205" s="33"/>
      <c r="Q205" s="33"/>
      <c r="R205" s="33"/>
      <c r="S205" s="33"/>
    </row>
    <row r="206" spans="1:19" ht="11.25">
      <c r="A206" s="75" t="s">
        <v>41</v>
      </c>
      <c r="B206" s="60">
        <v>35</v>
      </c>
      <c r="C206" s="72"/>
      <c r="D206" s="72"/>
      <c r="E206" s="33">
        <v>13603</v>
      </c>
      <c r="F206" s="33">
        <v>13573.45</v>
      </c>
      <c r="G206" s="53">
        <v>99.78276850694701</v>
      </c>
      <c r="H206" s="88"/>
      <c r="I206" s="33"/>
      <c r="J206" s="93">
        <v>0</v>
      </c>
      <c r="K206" s="33"/>
      <c r="L206" s="33"/>
      <c r="M206" s="33"/>
      <c r="N206" s="33"/>
      <c r="O206" s="53">
        <v>0</v>
      </c>
      <c r="P206" s="33"/>
      <c r="Q206" s="33"/>
      <c r="R206" s="33"/>
      <c r="S206" s="33"/>
    </row>
    <row r="207" spans="1:19" ht="11.25" hidden="1">
      <c r="A207" s="75" t="s">
        <v>67</v>
      </c>
      <c r="B207" s="60" t="s">
        <v>68</v>
      </c>
      <c r="C207" s="72"/>
      <c r="D207" s="72"/>
      <c r="E207" s="33"/>
      <c r="F207" s="33"/>
      <c r="G207" s="53" t="e">
        <v>#DIV/0!</v>
      </c>
      <c r="H207" s="88"/>
      <c r="I207" s="33"/>
      <c r="J207" s="93">
        <v>0</v>
      </c>
      <c r="K207" s="33"/>
      <c r="L207" s="33"/>
      <c r="M207" s="33"/>
      <c r="N207" s="33"/>
      <c r="O207" s="53">
        <v>0</v>
      </c>
      <c r="P207" s="33"/>
      <c r="Q207" s="33"/>
      <c r="R207" s="33"/>
      <c r="S207" s="33"/>
    </row>
    <row r="208" spans="1:19" ht="11.25">
      <c r="A208" s="75" t="s">
        <v>42</v>
      </c>
      <c r="B208" s="60">
        <v>37</v>
      </c>
      <c r="C208" s="72"/>
      <c r="D208" s="72"/>
      <c r="E208" s="33">
        <v>2000</v>
      </c>
      <c r="F208" s="33">
        <v>226.45</v>
      </c>
      <c r="G208" s="53">
        <v>11.3225</v>
      </c>
      <c r="H208" s="88"/>
      <c r="I208" s="33"/>
      <c r="J208" s="93">
        <v>0</v>
      </c>
      <c r="K208" s="33"/>
      <c r="L208" s="33"/>
      <c r="M208" s="33"/>
      <c r="N208" s="33"/>
      <c r="O208" s="53"/>
      <c r="P208" s="33"/>
      <c r="Q208" s="33"/>
      <c r="R208" s="33"/>
      <c r="S208" s="33"/>
    </row>
    <row r="209" spans="1:19" ht="11.25">
      <c r="A209" s="75" t="s">
        <v>43</v>
      </c>
      <c r="B209" s="60">
        <v>39</v>
      </c>
      <c r="C209" s="72"/>
      <c r="D209" s="72"/>
      <c r="E209" s="33">
        <v>597771</v>
      </c>
      <c r="F209" s="33">
        <v>296512.93</v>
      </c>
      <c r="G209" s="53">
        <v>49.603097172663105</v>
      </c>
      <c r="H209" s="88">
        <v>302675</v>
      </c>
      <c r="I209" s="33">
        <v>144032.79</v>
      </c>
      <c r="J209" s="93">
        <v>47.586616007268525</v>
      </c>
      <c r="K209" s="33">
        <v>18351.25</v>
      </c>
      <c r="L209" s="33">
        <v>26873.6</v>
      </c>
      <c r="M209" s="33">
        <v>2495.09</v>
      </c>
      <c r="N209" s="33">
        <v>63600.39</v>
      </c>
      <c r="O209" s="53">
        <v>49.937492148241205</v>
      </c>
      <c r="P209" s="33">
        <v>0</v>
      </c>
      <c r="Q209" s="33">
        <v>9488</v>
      </c>
      <c r="R209" s="33"/>
      <c r="S209" s="33"/>
    </row>
    <row r="210" spans="1:19" ht="11.25">
      <c r="A210" s="75" t="s">
        <v>44</v>
      </c>
      <c r="B210" s="60">
        <v>40</v>
      </c>
      <c r="C210" s="72"/>
      <c r="D210" s="72"/>
      <c r="E210" s="33">
        <v>28209</v>
      </c>
      <c r="F210" s="33">
        <v>28209</v>
      </c>
      <c r="G210" s="53">
        <v>100</v>
      </c>
      <c r="H210" s="88"/>
      <c r="I210" s="33"/>
      <c r="J210" s="93">
        <v>0</v>
      </c>
      <c r="K210" s="33"/>
      <c r="L210" s="33"/>
      <c r="M210" s="33"/>
      <c r="N210" s="33"/>
      <c r="O210" s="53">
        <v>0</v>
      </c>
      <c r="P210" s="33"/>
      <c r="Q210" s="33"/>
      <c r="R210" s="33"/>
      <c r="S210" s="33"/>
    </row>
    <row r="211" spans="1:19" ht="11.25" hidden="1">
      <c r="A211" s="75" t="s">
        <v>94</v>
      </c>
      <c r="B211" s="60" t="s">
        <v>70</v>
      </c>
      <c r="C211" s="72"/>
      <c r="D211" s="72"/>
      <c r="E211" s="33"/>
      <c r="F211" s="33"/>
      <c r="G211" s="53" t="e">
        <v>#DIV/0!</v>
      </c>
      <c r="H211" s="88"/>
      <c r="I211" s="33"/>
      <c r="J211" s="93">
        <v>0</v>
      </c>
      <c r="K211" s="33"/>
      <c r="L211" s="33"/>
      <c r="M211" s="33"/>
      <c r="N211" s="33"/>
      <c r="O211" s="53"/>
      <c r="P211" s="33"/>
      <c r="Q211" s="33"/>
      <c r="R211" s="33"/>
      <c r="S211" s="33"/>
    </row>
    <row r="212" spans="1:19" ht="11.25">
      <c r="A212" s="75" t="s">
        <v>45</v>
      </c>
      <c r="B212" s="60">
        <v>42</v>
      </c>
      <c r="C212" s="72"/>
      <c r="D212" s="72"/>
      <c r="E212" s="33">
        <f>1328176+4200</f>
        <v>1332376</v>
      </c>
      <c r="F212" s="33">
        <f>13147.73+630767.3</f>
        <v>643915.03</v>
      </c>
      <c r="G212" s="53">
        <v>48.328326988777945</v>
      </c>
      <c r="H212" s="88">
        <v>555927</v>
      </c>
      <c r="I212" s="33">
        <v>269462.02</v>
      </c>
      <c r="J212" s="93">
        <v>48.4707560525033</v>
      </c>
      <c r="K212" s="33">
        <v>40258.14</v>
      </c>
      <c r="L212" s="33">
        <v>53798.3</v>
      </c>
      <c r="M212" s="33">
        <v>4970.2</v>
      </c>
      <c r="N212" s="33">
        <v>160618.58</v>
      </c>
      <c r="O212" s="53">
        <v>44.07512760002195</v>
      </c>
      <c r="P212" s="33"/>
      <c r="Q212" s="33">
        <v>17681.25</v>
      </c>
      <c r="R212" s="33"/>
      <c r="S212" s="33"/>
    </row>
    <row r="213" spans="1:19" ht="11.25">
      <c r="A213" s="75" t="s">
        <v>46</v>
      </c>
      <c r="B213" s="60">
        <v>43</v>
      </c>
      <c r="C213" s="72"/>
      <c r="D213" s="72"/>
      <c r="E213" s="33">
        <f>23235+4200</f>
        <v>27435</v>
      </c>
      <c r="F213" s="33">
        <v>17134.89</v>
      </c>
      <c r="G213" s="53">
        <v>62.45631492618917</v>
      </c>
      <c r="H213" s="88"/>
      <c r="I213" s="33"/>
      <c r="J213" s="93">
        <v>0</v>
      </c>
      <c r="K213" s="33"/>
      <c r="L213" s="33"/>
      <c r="M213" s="33"/>
      <c r="N213" s="33"/>
      <c r="O213" s="53">
        <v>0</v>
      </c>
      <c r="P213" s="33"/>
      <c r="Q213" s="33"/>
      <c r="R213" s="33"/>
      <c r="S213" s="33"/>
    </row>
    <row r="214" spans="1:19" ht="11.25">
      <c r="A214" s="75" t="s">
        <v>47</v>
      </c>
      <c r="B214" s="60">
        <v>44</v>
      </c>
      <c r="C214" s="72"/>
      <c r="D214" s="72"/>
      <c r="E214" s="33">
        <v>18200</v>
      </c>
      <c r="F214" s="33">
        <f>6926.75+10175.21</f>
        <v>17101.96</v>
      </c>
      <c r="G214" s="53">
        <v>93.96681318681318</v>
      </c>
      <c r="H214" s="88"/>
      <c r="I214" s="33"/>
      <c r="J214" s="93">
        <v>0</v>
      </c>
      <c r="K214" s="33"/>
      <c r="L214" s="33"/>
      <c r="M214" s="33"/>
      <c r="N214" s="33"/>
      <c r="O214" s="53">
        <v>0</v>
      </c>
      <c r="P214" s="33"/>
      <c r="Q214" s="33"/>
      <c r="R214" s="33"/>
      <c r="S214" s="33"/>
    </row>
    <row r="215" spans="1:19" ht="11.25">
      <c r="A215" s="75" t="s">
        <v>48</v>
      </c>
      <c r="B215" s="60">
        <v>45</v>
      </c>
      <c r="C215" s="72"/>
      <c r="D215" s="72"/>
      <c r="E215" s="33">
        <v>4200</v>
      </c>
      <c r="F215" s="33">
        <v>2208.77</v>
      </c>
      <c r="G215" s="53">
        <v>52.5897619047619</v>
      </c>
      <c r="H215" s="88"/>
      <c r="I215" s="33"/>
      <c r="J215" s="93">
        <v>0</v>
      </c>
      <c r="K215" s="33"/>
      <c r="L215" s="33"/>
      <c r="M215" s="33"/>
      <c r="N215" s="33"/>
      <c r="O215" s="53"/>
      <c r="P215" s="33"/>
      <c r="Q215" s="33"/>
      <c r="R215" s="33"/>
      <c r="S215" s="33"/>
    </row>
    <row r="216" spans="1:19" ht="11.25">
      <c r="A216" s="75" t="s">
        <v>49</v>
      </c>
      <c r="B216" s="60">
        <v>46</v>
      </c>
      <c r="C216" s="72"/>
      <c r="D216" s="72"/>
      <c r="E216" s="33">
        <v>16100</v>
      </c>
      <c r="F216" s="33">
        <v>7754.16</v>
      </c>
      <c r="G216" s="53">
        <v>48.16248447204969</v>
      </c>
      <c r="H216" s="88"/>
      <c r="I216" s="33"/>
      <c r="J216" s="93">
        <v>0</v>
      </c>
      <c r="K216" s="33"/>
      <c r="L216" s="33"/>
      <c r="M216" s="33"/>
      <c r="N216" s="33"/>
      <c r="O216" s="53">
        <v>0</v>
      </c>
      <c r="P216" s="33"/>
      <c r="Q216" s="33"/>
      <c r="R216" s="33"/>
      <c r="S216" s="33"/>
    </row>
    <row r="217" spans="1:19" ht="11.25">
      <c r="A217" s="75" t="s">
        <v>50</v>
      </c>
      <c r="B217" s="60">
        <v>47</v>
      </c>
      <c r="C217" s="72"/>
      <c r="D217" s="72"/>
      <c r="E217" s="33">
        <v>107465</v>
      </c>
      <c r="F217" s="33">
        <v>22562.43</v>
      </c>
      <c r="G217" s="53">
        <v>20.99514260456893</v>
      </c>
      <c r="H217" s="88"/>
      <c r="I217" s="33"/>
      <c r="J217" s="93">
        <v>0</v>
      </c>
      <c r="K217" s="33"/>
      <c r="L217" s="33"/>
      <c r="M217" s="33"/>
      <c r="N217" s="33"/>
      <c r="O217" s="53">
        <v>0</v>
      </c>
      <c r="P217" s="33"/>
      <c r="Q217" s="33"/>
      <c r="R217" s="33">
        <v>0</v>
      </c>
      <c r="S217" s="33"/>
    </row>
    <row r="218" spans="1:19" ht="11.25">
      <c r="A218" s="75" t="s">
        <v>51</v>
      </c>
      <c r="B218" s="60">
        <v>48</v>
      </c>
      <c r="C218" s="72"/>
      <c r="D218" s="72"/>
      <c r="E218" s="33">
        <f>31727+4200</f>
        <v>35927</v>
      </c>
      <c r="F218" s="33">
        <v>29306.43</v>
      </c>
      <c r="G218" s="53">
        <v>81.57216021376681</v>
      </c>
      <c r="H218" s="88"/>
      <c r="I218" s="33"/>
      <c r="J218" s="93">
        <v>0</v>
      </c>
      <c r="K218" s="33"/>
      <c r="L218" s="33"/>
      <c r="M218" s="33"/>
      <c r="N218" s="33"/>
      <c r="O218" s="53">
        <v>0</v>
      </c>
      <c r="P218" s="33"/>
      <c r="Q218" s="33"/>
      <c r="R218" s="33"/>
      <c r="S218" s="33"/>
    </row>
    <row r="219" spans="1:19" ht="11.25">
      <c r="A219" s="73" t="s">
        <v>95</v>
      </c>
      <c r="B219" s="72"/>
      <c r="C219" s="72"/>
      <c r="D219" s="72"/>
      <c r="E219" s="35">
        <f>SUM(E182:E218)</f>
        <v>5055113</v>
      </c>
      <c r="F219" s="35">
        <f>SUM(F182:F218)</f>
        <v>2676404.4700000007</v>
      </c>
      <c r="G219" s="36">
        <v>52.94450331773001</v>
      </c>
      <c r="H219" s="89">
        <f>SUM(H182:H218)</f>
        <v>1833728</v>
      </c>
      <c r="I219" s="35">
        <f>SUM(I182:I218)</f>
        <v>914311.76</v>
      </c>
      <c r="J219" s="94">
        <v>49.860816871422585</v>
      </c>
      <c r="K219" s="35">
        <f>SUM(K182:K218)</f>
        <v>136792.51</v>
      </c>
      <c r="L219" s="35">
        <f>SUM(L182:L218)</f>
        <v>181558.87</v>
      </c>
      <c r="M219" s="35">
        <f>SUM(M182:M218)</f>
        <v>17594.31</v>
      </c>
      <c r="N219" s="35">
        <f>SUM(N182:N218)</f>
        <v>652852.17</v>
      </c>
      <c r="O219" s="36">
        <v>51.969076571843416</v>
      </c>
      <c r="P219" s="35">
        <f>SUM(P182:P218)</f>
        <v>8182.57</v>
      </c>
      <c r="Q219" s="35">
        <f>SUM(Q182:Q218)</f>
        <v>63259.25</v>
      </c>
      <c r="R219" s="35">
        <f>SUM(R182:R218)</f>
        <v>0</v>
      </c>
      <c r="S219" s="35">
        <f>SUM(S182:S218)</f>
        <v>0</v>
      </c>
    </row>
    <row r="220" spans="1:19" ht="11.25">
      <c r="A220" s="75" t="s">
        <v>22</v>
      </c>
      <c r="B220" s="60">
        <v>6</v>
      </c>
      <c r="C220" s="72"/>
      <c r="D220" s="72"/>
      <c r="E220" s="76">
        <v>355071</v>
      </c>
      <c r="F220" s="76">
        <v>189213.89</v>
      </c>
      <c r="G220" s="53">
        <v>53.28902951804005</v>
      </c>
      <c r="H220" s="90">
        <v>250971</v>
      </c>
      <c r="I220" s="62">
        <v>124450.49</v>
      </c>
      <c r="J220" s="93">
        <v>49.58759777026031</v>
      </c>
      <c r="K220" s="62">
        <v>17700.05</v>
      </c>
      <c r="L220" s="62">
        <v>23700.97</v>
      </c>
      <c r="M220" s="76">
        <v>2655.38</v>
      </c>
      <c r="N220" s="62">
        <v>2800</v>
      </c>
      <c r="O220" s="77">
        <v>50</v>
      </c>
      <c r="P220" s="62">
        <v>0</v>
      </c>
      <c r="Q220" s="62">
        <v>16819</v>
      </c>
      <c r="R220" s="62"/>
      <c r="S220" s="62"/>
    </row>
    <row r="221" spans="1:19" ht="11.25">
      <c r="A221" s="75" t="s">
        <v>23</v>
      </c>
      <c r="B221" s="60">
        <v>8</v>
      </c>
      <c r="C221" s="72"/>
      <c r="D221" s="72"/>
      <c r="E221" s="76">
        <v>253193</v>
      </c>
      <c r="F221" s="76">
        <v>141629.77</v>
      </c>
      <c r="G221" s="53">
        <v>55.937474574731525</v>
      </c>
      <c r="H221" s="90">
        <v>172953</v>
      </c>
      <c r="I221" s="62">
        <v>87099.77</v>
      </c>
      <c r="J221" s="93">
        <v>50.36036958017497</v>
      </c>
      <c r="K221" s="62">
        <v>11141.97</v>
      </c>
      <c r="L221" s="62">
        <v>15816.4</v>
      </c>
      <c r="M221" s="76">
        <v>1563.16</v>
      </c>
      <c r="N221" s="62">
        <v>14037.06</v>
      </c>
      <c r="O221" s="77">
        <v>92.49512387981022</v>
      </c>
      <c r="P221" s="62"/>
      <c r="Q221" s="62">
        <v>10472.25</v>
      </c>
      <c r="R221" s="62"/>
      <c r="S221" s="62"/>
    </row>
    <row r="222" spans="1:19" ht="11.25">
      <c r="A222" s="75" t="s">
        <v>24</v>
      </c>
      <c r="B222" s="60">
        <v>10</v>
      </c>
      <c r="C222" s="72"/>
      <c r="D222" s="72"/>
      <c r="E222" s="76">
        <v>350006</v>
      </c>
      <c r="F222" s="76">
        <v>205401.63</v>
      </c>
      <c r="G222" s="53">
        <v>58.68517396844626</v>
      </c>
      <c r="H222" s="90">
        <v>234970</v>
      </c>
      <c r="I222" s="62">
        <v>140591.39</v>
      </c>
      <c r="J222" s="93">
        <v>59.833761756820024</v>
      </c>
      <c r="K222" s="62">
        <v>15086.18</v>
      </c>
      <c r="L222" s="62">
        <v>26250.52</v>
      </c>
      <c r="M222" s="76">
        <v>1927.68</v>
      </c>
      <c r="N222" s="62">
        <v>6313.38</v>
      </c>
      <c r="O222" s="77">
        <v>32.8821875</v>
      </c>
      <c r="P222" s="62"/>
      <c r="Q222" s="62">
        <v>14736.14</v>
      </c>
      <c r="R222" s="62"/>
      <c r="S222" s="62"/>
    </row>
    <row r="223" spans="1:19" ht="11.25">
      <c r="A223" s="75" t="s">
        <v>25</v>
      </c>
      <c r="B223" s="60">
        <v>11</v>
      </c>
      <c r="C223" s="72"/>
      <c r="D223" s="72"/>
      <c r="E223" s="76">
        <v>167427</v>
      </c>
      <c r="F223" s="76">
        <v>88520.08</v>
      </c>
      <c r="G223" s="53">
        <v>52.87085117693084</v>
      </c>
      <c r="H223" s="90">
        <v>123495</v>
      </c>
      <c r="I223" s="62">
        <v>58941.75</v>
      </c>
      <c r="J223" s="93">
        <v>47.728045669865175</v>
      </c>
      <c r="K223" s="62">
        <v>7416</v>
      </c>
      <c r="L223" s="62">
        <v>11121</v>
      </c>
      <c r="M223" s="76">
        <v>1593.33</v>
      </c>
      <c r="N223" s="62"/>
      <c r="O223" s="77"/>
      <c r="P223" s="62"/>
      <c r="Q223" s="62">
        <v>9448</v>
      </c>
      <c r="R223" s="62"/>
      <c r="S223" s="62"/>
    </row>
    <row r="224" spans="1:19" ht="11.25">
      <c r="A224" s="75" t="s">
        <v>26</v>
      </c>
      <c r="B224" s="60">
        <v>12</v>
      </c>
      <c r="C224" s="72"/>
      <c r="D224" s="72"/>
      <c r="E224" s="76">
        <v>423338</v>
      </c>
      <c r="F224" s="76">
        <v>211114.48</v>
      </c>
      <c r="G224" s="53">
        <v>49.8690124675791</v>
      </c>
      <c r="H224" s="90">
        <v>297008</v>
      </c>
      <c r="I224" s="62">
        <v>138624.57</v>
      </c>
      <c r="J224" s="93">
        <v>46.67368219037871</v>
      </c>
      <c r="K224" s="62">
        <v>16315.23</v>
      </c>
      <c r="L224" s="62">
        <v>26093.62</v>
      </c>
      <c r="M224" s="76">
        <v>3186.91</v>
      </c>
      <c r="N224" s="62">
        <v>13864.15</v>
      </c>
      <c r="O224" s="77">
        <v>71.76061076604555</v>
      </c>
      <c r="P224" s="62"/>
      <c r="Q224" s="62">
        <v>13030</v>
      </c>
      <c r="R224" s="62"/>
      <c r="S224" s="62"/>
    </row>
    <row r="225" spans="1:19" ht="11.25">
      <c r="A225" s="75" t="s">
        <v>27</v>
      </c>
      <c r="B225" s="60">
        <v>13</v>
      </c>
      <c r="C225" s="70"/>
      <c r="D225" s="70"/>
      <c r="E225" s="76">
        <v>271840</v>
      </c>
      <c r="F225" s="76">
        <v>152707.12</v>
      </c>
      <c r="G225" s="53">
        <v>56.17536786344909</v>
      </c>
      <c r="H225" s="90">
        <v>191274</v>
      </c>
      <c r="I225" s="62">
        <v>96104.13</v>
      </c>
      <c r="J225" s="93">
        <v>50.24422033313467</v>
      </c>
      <c r="K225" s="62">
        <v>13500.47</v>
      </c>
      <c r="L225" s="62">
        <v>19130.24</v>
      </c>
      <c r="M225" s="76">
        <v>2133.19</v>
      </c>
      <c r="N225" s="62">
        <v>4632.36</v>
      </c>
      <c r="O225" s="77">
        <v>87.56824196597353</v>
      </c>
      <c r="P225" s="62"/>
      <c r="Q225" s="62">
        <v>16445</v>
      </c>
      <c r="R225" s="62"/>
      <c r="S225" s="62"/>
    </row>
    <row r="226" spans="1:19" ht="11.25">
      <c r="A226" s="75" t="s">
        <v>29</v>
      </c>
      <c r="B226" s="60">
        <v>16</v>
      </c>
      <c r="C226" s="70"/>
      <c r="D226" s="70"/>
      <c r="E226" s="76">
        <v>363678</v>
      </c>
      <c r="F226" s="76">
        <v>196607.43</v>
      </c>
      <c r="G226" s="53">
        <v>54.06085328229917</v>
      </c>
      <c r="H226" s="90">
        <v>259057</v>
      </c>
      <c r="I226" s="62">
        <v>130289.33</v>
      </c>
      <c r="J226" s="93">
        <v>50.29369212181103</v>
      </c>
      <c r="K226" s="62">
        <v>18790.51</v>
      </c>
      <c r="L226" s="62">
        <v>25093.69</v>
      </c>
      <c r="M226" s="76">
        <v>3576.43</v>
      </c>
      <c r="N226" s="62">
        <v>4200.97</v>
      </c>
      <c r="O226" s="77">
        <v>54.06653796653798</v>
      </c>
      <c r="P226" s="62"/>
      <c r="Q226" s="62">
        <v>14240.25</v>
      </c>
      <c r="R226" s="62"/>
      <c r="S226" s="62"/>
    </row>
    <row r="227" spans="1:19" ht="11.25">
      <c r="A227" s="75" t="s">
        <v>30</v>
      </c>
      <c r="B227" s="60">
        <v>17</v>
      </c>
      <c r="C227" s="70"/>
      <c r="D227" s="70"/>
      <c r="E227" s="76">
        <v>259838</v>
      </c>
      <c r="F227" s="76">
        <v>139491.93</v>
      </c>
      <c r="G227" s="53">
        <v>53.684191688667546</v>
      </c>
      <c r="H227" s="90">
        <v>176498</v>
      </c>
      <c r="I227" s="62">
        <v>88343.75</v>
      </c>
      <c r="J227" s="93">
        <v>50.053683327856405</v>
      </c>
      <c r="K227" s="62">
        <v>13050.95</v>
      </c>
      <c r="L227" s="62">
        <v>16733.3</v>
      </c>
      <c r="M227" s="76">
        <v>1614.77</v>
      </c>
      <c r="N227" s="62">
        <v>9075.47</v>
      </c>
      <c r="O227" s="77">
        <v>56.79267834793491</v>
      </c>
      <c r="P227" s="62"/>
      <c r="Q227" s="62">
        <v>9403</v>
      </c>
      <c r="R227" s="62"/>
      <c r="S227" s="62"/>
    </row>
    <row r="228" spans="1:19" ht="11.25">
      <c r="A228" s="75" t="s">
        <v>31</v>
      </c>
      <c r="B228" s="60">
        <v>18</v>
      </c>
      <c r="C228" s="70"/>
      <c r="D228" s="70"/>
      <c r="E228" s="76">
        <v>523876</v>
      </c>
      <c r="F228" s="76">
        <v>261961.75</v>
      </c>
      <c r="G228" s="53">
        <v>50.00453351556475</v>
      </c>
      <c r="H228" s="90">
        <v>374751</v>
      </c>
      <c r="I228" s="62">
        <v>162053</v>
      </c>
      <c r="J228" s="93">
        <v>43.242846583464754</v>
      </c>
      <c r="K228" s="62">
        <v>27860.63</v>
      </c>
      <c r="L228" s="62">
        <v>35882.45</v>
      </c>
      <c r="M228" s="76">
        <v>1905.67</v>
      </c>
      <c r="N228" s="62">
        <v>7350</v>
      </c>
      <c r="O228" s="77">
        <v>100</v>
      </c>
      <c r="P228" s="62"/>
      <c r="Q228" s="62">
        <v>26910</v>
      </c>
      <c r="R228" s="62"/>
      <c r="S228" s="62"/>
    </row>
    <row r="229" spans="1:19" ht="11.25">
      <c r="A229" s="75" t="s">
        <v>32</v>
      </c>
      <c r="B229" s="60">
        <v>20</v>
      </c>
      <c r="C229" s="70"/>
      <c r="D229" s="70"/>
      <c r="E229" s="76">
        <v>278345</v>
      </c>
      <c r="F229" s="76">
        <v>157029.2</v>
      </c>
      <c r="G229" s="53">
        <v>56.415311933032754</v>
      </c>
      <c r="H229" s="90">
        <v>196405</v>
      </c>
      <c r="I229" s="62">
        <v>104498.87</v>
      </c>
      <c r="J229" s="93">
        <v>53.20580942440365</v>
      </c>
      <c r="K229" s="62">
        <v>15179.96</v>
      </c>
      <c r="L229" s="62">
        <v>19649.04</v>
      </c>
      <c r="M229" s="76">
        <v>2101.33</v>
      </c>
      <c r="N229" s="62">
        <v>1000</v>
      </c>
      <c r="O229" s="77">
        <v>82.10180623973727</v>
      </c>
      <c r="P229" s="62"/>
      <c r="Q229" s="62">
        <v>14600</v>
      </c>
      <c r="R229" s="62"/>
      <c r="S229" s="62"/>
    </row>
    <row r="230" spans="1:19" ht="11.25">
      <c r="A230" s="75" t="s">
        <v>33</v>
      </c>
      <c r="B230" s="60">
        <v>21</v>
      </c>
      <c r="C230" s="70"/>
      <c r="D230" s="70"/>
      <c r="E230" s="76">
        <v>297738</v>
      </c>
      <c r="F230" s="76">
        <v>160220.16</v>
      </c>
      <c r="G230" s="53">
        <v>53.81246599359169</v>
      </c>
      <c r="H230" s="90">
        <v>210620</v>
      </c>
      <c r="I230" s="62">
        <v>104516.84</v>
      </c>
      <c r="J230" s="93">
        <v>49.62341657962207</v>
      </c>
      <c r="K230" s="62">
        <v>17554.39</v>
      </c>
      <c r="L230" s="62">
        <v>19564.5</v>
      </c>
      <c r="M230" s="76">
        <v>2564.55</v>
      </c>
      <c r="N230" s="62"/>
      <c r="O230" s="77">
        <v>0</v>
      </c>
      <c r="P230" s="62"/>
      <c r="Q230" s="62">
        <v>15698</v>
      </c>
      <c r="R230" s="62"/>
      <c r="S230" s="62"/>
    </row>
    <row r="231" spans="1:19" ht="11.25">
      <c r="A231" s="75" t="s">
        <v>34</v>
      </c>
      <c r="B231" s="60">
        <v>23</v>
      </c>
      <c r="C231" s="70"/>
      <c r="D231" s="70"/>
      <c r="E231" s="76">
        <v>305419</v>
      </c>
      <c r="F231" s="76">
        <v>156804.27</v>
      </c>
      <c r="G231" s="53">
        <v>51.34070571902861</v>
      </c>
      <c r="H231" s="90">
        <v>217408</v>
      </c>
      <c r="I231" s="62">
        <v>107886.69</v>
      </c>
      <c r="J231" s="93">
        <v>49.62406627171033</v>
      </c>
      <c r="K231" s="62">
        <v>12945.62</v>
      </c>
      <c r="L231" s="62">
        <v>20439.89</v>
      </c>
      <c r="M231" s="76">
        <v>2159.3</v>
      </c>
      <c r="N231" s="62">
        <v>0</v>
      </c>
      <c r="O231" s="77">
        <v>0</v>
      </c>
      <c r="P231" s="62"/>
      <c r="Q231" s="62">
        <v>12087</v>
      </c>
      <c r="R231" s="62"/>
      <c r="S231" s="62"/>
    </row>
    <row r="232" spans="1:19" ht="11.25">
      <c r="A232" s="75" t="s">
        <v>35</v>
      </c>
      <c r="B232" s="60">
        <v>26</v>
      </c>
      <c r="C232" s="70"/>
      <c r="D232" s="70"/>
      <c r="E232" s="76">
        <v>262305</v>
      </c>
      <c r="F232" s="76">
        <v>141166.01</v>
      </c>
      <c r="G232" s="53">
        <v>53.817506338041596</v>
      </c>
      <c r="H232" s="90">
        <v>191102</v>
      </c>
      <c r="I232" s="62">
        <v>95777</v>
      </c>
      <c r="J232" s="93">
        <v>50.11826145199946</v>
      </c>
      <c r="K232" s="62">
        <v>14249.75</v>
      </c>
      <c r="L232" s="62">
        <v>17698.18</v>
      </c>
      <c r="M232" s="76">
        <v>2228.08</v>
      </c>
      <c r="N232" s="62"/>
      <c r="O232" s="77"/>
      <c r="P232" s="62"/>
      <c r="Q232" s="62">
        <v>11213</v>
      </c>
      <c r="R232" s="62"/>
      <c r="S232" s="62"/>
    </row>
    <row r="233" spans="1:19" ht="11.25">
      <c r="A233" s="75" t="s">
        <v>36</v>
      </c>
      <c r="B233" s="60">
        <v>28</v>
      </c>
      <c r="C233" s="70"/>
      <c r="D233" s="70"/>
      <c r="E233" s="76">
        <v>176166</v>
      </c>
      <c r="F233" s="76">
        <v>103471.94</v>
      </c>
      <c r="G233" s="53">
        <v>58.735476766231855</v>
      </c>
      <c r="H233" s="90">
        <v>126455</v>
      </c>
      <c r="I233" s="62">
        <v>71088.15</v>
      </c>
      <c r="J233" s="93">
        <v>56.216163852753944</v>
      </c>
      <c r="K233" s="62">
        <v>10211.43</v>
      </c>
      <c r="L233" s="62">
        <v>13632.2</v>
      </c>
      <c r="M233" s="76">
        <v>1572.16</v>
      </c>
      <c r="N233" s="62">
        <v>0</v>
      </c>
      <c r="O233" s="77">
        <v>0</v>
      </c>
      <c r="P233" s="62"/>
      <c r="Q233" s="62">
        <v>6728</v>
      </c>
      <c r="R233" s="62"/>
      <c r="S233" s="62"/>
    </row>
    <row r="234" spans="1:19" ht="11.25">
      <c r="A234" s="75" t="s">
        <v>37</v>
      </c>
      <c r="B234" s="60">
        <v>29</v>
      </c>
      <c r="C234" s="70"/>
      <c r="D234" s="70"/>
      <c r="E234" s="76">
        <v>265318</v>
      </c>
      <c r="F234" s="76">
        <v>139496.9</v>
      </c>
      <c r="G234" s="53">
        <v>52.57724692632991</v>
      </c>
      <c r="H234" s="90">
        <v>193250</v>
      </c>
      <c r="I234" s="62">
        <v>94987.33</v>
      </c>
      <c r="J234" s="93">
        <v>49.152564036222515</v>
      </c>
      <c r="K234" s="62">
        <v>12807.31</v>
      </c>
      <c r="L234" s="62">
        <v>18249.31</v>
      </c>
      <c r="M234" s="76">
        <v>2113.8</v>
      </c>
      <c r="N234" s="62"/>
      <c r="O234" s="77"/>
      <c r="P234" s="62"/>
      <c r="Q234" s="62">
        <v>10450</v>
      </c>
      <c r="R234" s="62"/>
      <c r="S234" s="62"/>
    </row>
    <row r="235" spans="1:19" ht="11.25">
      <c r="A235" s="75" t="s">
        <v>38</v>
      </c>
      <c r="B235" s="60">
        <v>31</v>
      </c>
      <c r="C235" s="70"/>
      <c r="D235" s="70"/>
      <c r="E235" s="76">
        <v>408455</v>
      </c>
      <c r="F235" s="76">
        <v>212050.88</v>
      </c>
      <c r="G235" s="53">
        <v>51.91535909708536</v>
      </c>
      <c r="H235" s="90">
        <v>280514</v>
      </c>
      <c r="I235" s="62">
        <v>144052.54</v>
      </c>
      <c r="J235" s="93">
        <v>51.35306615712585</v>
      </c>
      <c r="K235" s="62">
        <v>20596.18</v>
      </c>
      <c r="L235" s="62">
        <v>27918.26</v>
      </c>
      <c r="M235" s="76">
        <v>3786.9</v>
      </c>
      <c r="N235" s="62">
        <v>0</v>
      </c>
      <c r="O235" s="77">
        <v>0</v>
      </c>
      <c r="P235" s="62"/>
      <c r="Q235" s="62">
        <v>15697</v>
      </c>
      <c r="R235" s="62"/>
      <c r="S235" s="62"/>
    </row>
    <row r="236" spans="1:19" ht="11.25">
      <c r="A236" s="75" t="s">
        <v>39</v>
      </c>
      <c r="B236" s="60">
        <v>33</v>
      </c>
      <c r="C236" s="70"/>
      <c r="D236" s="70"/>
      <c r="E236" s="76">
        <v>267163</v>
      </c>
      <c r="F236" s="76">
        <v>141557.73</v>
      </c>
      <c r="G236" s="53">
        <v>52.985529433342194</v>
      </c>
      <c r="H236" s="90">
        <v>195518</v>
      </c>
      <c r="I236" s="62">
        <v>99774.35</v>
      </c>
      <c r="J236" s="93">
        <v>51.030774660133595</v>
      </c>
      <c r="K236" s="62">
        <v>11388</v>
      </c>
      <c r="L236" s="62">
        <v>17179.38</v>
      </c>
      <c r="M236" s="76">
        <v>2013</v>
      </c>
      <c r="N236" s="62"/>
      <c r="O236" s="77"/>
      <c r="P236" s="62"/>
      <c r="Q236" s="62">
        <v>11203</v>
      </c>
      <c r="R236" s="62"/>
      <c r="S236" s="62"/>
    </row>
    <row r="237" spans="1:19" ht="11.25">
      <c r="A237" s="75" t="s">
        <v>40</v>
      </c>
      <c r="B237" s="60">
        <v>34</v>
      </c>
      <c r="C237" s="70"/>
      <c r="D237" s="70"/>
      <c r="E237" s="76">
        <v>475009</v>
      </c>
      <c r="F237" s="76">
        <v>256394.01</v>
      </c>
      <c r="G237" s="53">
        <v>53.9766636000581</v>
      </c>
      <c r="H237" s="90">
        <v>345120</v>
      </c>
      <c r="I237" s="62">
        <v>172878.82</v>
      </c>
      <c r="J237" s="93">
        <v>50.092379462216044</v>
      </c>
      <c r="K237" s="62">
        <v>21734.08</v>
      </c>
      <c r="L237" s="62">
        <v>34370.72</v>
      </c>
      <c r="M237" s="76">
        <v>4361.36</v>
      </c>
      <c r="N237" s="62"/>
      <c r="O237" s="77">
        <v>0</v>
      </c>
      <c r="P237" s="62"/>
      <c r="Q237" s="62">
        <v>22850</v>
      </c>
      <c r="R237" s="62"/>
      <c r="S237" s="62"/>
    </row>
    <row r="238" spans="1:19" ht="11.25">
      <c r="A238" s="75" t="s">
        <v>41</v>
      </c>
      <c r="B238" s="60">
        <v>35</v>
      </c>
      <c r="C238" s="70"/>
      <c r="D238" s="70"/>
      <c r="E238" s="76">
        <v>247117</v>
      </c>
      <c r="F238" s="76">
        <v>142765.14</v>
      </c>
      <c r="G238" s="53">
        <v>57.77228600217711</v>
      </c>
      <c r="H238" s="90">
        <v>181023</v>
      </c>
      <c r="I238" s="62">
        <v>99837.03</v>
      </c>
      <c r="J238" s="93">
        <v>55.151571899703356</v>
      </c>
      <c r="K238" s="62">
        <v>11670.75</v>
      </c>
      <c r="L238" s="62">
        <v>17975.76</v>
      </c>
      <c r="M238" s="76">
        <v>2068.6</v>
      </c>
      <c r="N238" s="62"/>
      <c r="O238" s="77"/>
      <c r="P238" s="62"/>
      <c r="Q238" s="62">
        <v>11213</v>
      </c>
      <c r="R238" s="62"/>
      <c r="S238" s="62"/>
    </row>
    <row r="239" spans="1:19" ht="11.25">
      <c r="A239" s="75" t="s">
        <v>42</v>
      </c>
      <c r="B239" s="60">
        <v>37</v>
      </c>
      <c r="C239" s="70"/>
      <c r="D239" s="70"/>
      <c r="E239" s="76">
        <v>21974</v>
      </c>
      <c r="F239" s="76">
        <v>11731.87</v>
      </c>
      <c r="G239" s="53">
        <v>53.3897788295258</v>
      </c>
      <c r="H239" s="90">
        <v>15780</v>
      </c>
      <c r="I239" s="62">
        <v>7633.39</v>
      </c>
      <c r="J239" s="93">
        <v>48.37382762991128</v>
      </c>
      <c r="K239" s="62">
        <v>1221.65</v>
      </c>
      <c r="L239" s="62">
        <v>1520.07</v>
      </c>
      <c r="M239" s="76">
        <v>235.76</v>
      </c>
      <c r="N239" s="62"/>
      <c r="O239" s="77"/>
      <c r="P239" s="62"/>
      <c r="Q239" s="62">
        <v>1121</v>
      </c>
      <c r="R239" s="62"/>
      <c r="S239" s="62"/>
    </row>
    <row r="240" spans="1:19" ht="11.25">
      <c r="A240" s="75" t="s">
        <v>43</v>
      </c>
      <c r="B240" s="60">
        <v>39</v>
      </c>
      <c r="C240" s="70"/>
      <c r="D240" s="70"/>
      <c r="E240" s="76">
        <v>480603</v>
      </c>
      <c r="F240" s="76">
        <v>249976.04</v>
      </c>
      <c r="G240" s="53">
        <v>52.01300033499583</v>
      </c>
      <c r="H240" s="90">
        <v>351310</v>
      </c>
      <c r="I240" s="62">
        <v>169938.71</v>
      </c>
      <c r="J240" s="93">
        <v>48.372864421735784</v>
      </c>
      <c r="K240" s="62">
        <v>20711.18</v>
      </c>
      <c r="L240" s="62">
        <v>31144.44</v>
      </c>
      <c r="M240" s="76">
        <v>4382.71</v>
      </c>
      <c r="N240" s="62"/>
      <c r="O240" s="77">
        <v>0</v>
      </c>
      <c r="P240" s="62"/>
      <c r="Q240" s="62">
        <v>23299</v>
      </c>
      <c r="R240" s="62"/>
      <c r="S240" s="62"/>
    </row>
    <row r="241" spans="1:19" ht="11.25">
      <c r="A241" s="75" t="s">
        <v>44</v>
      </c>
      <c r="B241" s="60">
        <v>40</v>
      </c>
      <c r="C241" s="70"/>
      <c r="D241" s="70"/>
      <c r="E241" s="76">
        <v>388722</v>
      </c>
      <c r="F241" s="76">
        <v>220942.89</v>
      </c>
      <c r="G241" s="53">
        <v>56.83827774090482</v>
      </c>
      <c r="H241" s="90">
        <v>271486</v>
      </c>
      <c r="I241" s="62">
        <v>142438.58</v>
      </c>
      <c r="J241" s="93">
        <v>52.466270820594794</v>
      </c>
      <c r="K241" s="62">
        <v>21983.07</v>
      </c>
      <c r="L241" s="62">
        <v>28221.74</v>
      </c>
      <c r="M241" s="76">
        <v>2174.5</v>
      </c>
      <c r="N241" s="62">
        <v>8000</v>
      </c>
      <c r="O241" s="77">
        <v>77.7302759424796</v>
      </c>
      <c r="P241" s="62"/>
      <c r="Q241" s="62">
        <v>17940</v>
      </c>
      <c r="R241" s="62"/>
      <c r="S241" s="62"/>
    </row>
    <row r="242" spans="1:19" ht="11.25">
      <c r="A242" s="75" t="s">
        <v>45</v>
      </c>
      <c r="B242" s="60">
        <v>42</v>
      </c>
      <c r="C242" s="70"/>
      <c r="D242" s="70"/>
      <c r="E242" s="76">
        <v>284102</v>
      </c>
      <c r="F242" s="76">
        <v>152244.4</v>
      </c>
      <c r="G242" s="53">
        <v>53.58793672695018</v>
      </c>
      <c r="H242" s="90">
        <v>204208</v>
      </c>
      <c r="I242" s="62">
        <v>100222.01</v>
      </c>
      <c r="J242" s="93">
        <v>49.07839555747081</v>
      </c>
      <c r="K242" s="62">
        <v>17605.37</v>
      </c>
      <c r="L242" s="62">
        <v>19973.17</v>
      </c>
      <c r="M242" s="76">
        <v>2231.35</v>
      </c>
      <c r="N242" s="62">
        <v>0</v>
      </c>
      <c r="O242" s="77">
        <v>0</v>
      </c>
      <c r="P242" s="62"/>
      <c r="Q242" s="62">
        <v>12212.5</v>
      </c>
      <c r="R242" s="62"/>
      <c r="S242" s="62"/>
    </row>
    <row r="243" spans="1:19" ht="11.25">
      <c r="A243" s="75" t="s">
        <v>46</v>
      </c>
      <c r="B243" s="60">
        <v>43</v>
      </c>
      <c r="C243" s="70"/>
      <c r="D243" s="70"/>
      <c r="E243" s="76">
        <v>310751</v>
      </c>
      <c r="F243" s="76">
        <v>183400.52</v>
      </c>
      <c r="G243" s="53">
        <v>59.018481034654755</v>
      </c>
      <c r="H243" s="90">
        <v>224563</v>
      </c>
      <c r="I243" s="62">
        <v>130182.91</v>
      </c>
      <c r="J243" s="93">
        <v>57.97166496706938</v>
      </c>
      <c r="K243" s="62">
        <v>13888.73</v>
      </c>
      <c r="L243" s="62">
        <v>22984.1</v>
      </c>
      <c r="M243" s="76">
        <v>2889.78</v>
      </c>
      <c r="N243" s="62"/>
      <c r="O243" s="77">
        <v>0</v>
      </c>
      <c r="P243" s="62"/>
      <c r="Q243" s="62">
        <v>13455</v>
      </c>
      <c r="R243" s="62"/>
      <c r="S243" s="62"/>
    </row>
    <row r="244" spans="1:19" ht="11.25">
      <c r="A244" s="75" t="s">
        <v>47</v>
      </c>
      <c r="B244" s="60">
        <v>44</v>
      </c>
      <c r="C244" s="70"/>
      <c r="D244" s="70"/>
      <c r="E244" s="76">
        <v>201177</v>
      </c>
      <c r="F244" s="76">
        <v>113831.44</v>
      </c>
      <c r="G244" s="53">
        <v>56.58273063024103</v>
      </c>
      <c r="H244" s="90">
        <v>143361</v>
      </c>
      <c r="I244" s="62">
        <v>73176.51</v>
      </c>
      <c r="J244" s="93">
        <v>51.04352648209763</v>
      </c>
      <c r="K244" s="62">
        <v>11706.57</v>
      </c>
      <c r="L244" s="62">
        <v>15145.21</v>
      </c>
      <c r="M244" s="76">
        <v>1976.15</v>
      </c>
      <c r="N244" s="62">
        <v>2371</v>
      </c>
      <c r="O244" s="77">
        <v>100</v>
      </c>
      <c r="P244" s="62"/>
      <c r="Q244" s="62">
        <v>8970</v>
      </c>
      <c r="R244" s="62"/>
      <c r="S244" s="62"/>
    </row>
    <row r="245" spans="1:19" ht="11.25">
      <c r="A245" s="75" t="s">
        <v>48</v>
      </c>
      <c r="B245" s="60">
        <v>45</v>
      </c>
      <c r="C245" s="70"/>
      <c r="D245" s="70"/>
      <c r="E245" s="76">
        <v>401977</v>
      </c>
      <c r="F245" s="76">
        <v>218376.95</v>
      </c>
      <c r="G245" s="53">
        <v>54.32573256678865</v>
      </c>
      <c r="H245" s="90">
        <v>284072</v>
      </c>
      <c r="I245" s="62">
        <v>144300.1</v>
      </c>
      <c r="J245" s="93">
        <v>50.79701624940156</v>
      </c>
      <c r="K245" s="62">
        <v>22786.22</v>
      </c>
      <c r="L245" s="62">
        <v>27938.67</v>
      </c>
      <c r="M245" s="76">
        <v>3654.46</v>
      </c>
      <c r="N245" s="62">
        <v>4000</v>
      </c>
      <c r="O245" s="77">
        <v>40</v>
      </c>
      <c r="P245" s="62"/>
      <c r="Q245" s="62">
        <v>15697.5</v>
      </c>
      <c r="R245" s="62"/>
      <c r="S245" s="62"/>
    </row>
    <row r="246" spans="1:19" ht="11.25">
      <c r="A246" s="75" t="s">
        <v>49</v>
      </c>
      <c r="B246" s="60">
        <v>46</v>
      </c>
      <c r="C246" s="70"/>
      <c r="D246" s="70"/>
      <c r="E246" s="76">
        <v>660468</v>
      </c>
      <c r="F246" s="76">
        <v>319188.95</v>
      </c>
      <c r="G246" s="53">
        <v>48.327693393169696</v>
      </c>
      <c r="H246" s="90">
        <v>486713</v>
      </c>
      <c r="I246" s="62">
        <v>217170.67</v>
      </c>
      <c r="J246" s="93">
        <v>44.619862218597</v>
      </c>
      <c r="K246" s="62">
        <v>29125.81</v>
      </c>
      <c r="L246" s="62">
        <v>40233.71</v>
      </c>
      <c r="M246" s="76">
        <v>4626.76</v>
      </c>
      <c r="N246" s="62"/>
      <c r="O246" s="77"/>
      <c r="P246" s="62"/>
      <c r="Q246" s="62">
        <v>28032</v>
      </c>
      <c r="R246" s="62"/>
      <c r="S246" s="62"/>
    </row>
    <row r="247" spans="1:19" ht="11.25">
      <c r="A247" s="75" t="s">
        <v>50</v>
      </c>
      <c r="B247" s="60">
        <v>47</v>
      </c>
      <c r="C247" s="70"/>
      <c r="D247" s="70"/>
      <c r="E247" s="76">
        <v>810937</v>
      </c>
      <c r="F247" s="76">
        <v>496763.28</v>
      </c>
      <c r="G247" s="53">
        <v>61.257937423005735</v>
      </c>
      <c r="H247" s="90">
        <v>575579</v>
      </c>
      <c r="I247" s="62">
        <v>334132.36</v>
      </c>
      <c r="J247" s="93">
        <v>58.051520295215774</v>
      </c>
      <c r="K247" s="62">
        <v>40155.8</v>
      </c>
      <c r="L247" s="62">
        <v>64590.43</v>
      </c>
      <c r="M247" s="76">
        <v>7725.67</v>
      </c>
      <c r="N247" s="62">
        <v>11168.02</v>
      </c>
      <c r="O247" s="77">
        <v>95.45316239316239</v>
      </c>
      <c r="P247" s="62"/>
      <c r="Q247" s="62">
        <v>37091</v>
      </c>
      <c r="R247" s="62"/>
      <c r="S247" s="62"/>
    </row>
    <row r="248" spans="1:19" ht="11.25">
      <c r="A248" s="75" t="s">
        <v>51</v>
      </c>
      <c r="B248" s="60">
        <v>48</v>
      </c>
      <c r="C248" s="70"/>
      <c r="D248" s="70"/>
      <c r="E248" s="76">
        <v>295529</v>
      </c>
      <c r="F248" s="76">
        <v>158165.31</v>
      </c>
      <c r="G248" s="53">
        <v>53.51938726825455</v>
      </c>
      <c r="H248" s="90">
        <v>211059</v>
      </c>
      <c r="I248" s="62">
        <v>103958.4</v>
      </c>
      <c r="J248" s="93">
        <v>49.25561099029181</v>
      </c>
      <c r="K248" s="62">
        <v>14393.63</v>
      </c>
      <c r="L248" s="62">
        <v>19550.5</v>
      </c>
      <c r="M248" s="76">
        <v>2307.78</v>
      </c>
      <c r="N248" s="62">
        <v>1985</v>
      </c>
      <c r="O248" s="77">
        <v>100</v>
      </c>
      <c r="P248" s="62"/>
      <c r="Q248" s="62">
        <v>15970</v>
      </c>
      <c r="R248" s="62"/>
      <c r="S248" s="62"/>
    </row>
    <row r="249" spans="1:19" ht="11.25">
      <c r="A249" s="55" t="s">
        <v>96</v>
      </c>
      <c r="B249" s="33"/>
      <c r="C249" s="55"/>
      <c r="D249" s="55"/>
      <c r="E249" s="35">
        <f>SUM(E220:E248)</f>
        <v>9807542</v>
      </c>
      <c r="F249" s="35">
        <f>SUM(F220:F248)</f>
        <v>5322225.97</v>
      </c>
      <c r="G249" s="36">
        <v>54.26666508285154</v>
      </c>
      <c r="H249" s="89">
        <f>SUM(H220:H248)</f>
        <v>6986523</v>
      </c>
      <c r="I249" s="35">
        <f>SUM(I220:I248)</f>
        <v>3544949.4399999995</v>
      </c>
      <c r="J249" s="94">
        <v>50.73982351450069</v>
      </c>
      <c r="K249" s="35">
        <f>SUM(K220:K248)</f>
        <v>482777.49</v>
      </c>
      <c r="L249" s="35">
        <f>SUM(L220:L248)</f>
        <v>677801.4700000001</v>
      </c>
      <c r="M249" s="35">
        <f>SUM(M220:M248)</f>
        <v>77330.51999999999</v>
      </c>
      <c r="N249" s="35">
        <f>SUM(N220:N248)</f>
        <v>90797.41</v>
      </c>
      <c r="O249" s="78">
        <v>55.58662087373886</v>
      </c>
      <c r="P249" s="35">
        <f>SUM(P220:P248)</f>
        <v>0</v>
      </c>
      <c r="Q249" s="35">
        <f>SUM(Q220:Q248)</f>
        <v>437030.64</v>
      </c>
      <c r="R249" s="35">
        <f>SUM(R220:R248)</f>
        <v>0</v>
      </c>
      <c r="S249" s="35">
        <f>SUM(S220:S248)</f>
        <v>0</v>
      </c>
    </row>
    <row r="250" spans="1:19" ht="11.25">
      <c r="A250" s="75" t="s">
        <v>54</v>
      </c>
      <c r="B250" s="60" t="s">
        <v>54</v>
      </c>
      <c r="C250" s="70"/>
      <c r="D250" s="70"/>
      <c r="E250" s="33">
        <v>1386</v>
      </c>
      <c r="F250" s="33">
        <v>1385.23</v>
      </c>
      <c r="G250" s="53">
        <v>99.94444444444444</v>
      </c>
      <c r="H250" s="91"/>
      <c r="I250" s="54"/>
      <c r="J250" s="93"/>
      <c r="K250" s="54"/>
      <c r="L250" s="54"/>
      <c r="M250" s="33"/>
      <c r="N250" s="54"/>
      <c r="O250" s="53"/>
      <c r="P250" s="54"/>
      <c r="Q250" s="54"/>
      <c r="R250" s="54"/>
      <c r="S250" s="54"/>
    </row>
    <row r="251" spans="1:19" ht="11.25">
      <c r="A251" s="75" t="s">
        <v>55</v>
      </c>
      <c r="B251" s="60" t="s">
        <v>55</v>
      </c>
      <c r="C251" s="70"/>
      <c r="D251" s="70"/>
      <c r="E251" s="33">
        <v>701</v>
      </c>
      <c r="F251" s="33">
        <v>699.89</v>
      </c>
      <c r="G251" s="53">
        <v>99.8416547788873</v>
      </c>
      <c r="H251" s="91"/>
      <c r="I251" s="54"/>
      <c r="J251" s="93"/>
      <c r="K251" s="54"/>
      <c r="L251" s="54"/>
      <c r="M251" s="33"/>
      <c r="N251" s="54"/>
      <c r="O251" s="53"/>
      <c r="P251" s="54"/>
      <c r="Q251" s="54"/>
      <c r="R251" s="54"/>
      <c r="S251" s="54"/>
    </row>
    <row r="252" spans="1:19" ht="11.25">
      <c r="A252" s="75" t="s">
        <v>56</v>
      </c>
      <c r="B252" s="60" t="s">
        <v>56</v>
      </c>
      <c r="C252" s="70"/>
      <c r="D252" s="70"/>
      <c r="E252" s="33">
        <v>3146</v>
      </c>
      <c r="F252" s="33">
        <v>3145.22</v>
      </c>
      <c r="G252" s="53">
        <v>99.97520661157024</v>
      </c>
      <c r="H252" s="91"/>
      <c r="I252" s="54"/>
      <c r="J252" s="93"/>
      <c r="K252" s="54"/>
      <c r="L252" s="54"/>
      <c r="M252" s="33"/>
      <c r="N252" s="54"/>
      <c r="O252" s="53"/>
      <c r="P252" s="54"/>
      <c r="Q252" s="54"/>
      <c r="R252" s="54"/>
      <c r="S252" s="54"/>
    </row>
    <row r="253" spans="1:19" ht="11.25">
      <c r="A253" s="75" t="s">
        <v>57</v>
      </c>
      <c r="B253" s="60" t="s">
        <v>57</v>
      </c>
      <c r="C253" s="70"/>
      <c r="D253" s="70"/>
      <c r="E253" s="33">
        <v>10740</v>
      </c>
      <c r="F253" s="33">
        <v>7238.22</v>
      </c>
      <c r="G253" s="53">
        <v>67.3949720670391</v>
      </c>
      <c r="H253" s="91"/>
      <c r="I253" s="54"/>
      <c r="J253" s="93"/>
      <c r="K253" s="54"/>
      <c r="L253" s="54"/>
      <c r="M253" s="33"/>
      <c r="N253" s="54"/>
      <c r="O253" s="53"/>
      <c r="P253" s="54"/>
      <c r="Q253" s="54"/>
      <c r="R253" s="54"/>
      <c r="S253" s="54"/>
    </row>
    <row r="254" spans="1:19" ht="11.25">
      <c r="A254" s="75" t="s">
        <v>23</v>
      </c>
      <c r="B254" s="60">
        <v>8</v>
      </c>
      <c r="C254" s="70"/>
      <c r="D254" s="70"/>
      <c r="E254" s="33">
        <v>2799</v>
      </c>
      <c r="F254" s="33">
        <v>2798.2</v>
      </c>
      <c r="G254" s="53">
        <v>99.97141836370132</v>
      </c>
      <c r="H254" s="91"/>
      <c r="I254" s="54"/>
      <c r="J254" s="93"/>
      <c r="K254" s="54"/>
      <c r="L254" s="54"/>
      <c r="M254" s="33"/>
      <c r="N254" s="54"/>
      <c r="O254" s="53"/>
      <c r="P254" s="54"/>
      <c r="Q254" s="54"/>
      <c r="R254" s="54"/>
      <c r="S254" s="54"/>
    </row>
    <row r="255" spans="1:19" ht="11.25">
      <c r="A255" s="75" t="s">
        <v>24</v>
      </c>
      <c r="B255" s="60">
        <v>10</v>
      </c>
      <c r="C255" s="70"/>
      <c r="D255" s="70"/>
      <c r="E255" s="33">
        <v>5000</v>
      </c>
      <c r="F255" s="33">
        <v>0</v>
      </c>
      <c r="G255" s="53">
        <v>0</v>
      </c>
      <c r="H255" s="91"/>
      <c r="I255" s="54"/>
      <c r="J255" s="93"/>
      <c r="K255" s="54"/>
      <c r="L255" s="54"/>
      <c r="M255" s="33"/>
      <c r="N255" s="54"/>
      <c r="O255" s="53"/>
      <c r="P255" s="54"/>
      <c r="Q255" s="54"/>
      <c r="R255" s="54"/>
      <c r="S255" s="54"/>
    </row>
    <row r="256" spans="1:19" ht="11.25">
      <c r="A256" s="75" t="s">
        <v>25</v>
      </c>
      <c r="B256" s="60">
        <v>11</v>
      </c>
      <c r="C256" s="70"/>
      <c r="D256" s="70"/>
      <c r="E256" s="33">
        <v>1400</v>
      </c>
      <c r="F256" s="33">
        <v>1398.74</v>
      </c>
      <c r="G256" s="53">
        <v>99.91</v>
      </c>
      <c r="H256" s="91"/>
      <c r="I256" s="54"/>
      <c r="J256" s="93"/>
      <c r="K256" s="54"/>
      <c r="L256" s="54"/>
      <c r="M256" s="33"/>
      <c r="N256" s="54"/>
      <c r="O256" s="53"/>
      <c r="P256" s="54"/>
      <c r="Q256" s="54"/>
      <c r="R256" s="54"/>
      <c r="S256" s="54"/>
    </row>
    <row r="257" spans="1:19" ht="11.25">
      <c r="A257" s="75" t="s">
        <v>26</v>
      </c>
      <c r="B257" s="60">
        <v>12</v>
      </c>
      <c r="C257" s="70"/>
      <c r="D257" s="70"/>
      <c r="E257" s="33">
        <v>10328</v>
      </c>
      <c r="F257" s="33">
        <v>9327.57</v>
      </c>
      <c r="G257" s="53">
        <v>90.31341982958946</v>
      </c>
      <c r="H257" s="91"/>
      <c r="I257" s="54"/>
      <c r="J257" s="93"/>
      <c r="K257" s="54"/>
      <c r="L257" s="54"/>
      <c r="M257" s="33"/>
      <c r="N257" s="54"/>
      <c r="O257" s="53"/>
      <c r="P257" s="54"/>
      <c r="Q257" s="54"/>
      <c r="R257" s="54"/>
      <c r="S257" s="54"/>
    </row>
    <row r="258" spans="1:19" ht="11.25">
      <c r="A258" s="75" t="s">
        <v>27</v>
      </c>
      <c r="B258" s="60">
        <v>13</v>
      </c>
      <c r="C258" s="70"/>
      <c r="D258" s="70"/>
      <c r="E258" s="33">
        <v>2100</v>
      </c>
      <c r="F258" s="33">
        <v>2098.7</v>
      </c>
      <c r="G258" s="53">
        <v>99.93809523809523</v>
      </c>
      <c r="H258" s="91"/>
      <c r="I258" s="54"/>
      <c r="J258" s="93"/>
      <c r="K258" s="54"/>
      <c r="L258" s="54"/>
      <c r="M258" s="33"/>
      <c r="N258" s="54"/>
      <c r="O258" s="53"/>
      <c r="P258" s="54"/>
      <c r="Q258" s="54"/>
      <c r="R258" s="54"/>
      <c r="S258" s="54"/>
    </row>
    <row r="259" spans="1:19" ht="11.25">
      <c r="A259" s="75" t="s">
        <v>61</v>
      </c>
      <c r="B259" s="60">
        <v>14</v>
      </c>
      <c r="C259" s="70"/>
      <c r="D259" s="70"/>
      <c r="E259" s="33">
        <v>9743</v>
      </c>
      <c r="F259" s="33">
        <v>9741.18</v>
      </c>
      <c r="G259" s="53">
        <v>99.98131992199528</v>
      </c>
      <c r="H259" s="91"/>
      <c r="I259" s="54"/>
      <c r="J259" s="93"/>
      <c r="K259" s="54"/>
      <c r="L259" s="54"/>
      <c r="M259" s="33"/>
      <c r="N259" s="54"/>
      <c r="O259" s="53"/>
      <c r="P259" s="54"/>
      <c r="Q259" s="54"/>
      <c r="R259" s="54"/>
      <c r="S259" s="54"/>
    </row>
    <row r="260" spans="1:19" ht="11.25">
      <c r="A260" s="75" t="s">
        <v>29</v>
      </c>
      <c r="B260" s="60">
        <v>16</v>
      </c>
      <c r="C260" s="70"/>
      <c r="D260" s="70"/>
      <c r="E260" s="33">
        <v>2783</v>
      </c>
      <c r="F260" s="33">
        <v>2782.34</v>
      </c>
      <c r="G260" s="53">
        <v>99.97628458498025</v>
      </c>
      <c r="H260" s="91"/>
      <c r="I260" s="54"/>
      <c r="J260" s="93"/>
      <c r="K260" s="54"/>
      <c r="L260" s="54"/>
      <c r="M260" s="33"/>
      <c r="N260" s="54"/>
      <c r="O260" s="53"/>
      <c r="P260" s="54"/>
      <c r="Q260" s="54"/>
      <c r="R260" s="54"/>
      <c r="S260" s="54"/>
    </row>
    <row r="261" spans="1:19" ht="11.25">
      <c r="A261" s="75" t="s">
        <v>30</v>
      </c>
      <c r="B261" s="60">
        <v>17</v>
      </c>
      <c r="C261" s="70"/>
      <c r="D261" s="70"/>
      <c r="E261" s="33">
        <v>2800</v>
      </c>
      <c r="F261" s="33">
        <v>2798.47</v>
      </c>
      <c r="G261" s="53">
        <v>99.94535714285713</v>
      </c>
      <c r="H261" s="91"/>
      <c r="I261" s="54"/>
      <c r="J261" s="93"/>
      <c r="K261" s="54"/>
      <c r="L261" s="54"/>
      <c r="M261" s="33"/>
      <c r="N261" s="54"/>
      <c r="O261" s="53"/>
      <c r="P261" s="54"/>
      <c r="Q261" s="54"/>
      <c r="R261" s="54"/>
      <c r="S261" s="54"/>
    </row>
    <row r="262" spans="1:19" ht="11.25">
      <c r="A262" s="75" t="s">
        <v>31</v>
      </c>
      <c r="B262" s="60">
        <v>18</v>
      </c>
      <c r="C262" s="70"/>
      <c r="D262" s="70"/>
      <c r="E262" s="33">
        <v>4173</v>
      </c>
      <c r="F262" s="33">
        <v>4171.83</v>
      </c>
      <c r="G262" s="53">
        <v>99.97196261682242</v>
      </c>
      <c r="H262" s="91"/>
      <c r="I262" s="54"/>
      <c r="J262" s="93"/>
      <c r="K262" s="54"/>
      <c r="L262" s="54"/>
      <c r="M262" s="33"/>
      <c r="N262" s="54"/>
      <c r="O262" s="53"/>
      <c r="P262" s="54"/>
      <c r="Q262" s="54"/>
      <c r="R262" s="54"/>
      <c r="S262" s="54"/>
    </row>
    <row r="263" spans="1:19" ht="11.25">
      <c r="A263" s="75" t="s">
        <v>32</v>
      </c>
      <c r="B263" s="60">
        <v>20</v>
      </c>
      <c r="C263" s="70"/>
      <c r="D263" s="70"/>
      <c r="E263" s="33">
        <v>2240</v>
      </c>
      <c r="F263" s="33">
        <v>2239.64</v>
      </c>
      <c r="G263" s="53">
        <v>99.98392857142858</v>
      </c>
      <c r="H263" s="91"/>
      <c r="I263" s="54"/>
      <c r="J263" s="93"/>
      <c r="K263" s="54"/>
      <c r="L263" s="54"/>
      <c r="M263" s="33"/>
      <c r="N263" s="54"/>
      <c r="O263" s="53"/>
      <c r="P263" s="54"/>
      <c r="Q263" s="54"/>
      <c r="R263" s="54"/>
      <c r="S263" s="54"/>
    </row>
    <row r="264" spans="1:19" ht="11.25">
      <c r="A264" s="75" t="s">
        <v>33</v>
      </c>
      <c r="B264" s="60">
        <v>21</v>
      </c>
      <c r="C264" s="70"/>
      <c r="D264" s="70"/>
      <c r="E264" s="33">
        <v>14995</v>
      </c>
      <c r="F264" s="33">
        <v>14948.24</v>
      </c>
      <c r="G264" s="53">
        <v>99.68816272090697</v>
      </c>
      <c r="H264" s="91"/>
      <c r="I264" s="54"/>
      <c r="J264" s="93"/>
      <c r="K264" s="54"/>
      <c r="L264" s="54"/>
      <c r="M264" s="33"/>
      <c r="N264" s="54"/>
      <c r="O264" s="53"/>
      <c r="P264" s="54"/>
      <c r="Q264" s="54"/>
      <c r="R264" s="54"/>
      <c r="S264" s="54"/>
    </row>
    <row r="265" spans="1:19" ht="11.25" hidden="1">
      <c r="A265" s="75" t="s">
        <v>34</v>
      </c>
      <c r="B265" s="60">
        <v>23</v>
      </c>
      <c r="C265" s="70"/>
      <c r="D265" s="70"/>
      <c r="E265" s="33"/>
      <c r="F265" s="33"/>
      <c r="G265" s="53" t="e">
        <v>#DIV/0!</v>
      </c>
      <c r="H265" s="91"/>
      <c r="I265" s="54"/>
      <c r="J265" s="93"/>
      <c r="K265" s="54"/>
      <c r="L265" s="54"/>
      <c r="M265" s="33"/>
      <c r="N265" s="54"/>
      <c r="O265" s="53"/>
      <c r="P265" s="54"/>
      <c r="Q265" s="54"/>
      <c r="R265" s="54"/>
      <c r="S265" s="54"/>
    </row>
    <row r="266" spans="1:19" ht="11.25">
      <c r="A266" s="75" t="s">
        <v>35</v>
      </c>
      <c r="B266" s="60">
        <v>26</v>
      </c>
      <c r="C266" s="70"/>
      <c r="D266" s="70"/>
      <c r="E266" s="33">
        <v>2796</v>
      </c>
      <c r="F266" s="33">
        <v>2794.8</v>
      </c>
      <c r="G266" s="53">
        <v>99.95708154506438</v>
      </c>
      <c r="H266" s="91"/>
      <c r="I266" s="54"/>
      <c r="J266" s="93"/>
      <c r="K266" s="54"/>
      <c r="L266" s="54"/>
      <c r="M266" s="33"/>
      <c r="N266" s="54"/>
      <c r="O266" s="53"/>
      <c r="P266" s="54"/>
      <c r="Q266" s="54"/>
      <c r="R266" s="54"/>
      <c r="S266" s="54"/>
    </row>
    <row r="267" spans="1:19" ht="11.25">
      <c r="A267" s="75" t="s">
        <v>65</v>
      </c>
      <c r="B267" s="60" t="s">
        <v>65</v>
      </c>
      <c r="C267" s="70"/>
      <c r="D267" s="70"/>
      <c r="E267" s="33">
        <v>2800</v>
      </c>
      <c r="F267" s="33">
        <v>2798.43</v>
      </c>
      <c r="G267" s="53">
        <v>99.94392857142856</v>
      </c>
      <c r="H267" s="91"/>
      <c r="I267" s="54"/>
      <c r="J267" s="93"/>
      <c r="K267" s="54"/>
      <c r="L267" s="54"/>
      <c r="M267" s="33"/>
      <c r="N267" s="54"/>
      <c r="O267" s="53"/>
      <c r="P267" s="54"/>
      <c r="Q267" s="54"/>
      <c r="R267" s="54"/>
      <c r="S267" s="54"/>
    </row>
    <row r="268" spans="1:19" ht="11.25">
      <c r="A268" s="75" t="s">
        <v>36</v>
      </c>
      <c r="B268" s="60">
        <v>28</v>
      </c>
      <c r="C268" s="70"/>
      <c r="D268" s="70"/>
      <c r="E268" s="33">
        <v>2081</v>
      </c>
      <c r="F268" s="33">
        <v>2080.21</v>
      </c>
      <c r="G268" s="53">
        <v>99.96203748197982</v>
      </c>
      <c r="H268" s="91"/>
      <c r="I268" s="54"/>
      <c r="J268" s="93"/>
      <c r="K268" s="54"/>
      <c r="L268" s="54"/>
      <c r="M268" s="33"/>
      <c r="N268" s="54"/>
      <c r="O268" s="53"/>
      <c r="P268" s="54"/>
      <c r="Q268" s="54"/>
      <c r="R268" s="54"/>
      <c r="S268" s="54"/>
    </row>
    <row r="269" spans="1:19" ht="11.25">
      <c r="A269" s="75" t="s">
        <v>37</v>
      </c>
      <c r="B269" s="60">
        <v>29</v>
      </c>
      <c r="C269" s="70"/>
      <c r="D269" s="70"/>
      <c r="E269" s="33">
        <v>8371</v>
      </c>
      <c r="F269" s="33">
        <v>8369.47</v>
      </c>
      <c r="G269" s="53">
        <v>99.98172261378568</v>
      </c>
      <c r="H269" s="91"/>
      <c r="I269" s="54"/>
      <c r="J269" s="93"/>
      <c r="K269" s="54"/>
      <c r="L269" s="54"/>
      <c r="M269" s="33"/>
      <c r="N269" s="54"/>
      <c r="O269" s="53"/>
      <c r="P269" s="54"/>
      <c r="Q269" s="54"/>
      <c r="R269" s="54"/>
      <c r="S269" s="54"/>
    </row>
    <row r="270" spans="1:19" ht="11.25">
      <c r="A270" s="75" t="s">
        <v>38</v>
      </c>
      <c r="B270" s="60">
        <v>31</v>
      </c>
      <c r="C270" s="70"/>
      <c r="D270" s="70"/>
      <c r="E270" s="33">
        <v>11159</v>
      </c>
      <c r="F270" s="33">
        <v>11155.35</v>
      </c>
      <c r="G270" s="53">
        <v>99.9672909758939</v>
      </c>
      <c r="H270" s="91"/>
      <c r="I270" s="54"/>
      <c r="J270" s="93"/>
      <c r="K270" s="54"/>
      <c r="L270" s="54"/>
      <c r="M270" s="33"/>
      <c r="N270" s="54"/>
      <c r="O270" s="53"/>
      <c r="P270" s="54"/>
      <c r="Q270" s="54"/>
      <c r="R270" s="54"/>
      <c r="S270" s="54"/>
    </row>
    <row r="271" spans="1:19" ht="11.25">
      <c r="A271" s="75" t="s">
        <v>39</v>
      </c>
      <c r="B271" s="60">
        <v>33</v>
      </c>
      <c r="C271" s="70"/>
      <c r="D271" s="70"/>
      <c r="E271" s="33">
        <v>11173</v>
      </c>
      <c r="F271" s="33">
        <v>11171.16</v>
      </c>
      <c r="G271" s="53">
        <v>99.9835317282735</v>
      </c>
      <c r="H271" s="91"/>
      <c r="I271" s="54"/>
      <c r="J271" s="93"/>
      <c r="K271" s="54"/>
      <c r="L271" s="54"/>
      <c r="M271" s="33"/>
      <c r="N271" s="54"/>
      <c r="O271" s="53"/>
      <c r="P271" s="54"/>
      <c r="Q271" s="54"/>
      <c r="R271" s="54"/>
      <c r="S271" s="54"/>
    </row>
    <row r="272" spans="1:19" ht="11.25" hidden="1">
      <c r="A272" s="75" t="s">
        <v>41</v>
      </c>
      <c r="B272" s="60">
        <v>35</v>
      </c>
      <c r="C272" s="70"/>
      <c r="D272" s="70"/>
      <c r="E272" s="33"/>
      <c r="F272" s="33"/>
      <c r="G272" s="53" t="e">
        <v>#DIV/0!</v>
      </c>
      <c r="H272" s="91"/>
      <c r="I272" s="54"/>
      <c r="J272" s="93"/>
      <c r="K272" s="54"/>
      <c r="L272" s="54"/>
      <c r="M272" s="33"/>
      <c r="N272" s="54"/>
      <c r="O272" s="53"/>
      <c r="P272" s="54"/>
      <c r="Q272" s="54"/>
      <c r="R272" s="54"/>
      <c r="S272" s="54"/>
    </row>
    <row r="273" spans="1:19" ht="11.25">
      <c r="A273" s="75" t="s">
        <v>67</v>
      </c>
      <c r="B273" s="60" t="s">
        <v>68</v>
      </c>
      <c r="C273" s="70"/>
      <c r="D273" s="70"/>
      <c r="E273" s="33">
        <v>1400</v>
      </c>
      <c r="F273" s="33">
        <v>1398.81</v>
      </c>
      <c r="G273" s="53">
        <v>99.915</v>
      </c>
      <c r="H273" s="91"/>
      <c r="I273" s="54"/>
      <c r="J273" s="93"/>
      <c r="K273" s="54"/>
      <c r="L273" s="54"/>
      <c r="M273" s="33"/>
      <c r="N273" s="54"/>
      <c r="O273" s="53"/>
      <c r="P273" s="54"/>
      <c r="Q273" s="54"/>
      <c r="R273" s="54"/>
      <c r="S273" s="54"/>
    </row>
    <row r="274" spans="1:19" ht="11.25" hidden="1">
      <c r="A274" s="75" t="s">
        <v>42</v>
      </c>
      <c r="B274" s="60">
        <v>37</v>
      </c>
      <c r="C274" s="70"/>
      <c r="D274" s="70"/>
      <c r="E274" s="33"/>
      <c r="F274" s="33"/>
      <c r="G274" s="53" t="e">
        <v>#DIV/0!</v>
      </c>
      <c r="H274" s="91"/>
      <c r="I274" s="54"/>
      <c r="J274" s="93"/>
      <c r="K274" s="54"/>
      <c r="L274" s="54"/>
      <c r="M274" s="33"/>
      <c r="N274" s="54"/>
      <c r="O274" s="53"/>
      <c r="P274" s="54"/>
      <c r="Q274" s="54"/>
      <c r="R274" s="54"/>
      <c r="S274" s="54"/>
    </row>
    <row r="275" spans="1:19" ht="11.25">
      <c r="A275" s="75" t="s">
        <v>43</v>
      </c>
      <c r="B275" s="60">
        <v>39</v>
      </c>
      <c r="C275" s="70"/>
      <c r="D275" s="70"/>
      <c r="E275" s="33">
        <v>11858</v>
      </c>
      <c r="F275" s="33">
        <v>11856.06</v>
      </c>
      <c r="G275" s="53">
        <v>99.98363973688649</v>
      </c>
      <c r="H275" s="91"/>
      <c r="I275" s="54"/>
      <c r="J275" s="93"/>
      <c r="K275" s="54"/>
      <c r="L275" s="54"/>
      <c r="M275" s="33"/>
      <c r="N275" s="54"/>
      <c r="O275" s="53"/>
      <c r="P275" s="54"/>
      <c r="Q275" s="54"/>
      <c r="R275" s="54"/>
      <c r="S275" s="54"/>
    </row>
    <row r="276" spans="1:19" ht="11.25">
      <c r="A276" s="75" t="s">
        <v>44</v>
      </c>
      <c r="B276" s="60">
        <v>40</v>
      </c>
      <c r="C276" s="70"/>
      <c r="D276" s="70"/>
      <c r="E276" s="33">
        <v>13985</v>
      </c>
      <c r="F276" s="33">
        <v>13983.55</v>
      </c>
      <c r="G276" s="53">
        <v>99.98963174830175</v>
      </c>
      <c r="H276" s="91"/>
      <c r="I276" s="54"/>
      <c r="J276" s="93"/>
      <c r="K276" s="54"/>
      <c r="L276" s="54"/>
      <c r="M276" s="33"/>
      <c r="N276" s="54"/>
      <c r="O276" s="53"/>
      <c r="P276" s="54"/>
      <c r="Q276" s="54"/>
      <c r="R276" s="54"/>
      <c r="S276" s="54"/>
    </row>
    <row r="277" spans="1:19" ht="11.25">
      <c r="A277" s="75" t="s">
        <v>94</v>
      </c>
      <c r="B277" s="60" t="s">
        <v>70</v>
      </c>
      <c r="C277" s="70"/>
      <c r="D277" s="70"/>
      <c r="E277" s="33">
        <v>1381</v>
      </c>
      <c r="F277" s="33">
        <v>1380.66</v>
      </c>
      <c r="G277" s="53">
        <v>99.97538015930486</v>
      </c>
      <c r="H277" s="91"/>
      <c r="I277" s="54"/>
      <c r="J277" s="93"/>
      <c r="K277" s="54"/>
      <c r="L277" s="54"/>
      <c r="M277" s="33"/>
      <c r="N277" s="54"/>
      <c r="O277" s="53"/>
      <c r="P277" s="54"/>
      <c r="Q277" s="54"/>
      <c r="R277" s="54"/>
      <c r="S277" s="54"/>
    </row>
    <row r="278" spans="1:19" ht="11.25">
      <c r="A278" s="75" t="s">
        <v>45</v>
      </c>
      <c r="B278" s="60">
        <v>42</v>
      </c>
      <c r="C278" s="70"/>
      <c r="D278" s="70"/>
      <c r="E278" s="33">
        <v>24999</v>
      </c>
      <c r="F278" s="33">
        <v>10197.21</v>
      </c>
      <c r="G278" s="53">
        <v>40.79047161886475</v>
      </c>
      <c r="H278" s="91"/>
      <c r="I278" s="54"/>
      <c r="J278" s="93"/>
      <c r="K278" s="54"/>
      <c r="L278" s="54"/>
      <c r="M278" s="33"/>
      <c r="N278" s="54"/>
      <c r="O278" s="53"/>
      <c r="P278" s="54"/>
      <c r="Q278" s="54"/>
      <c r="R278" s="54"/>
      <c r="S278" s="54"/>
    </row>
    <row r="279" spans="1:19" ht="11.25">
      <c r="A279" s="75" t="s">
        <v>46</v>
      </c>
      <c r="B279" s="60">
        <v>43</v>
      </c>
      <c r="C279" s="70"/>
      <c r="D279" s="70"/>
      <c r="E279" s="33">
        <v>3472</v>
      </c>
      <c r="F279" s="33">
        <v>3469.58</v>
      </c>
      <c r="G279" s="53">
        <v>99.9302995391705</v>
      </c>
      <c r="H279" s="91"/>
      <c r="I279" s="54"/>
      <c r="J279" s="93"/>
      <c r="K279" s="54"/>
      <c r="L279" s="54"/>
      <c r="M279" s="33"/>
      <c r="N279" s="54"/>
      <c r="O279" s="53"/>
      <c r="P279" s="54"/>
      <c r="Q279" s="54"/>
      <c r="R279" s="54"/>
      <c r="S279" s="54"/>
    </row>
    <row r="280" spans="1:19" ht="11.25">
      <c r="A280" s="75" t="s">
        <v>47</v>
      </c>
      <c r="B280" s="60">
        <v>44</v>
      </c>
      <c r="C280" s="70"/>
      <c r="D280" s="70"/>
      <c r="E280" s="33">
        <v>5283</v>
      </c>
      <c r="F280" s="33">
        <v>5281.89</v>
      </c>
      <c r="G280" s="53">
        <v>99.97898921067576</v>
      </c>
      <c r="H280" s="91"/>
      <c r="I280" s="54"/>
      <c r="J280" s="93"/>
      <c r="K280" s="54"/>
      <c r="L280" s="54"/>
      <c r="M280" s="33"/>
      <c r="N280" s="54"/>
      <c r="O280" s="53"/>
      <c r="P280" s="54"/>
      <c r="Q280" s="54"/>
      <c r="R280" s="54"/>
      <c r="S280" s="54"/>
    </row>
    <row r="281" spans="1:19" ht="11.25">
      <c r="A281" s="75" t="s">
        <v>49</v>
      </c>
      <c r="B281" s="60">
        <v>46</v>
      </c>
      <c r="C281" s="70"/>
      <c r="D281" s="70"/>
      <c r="E281" s="33">
        <v>5600</v>
      </c>
      <c r="F281" s="33">
        <v>5599.15</v>
      </c>
      <c r="G281" s="53">
        <v>99.98482142857142</v>
      </c>
      <c r="H281" s="91"/>
      <c r="I281" s="54"/>
      <c r="J281" s="93"/>
      <c r="K281" s="54"/>
      <c r="L281" s="54"/>
      <c r="M281" s="33"/>
      <c r="N281" s="54"/>
      <c r="O281" s="53"/>
      <c r="P281" s="54"/>
      <c r="Q281" s="54"/>
      <c r="R281" s="54"/>
      <c r="S281" s="54"/>
    </row>
    <row r="282" spans="1:19" ht="11.25">
      <c r="A282" s="75" t="s">
        <v>50</v>
      </c>
      <c r="B282" s="60">
        <v>47</v>
      </c>
      <c r="C282" s="70"/>
      <c r="D282" s="70"/>
      <c r="E282" s="33">
        <v>37162</v>
      </c>
      <c r="F282" s="33">
        <v>21354.06</v>
      </c>
      <c r="G282" s="53">
        <v>57.4620849254615</v>
      </c>
      <c r="H282" s="91"/>
      <c r="I282" s="54"/>
      <c r="J282" s="93"/>
      <c r="K282" s="54"/>
      <c r="L282" s="54"/>
      <c r="M282" s="33"/>
      <c r="N282" s="54"/>
      <c r="O282" s="53"/>
      <c r="P282" s="54"/>
      <c r="Q282" s="54"/>
      <c r="R282" s="54"/>
      <c r="S282" s="54"/>
    </row>
    <row r="283" spans="1:19" ht="11.25">
      <c r="A283" s="75" t="s">
        <v>51</v>
      </c>
      <c r="B283" s="60">
        <v>48</v>
      </c>
      <c r="C283" s="70"/>
      <c r="D283" s="70"/>
      <c r="E283" s="33">
        <v>3151</v>
      </c>
      <c r="F283" s="33">
        <v>3149.52</v>
      </c>
      <c r="G283" s="53">
        <v>99.95303078387813</v>
      </c>
      <c r="H283" s="91"/>
      <c r="I283" s="54"/>
      <c r="J283" s="93"/>
      <c r="K283" s="54"/>
      <c r="L283" s="54"/>
      <c r="M283" s="33"/>
      <c r="N283" s="54"/>
      <c r="O283" s="53"/>
      <c r="P283" s="54"/>
      <c r="Q283" s="54"/>
      <c r="R283" s="54"/>
      <c r="S283" s="54"/>
    </row>
    <row r="284" spans="1:19" ht="11.25">
      <c r="A284" s="73" t="s">
        <v>97</v>
      </c>
      <c r="B284" s="72"/>
      <c r="C284" s="70"/>
      <c r="D284" s="70"/>
      <c r="E284" s="35">
        <f>SUM(E250:E283)</f>
        <v>221005</v>
      </c>
      <c r="F284" s="35">
        <f>SUM(F250:F283)</f>
        <v>180813.37999999998</v>
      </c>
      <c r="G284" s="36">
        <v>81.81415805072282</v>
      </c>
      <c r="H284" s="89">
        <f>SUM(H250:H283)</f>
        <v>0</v>
      </c>
      <c r="I284" s="35">
        <f>SUM(I250:I283)</f>
        <v>0</v>
      </c>
      <c r="J284" s="94">
        <v>0</v>
      </c>
      <c r="K284" s="35">
        <f>SUM(K250:K283)</f>
        <v>0</v>
      </c>
      <c r="L284" s="35">
        <f>SUM(L250:L283)</f>
        <v>0</v>
      </c>
      <c r="M284" s="35">
        <f>SUM(M250:M283)</f>
        <v>0</v>
      </c>
      <c r="N284" s="35">
        <f>SUM(N250:N283)</f>
        <v>0</v>
      </c>
      <c r="O284" s="36"/>
      <c r="P284" s="35">
        <f>SUM(P250:P283)</f>
        <v>0</v>
      </c>
      <c r="Q284" s="35">
        <f>SUM(Q250:Q283)</f>
        <v>0</v>
      </c>
      <c r="R284" s="35">
        <f>SUM(R250:R283)</f>
        <v>0</v>
      </c>
      <c r="S284" s="35">
        <f>SUM(S250:S283)</f>
        <v>0</v>
      </c>
    </row>
    <row r="285" spans="1:19" ht="11.25">
      <c r="A285" s="70" t="s">
        <v>54</v>
      </c>
      <c r="B285" s="51" t="s">
        <v>54</v>
      </c>
      <c r="C285" s="70"/>
      <c r="D285" s="70"/>
      <c r="E285" s="33">
        <v>1800</v>
      </c>
      <c r="F285" s="33">
        <v>600</v>
      </c>
      <c r="G285" s="53">
        <v>33.33333333333333</v>
      </c>
      <c r="H285" s="91"/>
      <c r="I285" s="54"/>
      <c r="J285" s="93"/>
      <c r="K285" s="54"/>
      <c r="L285" s="54"/>
      <c r="M285" s="33"/>
      <c r="N285" s="54"/>
      <c r="O285" s="53"/>
      <c r="P285" s="54"/>
      <c r="Q285" s="54"/>
      <c r="R285" s="54"/>
      <c r="S285" s="54"/>
    </row>
    <row r="286" spans="1:19" ht="11.25">
      <c r="A286" s="75" t="s">
        <v>55</v>
      </c>
      <c r="B286" s="60" t="s">
        <v>55</v>
      </c>
      <c r="C286" s="70"/>
      <c r="D286" s="70"/>
      <c r="E286" s="33">
        <v>2844</v>
      </c>
      <c r="F286" s="33">
        <v>2843.6</v>
      </c>
      <c r="G286" s="53">
        <v>99.985935302391</v>
      </c>
      <c r="H286" s="91"/>
      <c r="I286" s="54"/>
      <c r="J286" s="93"/>
      <c r="K286" s="54"/>
      <c r="L286" s="54"/>
      <c r="M286" s="33"/>
      <c r="N286" s="54"/>
      <c r="O286" s="53"/>
      <c r="P286" s="54"/>
      <c r="Q286" s="54"/>
      <c r="R286" s="54"/>
      <c r="S286" s="54"/>
    </row>
    <row r="287" spans="1:19" ht="11.25">
      <c r="A287" s="75" t="s">
        <v>56</v>
      </c>
      <c r="B287" s="60" t="s">
        <v>56</v>
      </c>
      <c r="C287" s="70"/>
      <c r="D287" s="70"/>
      <c r="E287" s="33">
        <v>11272</v>
      </c>
      <c r="F287" s="33">
        <v>11272</v>
      </c>
      <c r="G287" s="53">
        <v>100</v>
      </c>
      <c r="H287" s="91"/>
      <c r="I287" s="54"/>
      <c r="J287" s="93"/>
      <c r="K287" s="54"/>
      <c r="L287" s="54"/>
      <c r="M287" s="33"/>
      <c r="N287" s="54"/>
      <c r="O287" s="53"/>
      <c r="P287" s="54"/>
      <c r="Q287" s="54"/>
      <c r="R287" s="54"/>
      <c r="S287" s="54"/>
    </row>
    <row r="288" spans="1:19" ht="11.25">
      <c r="A288" s="75" t="s">
        <v>22</v>
      </c>
      <c r="B288" s="60">
        <v>6</v>
      </c>
      <c r="C288" s="70"/>
      <c r="D288" s="70"/>
      <c r="E288" s="33">
        <v>9870</v>
      </c>
      <c r="F288" s="33">
        <v>9870</v>
      </c>
      <c r="G288" s="53">
        <v>100</v>
      </c>
      <c r="H288" s="91"/>
      <c r="I288" s="54"/>
      <c r="J288" s="93"/>
      <c r="K288" s="54"/>
      <c r="L288" s="54"/>
      <c r="M288" s="33"/>
      <c r="N288" s="54"/>
      <c r="O288" s="53"/>
      <c r="P288" s="54"/>
      <c r="Q288" s="54"/>
      <c r="R288" s="54"/>
      <c r="S288" s="54"/>
    </row>
    <row r="289" spans="1:19" ht="11.25">
      <c r="A289" s="75" t="s">
        <v>57</v>
      </c>
      <c r="B289" s="60" t="s">
        <v>57</v>
      </c>
      <c r="C289" s="70"/>
      <c r="D289" s="70"/>
      <c r="E289" s="33">
        <v>19259</v>
      </c>
      <c r="F289" s="33">
        <v>18858.4</v>
      </c>
      <c r="G289" s="53">
        <v>97.91993353756686</v>
      </c>
      <c r="H289" s="91"/>
      <c r="I289" s="54"/>
      <c r="J289" s="93"/>
      <c r="K289" s="54"/>
      <c r="L289" s="54"/>
      <c r="M289" s="33"/>
      <c r="N289" s="54"/>
      <c r="O289" s="53"/>
      <c r="P289" s="54"/>
      <c r="Q289" s="54"/>
      <c r="R289" s="54"/>
      <c r="S289" s="54"/>
    </row>
    <row r="290" spans="1:19" ht="11.25">
      <c r="A290" s="75" t="s">
        <v>23</v>
      </c>
      <c r="B290" s="60">
        <v>8</v>
      </c>
      <c r="C290" s="70"/>
      <c r="D290" s="70"/>
      <c r="E290" s="33">
        <v>4050</v>
      </c>
      <c r="F290" s="33">
        <v>4050</v>
      </c>
      <c r="G290" s="53">
        <v>100</v>
      </c>
      <c r="H290" s="91"/>
      <c r="I290" s="54"/>
      <c r="J290" s="93"/>
      <c r="K290" s="54"/>
      <c r="L290" s="54"/>
      <c r="M290" s="33"/>
      <c r="N290" s="54"/>
      <c r="O290" s="53"/>
      <c r="P290" s="54"/>
      <c r="Q290" s="54"/>
      <c r="R290" s="54"/>
      <c r="S290" s="54"/>
    </row>
    <row r="291" spans="1:19" ht="11.25">
      <c r="A291" s="75" t="s">
        <v>24</v>
      </c>
      <c r="B291" s="60">
        <v>10</v>
      </c>
      <c r="C291" s="70"/>
      <c r="D291" s="70"/>
      <c r="E291" s="33">
        <v>28603</v>
      </c>
      <c r="F291" s="33">
        <v>28202.8</v>
      </c>
      <c r="G291" s="53">
        <v>98.60084606509807</v>
      </c>
      <c r="H291" s="91"/>
      <c r="I291" s="54"/>
      <c r="J291" s="93"/>
      <c r="K291" s="54"/>
      <c r="L291" s="54"/>
      <c r="M291" s="33"/>
      <c r="N291" s="54"/>
      <c r="O291" s="53"/>
      <c r="P291" s="54"/>
      <c r="Q291" s="54"/>
      <c r="R291" s="54"/>
      <c r="S291" s="54"/>
    </row>
    <row r="292" spans="1:19" ht="11.25">
      <c r="A292" s="79" t="s">
        <v>25</v>
      </c>
      <c r="B292" s="60">
        <v>11</v>
      </c>
      <c r="C292" s="70"/>
      <c r="D292" s="70"/>
      <c r="E292" s="33">
        <v>13333</v>
      </c>
      <c r="F292" s="33">
        <v>13332.6</v>
      </c>
      <c r="G292" s="53">
        <v>99.99699992499814</v>
      </c>
      <c r="H292" s="91"/>
      <c r="I292" s="54"/>
      <c r="J292" s="93"/>
      <c r="K292" s="54"/>
      <c r="L292" s="54"/>
      <c r="M292" s="33"/>
      <c r="N292" s="54"/>
      <c r="O292" s="53"/>
      <c r="P292" s="54"/>
      <c r="Q292" s="54"/>
      <c r="R292" s="54"/>
      <c r="S292" s="54"/>
    </row>
    <row r="293" spans="1:19" ht="11.25">
      <c r="A293" s="75" t="s">
        <v>26</v>
      </c>
      <c r="B293" s="60">
        <v>12</v>
      </c>
      <c r="C293" s="70"/>
      <c r="D293" s="70"/>
      <c r="E293" s="33">
        <v>7794</v>
      </c>
      <c r="F293" s="33">
        <v>7793.6</v>
      </c>
      <c r="G293" s="53">
        <v>99.99486784706185</v>
      </c>
      <c r="H293" s="91"/>
      <c r="I293" s="54"/>
      <c r="J293" s="93"/>
      <c r="K293" s="54"/>
      <c r="L293" s="54"/>
      <c r="M293" s="33"/>
      <c r="N293" s="54"/>
      <c r="O293" s="53"/>
      <c r="P293" s="54"/>
      <c r="Q293" s="54"/>
      <c r="R293" s="54"/>
      <c r="S293" s="54"/>
    </row>
    <row r="294" spans="1:19" ht="11.25">
      <c r="A294" s="75" t="s">
        <v>27</v>
      </c>
      <c r="B294" s="60">
        <v>13</v>
      </c>
      <c r="C294" s="70"/>
      <c r="D294" s="70"/>
      <c r="E294" s="33">
        <v>9270</v>
      </c>
      <c r="F294" s="33">
        <v>9270</v>
      </c>
      <c r="G294" s="53">
        <v>100</v>
      </c>
      <c r="H294" s="91"/>
      <c r="I294" s="54"/>
      <c r="J294" s="93"/>
      <c r="K294" s="54"/>
      <c r="L294" s="54"/>
      <c r="M294" s="33"/>
      <c r="N294" s="54"/>
      <c r="O294" s="53"/>
      <c r="P294" s="54"/>
      <c r="Q294" s="54"/>
      <c r="R294" s="54"/>
      <c r="S294" s="54"/>
    </row>
    <row r="295" spans="1:19" ht="11.25">
      <c r="A295" s="75" t="s">
        <v>61</v>
      </c>
      <c r="B295" s="60">
        <v>14</v>
      </c>
      <c r="C295" s="70"/>
      <c r="D295" s="70"/>
      <c r="E295" s="33">
        <v>4914</v>
      </c>
      <c r="F295" s="33">
        <v>4913.6</v>
      </c>
      <c r="G295" s="53">
        <v>99.99185999186</v>
      </c>
      <c r="H295" s="91"/>
      <c r="I295" s="54"/>
      <c r="J295" s="93"/>
      <c r="K295" s="54"/>
      <c r="L295" s="54"/>
      <c r="M295" s="33"/>
      <c r="N295" s="54"/>
      <c r="O295" s="53"/>
      <c r="P295" s="54"/>
      <c r="Q295" s="54"/>
      <c r="R295" s="54"/>
      <c r="S295" s="54"/>
    </row>
    <row r="296" spans="1:19" ht="11.25">
      <c r="A296" s="75" t="s">
        <v>29</v>
      </c>
      <c r="B296" s="60">
        <v>16</v>
      </c>
      <c r="C296" s="70"/>
      <c r="D296" s="70"/>
      <c r="E296" s="33">
        <v>11264</v>
      </c>
      <c r="F296" s="33">
        <v>11263.2</v>
      </c>
      <c r="G296" s="53">
        <v>99.99289772727273</v>
      </c>
      <c r="H296" s="91"/>
      <c r="I296" s="54"/>
      <c r="J296" s="93"/>
      <c r="K296" s="54"/>
      <c r="L296" s="54"/>
      <c r="M296" s="33"/>
      <c r="N296" s="54"/>
      <c r="O296" s="53"/>
      <c r="P296" s="54"/>
      <c r="Q296" s="54"/>
      <c r="R296" s="54"/>
      <c r="S296" s="54"/>
    </row>
    <row r="297" spans="1:19" ht="11.25">
      <c r="A297" s="75" t="s">
        <v>30</v>
      </c>
      <c r="B297" s="60">
        <v>17</v>
      </c>
      <c r="C297" s="70"/>
      <c r="D297" s="70"/>
      <c r="E297" s="33">
        <v>16370</v>
      </c>
      <c r="F297" s="33">
        <v>16369.6</v>
      </c>
      <c r="G297" s="53">
        <v>99.9975565058033</v>
      </c>
      <c r="H297" s="91"/>
      <c r="I297" s="54"/>
      <c r="J297" s="93"/>
      <c r="K297" s="54"/>
      <c r="L297" s="54"/>
      <c r="M297" s="33"/>
      <c r="N297" s="54"/>
      <c r="O297" s="53"/>
      <c r="P297" s="54"/>
      <c r="Q297" s="54"/>
      <c r="R297" s="54"/>
      <c r="S297" s="54"/>
    </row>
    <row r="298" spans="1:19" ht="11.25">
      <c r="A298" s="75" t="s">
        <v>31</v>
      </c>
      <c r="B298" s="60">
        <v>18</v>
      </c>
      <c r="C298" s="70"/>
      <c r="D298" s="70"/>
      <c r="E298" s="33">
        <v>3600</v>
      </c>
      <c r="F298" s="33">
        <v>3600</v>
      </c>
      <c r="G298" s="53">
        <v>100</v>
      </c>
      <c r="H298" s="91"/>
      <c r="I298" s="54"/>
      <c r="J298" s="93"/>
      <c r="K298" s="54"/>
      <c r="L298" s="54"/>
      <c r="M298" s="33"/>
      <c r="N298" s="54"/>
      <c r="O298" s="53"/>
      <c r="P298" s="54"/>
      <c r="Q298" s="54"/>
      <c r="R298" s="54"/>
      <c r="S298" s="54"/>
    </row>
    <row r="299" spans="1:19" ht="11.25">
      <c r="A299" s="75" t="s">
        <v>63</v>
      </c>
      <c r="B299" s="60" t="s">
        <v>64</v>
      </c>
      <c r="C299" s="70"/>
      <c r="D299" s="70"/>
      <c r="E299" s="33">
        <v>7677</v>
      </c>
      <c r="F299" s="33">
        <v>7677</v>
      </c>
      <c r="G299" s="53">
        <v>100</v>
      </c>
      <c r="H299" s="91"/>
      <c r="I299" s="54"/>
      <c r="J299" s="93"/>
      <c r="K299" s="54"/>
      <c r="L299" s="54"/>
      <c r="M299" s="33"/>
      <c r="N299" s="54"/>
      <c r="O299" s="53"/>
      <c r="P299" s="54"/>
      <c r="Q299" s="54"/>
      <c r="R299" s="54"/>
      <c r="S299" s="54"/>
    </row>
    <row r="300" spans="1:19" ht="11.25">
      <c r="A300" s="75" t="s">
        <v>32</v>
      </c>
      <c r="B300" s="60">
        <v>20</v>
      </c>
      <c r="C300" s="70"/>
      <c r="D300" s="70"/>
      <c r="E300" s="33">
        <v>1350</v>
      </c>
      <c r="F300" s="33">
        <v>1350</v>
      </c>
      <c r="G300" s="53">
        <v>100</v>
      </c>
      <c r="H300" s="91"/>
      <c r="I300" s="54"/>
      <c r="J300" s="93"/>
      <c r="K300" s="54"/>
      <c r="L300" s="54"/>
      <c r="M300" s="33"/>
      <c r="N300" s="54"/>
      <c r="O300" s="53"/>
      <c r="P300" s="54"/>
      <c r="Q300" s="54"/>
      <c r="R300" s="54"/>
      <c r="S300" s="54"/>
    </row>
    <row r="301" spans="1:19" ht="11.25">
      <c r="A301" s="75" t="s">
        <v>33</v>
      </c>
      <c r="B301" s="60">
        <v>21</v>
      </c>
      <c r="C301" s="70"/>
      <c r="D301" s="70"/>
      <c r="E301" s="33">
        <v>9799</v>
      </c>
      <c r="F301" s="33">
        <v>9798</v>
      </c>
      <c r="G301" s="53">
        <v>99.98979487702827</v>
      </c>
      <c r="H301" s="91"/>
      <c r="I301" s="54"/>
      <c r="J301" s="93"/>
      <c r="K301" s="54"/>
      <c r="L301" s="54"/>
      <c r="M301" s="33"/>
      <c r="N301" s="54"/>
      <c r="O301" s="53"/>
      <c r="P301" s="54"/>
      <c r="Q301" s="54"/>
      <c r="R301" s="54"/>
      <c r="S301" s="54"/>
    </row>
    <row r="302" spans="1:19" ht="11.25">
      <c r="A302" s="75" t="s">
        <v>34</v>
      </c>
      <c r="B302" s="60">
        <v>23</v>
      </c>
      <c r="C302" s="70"/>
      <c r="D302" s="70"/>
      <c r="E302" s="33">
        <v>6840</v>
      </c>
      <c r="F302" s="33">
        <v>5940</v>
      </c>
      <c r="G302" s="53">
        <v>86.8421052631579</v>
      </c>
      <c r="H302" s="91"/>
      <c r="I302" s="54"/>
      <c r="J302" s="93"/>
      <c r="K302" s="54"/>
      <c r="L302" s="54"/>
      <c r="M302" s="33"/>
      <c r="N302" s="54"/>
      <c r="O302" s="53"/>
      <c r="P302" s="54"/>
      <c r="Q302" s="54"/>
      <c r="R302" s="54"/>
      <c r="S302" s="54"/>
    </row>
    <row r="303" spans="1:19" ht="11.25">
      <c r="A303" s="75" t="s">
        <v>35</v>
      </c>
      <c r="B303" s="60">
        <v>26</v>
      </c>
      <c r="C303" s="70"/>
      <c r="D303" s="70"/>
      <c r="E303" s="33">
        <v>3420</v>
      </c>
      <c r="F303" s="33">
        <v>3420</v>
      </c>
      <c r="G303" s="53">
        <v>100</v>
      </c>
      <c r="H303" s="91"/>
      <c r="I303" s="54"/>
      <c r="J303" s="93"/>
      <c r="K303" s="54"/>
      <c r="L303" s="54"/>
      <c r="M303" s="33"/>
      <c r="N303" s="54"/>
      <c r="O303" s="53"/>
      <c r="P303" s="54"/>
      <c r="Q303" s="54"/>
      <c r="R303" s="54"/>
      <c r="S303" s="54"/>
    </row>
    <row r="304" spans="1:19" ht="11.25">
      <c r="A304" s="75" t="s">
        <v>65</v>
      </c>
      <c r="B304" s="60" t="s">
        <v>65</v>
      </c>
      <c r="C304" s="70"/>
      <c r="D304" s="70"/>
      <c r="E304" s="33">
        <v>3600</v>
      </c>
      <c r="F304" s="33">
        <v>3600</v>
      </c>
      <c r="G304" s="53">
        <v>100</v>
      </c>
      <c r="H304" s="91"/>
      <c r="I304" s="54"/>
      <c r="J304" s="93"/>
      <c r="K304" s="54"/>
      <c r="L304" s="54"/>
      <c r="M304" s="33"/>
      <c r="N304" s="54"/>
      <c r="O304" s="53"/>
      <c r="P304" s="54"/>
      <c r="Q304" s="54"/>
      <c r="R304" s="54"/>
      <c r="S304" s="54"/>
    </row>
    <row r="305" spans="1:19" ht="11.25">
      <c r="A305" s="79" t="s">
        <v>36</v>
      </c>
      <c r="B305" s="60">
        <v>28</v>
      </c>
      <c r="C305" s="70"/>
      <c r="D305" s="70"/>
      <c r="E305" s="33">
        <v>2250</v>
      </c>
      <c r="F305" s="33">
        <v>2250</v>
      </c>
      <c r="G305" s="53">
        <v>100</v>
      </c>
      <c r="H305" s="91"/>
      <c r="I305" s="54"/>
      <c r="J305" s="93"/>
      <c r="K305" s="54"/>
      <c r="L305" s="54"/>
      <c r="M305" s="33"/>
      <c r="N305" s="54"/>
      <c r="O305" s="53"/>
      <c r="P305" s="54"/>
      <c r="Q305" s="54"/>
      <c r="R305" s="54"/>
      <c r="S305" s="54"/>
    </row>
    <row r="306" spans="1:19" ht="11.25">
      <c r="A306" s="75" t="s">
        <v>37</v>
      </c>
      <c r="B306" s="60">
        <v>29</v>
      </c>
      <c r="C306" s="70"/>
      <c r="D306" s="70"/>
      <c r="E306" s="33">
        <v>18960</v>
      </c>
      <c r="F306" s="33">
        <v>18760</v>
      </c>
      <c r="G306" s="53">
        <v>98.94514767932489</v>
      </c>
      <c r="H306" s="91"/>
      <c r="I306" s="54"/>
      <c r="J306" s="93"/>
      <c r="K306" s="54"/>
      <c r="L306" s="54"/>
      <c r="M306" s="33"/>
      <c r="N306" s="54"/>
      <c r="O306" s="53"/>
      <c r="P306" s="54"/>
      <c r="Q306" s="54"/>
      <c r="R306" s="54"/>
      <c r="S306" s="54"/>
    </row>
    <row r="307" spans="1:19" ht="11.25">
      <c r="A307" s="75" t="s">
        <v>38</v>
      </c>
      <c r="B307" s="60">
        <v>31</v>
      </c>
      <c r="C307" s="70"/>
      <c r="D307" s="70"/>
      <c r="E307" s="33">
        <v>26910</v>
      </c>
      <c r="F307" s="33">
        <v>26260</v>
      </c>
      <c r="G307" s="53">
        <v>97.58454106280193</v>
      </c>
      <c r="H307" s="91"/>
      <c r="I307" s="54"/>
      <c r="J307" s="93"/>
      <c r="K307" s="54"/>
      <c r="L307" s="54"/>
      <c r="M307" s="33"/>
      <c r="N307" s="54"/>
      <c r="O307" s="53"/>
      <c r="P307" s="54"/>
      <c r="Q307" s="54"/>
      <c r="R307" s="54"/>
      <c r="S307" s="54"/>
    </row>
    <row r="308" spans="1:19" ht="11.25">
      <c r="A308" s="75" t="s">
        <v>39</v>
      </c>
      <c r="B308" s="60">
        <v>33</v>
      </c>
      <c r="C308" s="70"/>
      <c r="D308" s="70"/>
      <c r="E308" s="33">
        <v>13786</v>
      </c>
      <c r="F308" s="33">
        <v>13386</v>
      </c>
      <c r="G308" s="53">
        <v>97.09850573045118</v>
      </c>
      <c r="H308" s="91"/>
      <c r="I308" s="54"/>
      <c r="J308" s="93"/>
      <c r="K308" s="54"/>
      <c r="L308" s="54"/>
      <c r="M308" s="33"/>
      <c r="N308" s="54"/>
      <c r="O308" s="53"/>
      <c r="P308" s="54"/>
      <c r="Q308" s="54"/>
      <c r="R308" s="54"/>
      <c r="S308" s="54"/>
    </row>
    <row r="309" spans="1:19" ht="11.25">
      <c r="A309" s="75" t="s">
        <v>40</v>
      </c>
      <c r="B309" s="60">
        <v>34</v>
      </c>
      <c r="C309" s="70"/>
      <c r="D309" s="70"/>
      <c r="E309" s="33">
        <v>4050</v>
      </c>
      <c r="F309" s="33">
        <v>4050</v>
      </c>
      <c r="G309" s="53">
        <v>100</v>
      </c>
      <c r="H309" s="91"/>
      <c r="I309" s="54"/>
      <c r="J309" s="93"/>
      <c r="K309" s="54"/>
      <c r="L309" s="54"/>
      <c r="M309" s="33"/>
      <c r="N309" s="54"/>
      <c r="O309" s="53"/>
      <c r="P309" s="54"/>
      <c r="Q309" s="54"/>
      <c r="R309" s="54"/>
      <c r="S309" s="54"/>
    </row>
    <row r="310" spans="1:19" ht="11.25">
      <c r="A310" s="75" t="s">
        <v>41</v>
      </c>
      <c r="B310" s="60">
        <v>35</v>
      </c>
      <c r="C310" s="70"/>
      <c r="D310" s="70"/>
      <c r="E310" s="33">
        <v>11959</v>
      </c>
      <c r="F310" s="33">
        <v>11958.8</v>
      </c>
      <c r="G310" s="53">
        <v>99.99832761936615</v>
      </c>
      <c r="H310" s="91"/>
      <c r="I310" s="54"/>
      <c r="J310" s="93"/>
      <c r="K310" s="54"/>
      <c r="L310" s="54"/>
      <c r="M310" s="33"/>
      <c r="N310" s="54"/>
      <c r="O310" s="53"/>
      <c r="P310" s="54"/>
      <c r="Q310" s="54"/>
      <c r="R310" s="54"/>
      <c r="S310" s="54"/>
    </row>
    <row r="311" spans="1:19" ht="11.25">
      <c r="A311" s="75" t="s">
        <v>67</v>
      </c>
      <c r="B311" s="60" t="s">
        <v>68</v>
      </c>
      <c r="C311" s="70"/>
      <c r="D311" s="70"/>
      <c r="E311" s="33">
        <v>4849</v>
      </c>
      <c r="F311" s="33">
        <v>4848.8</v>
      </c>
      <c r="G311" s="53">
        <v>99.99587543823469</v>
      </c>
      <c r="H311" s="91"/>
      <c r="I311" s="54"/>
      <c r="J311" s="93"/>
      <c r="K311" s="54"/>
      <c r="L311" s="54"/>
      <c r="M311" s="33"/>
      <c r="N311" s="54"/>
      <c r="O311" s="53"/>
      <c r="P311" s="54"/>
      <c r="Q311" s="54"/>
      <c r="R311" s="54"/>
      <c r="S311" s="54"/>
    </row>
    <row r="312" spans="1:19" ht="11.25">
      <c r="A312" s="75" t="s">
        <v>42</v>
      </c>
      <c r="B312" s="60">
        <v>37</v>
      </c>
      <c r="C312" s="70"/>
      <c r="D312" s="70"/>
      <c r="E312" s="33">
        <v>3870</v>
      </c>
      <c r="F312" s="33">
        <v>3870</v>
      </c>
      <c r="G312" s="53">
        <v>100</v>
      </c>
      <c r="H312" s="91"/>
      <c r="I312" s="54"/>
      <c r="J312" s="93"/>
      <c r="K312" s="54"/>
      <c r="L312" s="54"/>
      <c r="M312" s="33"/>
      <c r="N312" s="54"/>
      <c r="O312" s="53"/>
      <c r="P312" s="54"/>
      <c r="Q312" s="54"/>
      <c r="R312" s="54"/>
      <c r="S312" s="54"/>
    </row>
    <row r="313" spans="1:19" ht="11.25">
      <c r="A313" s="75" t="s">
        <v>43</v>
      </c>
      <c r="B313" s="60">
        <v>39</v>
      </c>
      <c r="C313" s="70"/>
      <c r="D313" s="70"/>
      <c r="E313" s="33">
        <v>11090</v>
      </c>
      <c r="F313" s="33">
        <v>11090</v>
      </c>
      <c r="G313" s="53">
        <v>100</v>
      </c>
      <c r="H313" s="91"/>
      <c r="I313" s="54"/>
      <c r="J313" s="93"/>
      <c r="K313" s="54"/>
      <c r="L313" s="54"/>
      <c r="M313" s="33"/>
      <c r="N313" s="54"/>
      <c r="O313" s="53"/>
      <c r="P313" s="54"/>
      <c r="Q313" s="54"/>
      <c r="R313" s="54"/>
      <c r="S313" s="54"/>
    </row>
    <row r="314" spans="1:19" ht="11.25">
      <c r="A314" s="75" t="s">
        <v>44</v>
      </c>
      <c r="B314" s="60">
        <v>40</v>
      </c>
      <c r="C314" s="70"/>
      <c r="D314" s="70"/>
      <c r="E314" s="33">
        <v>22514</v>
      </c>
      <c r="F314" s="33">
        <v>22512.8</v>
      </c>
      <c r="G314" s="53">
        <v>99.99466998312161</v>
      </c>
      <c r="H314" s="91"/>
      <c r="I314" s="54"/>
      <c r="J314" s="93"/>
      <c r="K314" s="54"/>
      <c r="L314" s="54"/>
      <c r="M314" s="33"/>
      <c r="N314" s="54"/>
      <c r="O314" s="53"/>
      <c r="P314" s="54"/>
      <c r="Q314" s="54"/>
      <c r="R314" s="54"/>
      <c r="S314" s="54"/>
    </row>
    <row r="315" spans="1:19" ht="11.25">
      <c r="A315" s="75" t="s">
        <v>69</v>
      </c>
      <c r="B315" s="60" t="s">
        <v>70</v>
      </c>
      <c r="C315" s="70"/>
      <c r="D315" s="70"/>
      <c r="E315" s="33">
        <v>14420</v>
      </c>
      <c r="F315" s="33">
        <v>14420</v>
      </c>
      <c r="G315" s="53">
        <v>100</v>
      </c>
      <c r="H315" s="91"/>
      <c r="I315" s="54"/>
      <c r="J315" s="93"/>
      <c r="K315" s="54"/>
      <c r="L315" s="54"/>
      <c r="M315" s="33"/>
      <c r="N315" s="54"/>
      <c r="O315" s="53"/>
      <c r="P315" s="54"/>
      <c r="Q315" s="54"/>
      <c r="R315" s="54"/>
      <c r="S315" s="54"/>
    </row>
    <row r="316" spans="1:19" ht="11.25">
      <c r="A316" s="75" t="s">
        <v>45</v>
      </c>
      <c r="B316" s="60">
        <v>42</v>
      </c>
      <c r="C316" s="70"/>
      <c r="D316" s="70"/>
      <c r="E316" s="33">
        <v>9270</v>
      </c>
      <c r="F316" s="33">
        <v>9270</v>
      </c>
      <c r="G316" s="53">
        <v>100</v>
      </c>
      <c r="H316" s="91"/>
      <c r="I316" s="54"/>
      <c r="J316" s="93"/>
      <c r="K316" s="54"/>
      <c r="L316" s="54"/>
      <c r="M316" s="33"/>
      <c r="N316" s="54"/>
      <c r="O316" s="53"/>
      <c r="P316" s="54"/>
      <c r="Q316" s="54"/>
      <c r="R316" s="54"/>
      <c r="S316" s="54"/>
    </row>
    <row r="317" spans="1:19" ht="11.25">
      <c r="A317" s="75" t="s">
        <v>46</v>
      </c>
      <c r="B317" s="60">
        <v>43</v>
      </c>
      <c r="C317" s="70"/>
      <c r="D317" s="70"/>
      <c r="E317" s="33">
        <v>19263</v>
      </c>
      <c r="F317" s="33">
        <v>19262.6</v>
      </c>
      <c r="G317" s="53">
        <v>99.9979234802471</v>
      </c>
      <c r="H317" s="91"/>
      <c r="I317" s="54"/>
      <c r="J317" s="93"/>
      <c r="K317" s="54"/>
      <c r="L317" s="54"/>
      <c r="M317" s="33"/>
      <c r="N317" s="54"/>
      <c r="O317" s="53"/>
      <c r="P317" s="54"/>
      <c r="Q317" s="54"/>
      <c r="R317" s="54"/>
      <c r="S317" s="54"/>
    </row>
    <row r="318" spans="1:19" ht="11.25">
      <c r="A318" s="75" t="s">
        <v>47</v>
      </c>
      <c r="B318" s="60">
        <v>44</v>
      </c>
      <c r="C318" s="70"/>
      <c r="D318" s="70"/>
      <c r="E318" s="33">
        <v>8351</v>
      </c>
      <c r="F318" s="33">
        <v>8350.8</v>
      </c>
      <c r="G318" s="53">
        <v>99.99760507723624</v>
      </c>
      <c r="H318" s="91"/>
      <c r="I318" s="54"/>
      <c r="J318" s="93"/>
      <c r="K318" s="54"/>
      <c r="L318" s="54"/>
      <c r="M318" s="33"/>
      <c r="N318" s="54"/>
      <c r="O318" s="53"/>
      <c r="P318" s="54"/>
      <c r="Q318" s="54"/>
      <c r="R318" s="54"/>
      <c r="S318" s="54"/>
    </row>
    <row r="319" spans="1:19" ht="11.25">
      <c r="A319" s="75" t="s">
        <v>48</v>
      </c>
      <c r="B319" s="60">
        <v>45</v>
      </c>
      <c r="C319" s="70"/>
      <c r="D319" s="70"/>
      <c r="E319" s="33">
        <v>720</v>
      </c>
      <c r="F319" s="33">
        <v>720</v>
      </c>
      <c r="G319" s="53">
        <v>100</v>
      </c>
      <c r="H319" s="91"/>
      <c r="I319" s="54"/>
      <c r="J319" s="93"/>
      <c r="K319" s="54"/>
      <c r="L319" s="54"/>
      <c r="M319" s="33"/>
      <c r="N319" s="54"/>
      <c r="O319" s="53"/>
      <c r="P319" s="54"/>
      <c r="Q319" s="54"/>
      <c r="R319" s="54"/>
      <c r="S319" s="54"/>
    </row>
    <row r="320" spans="1:19" ht="11.25">
      <c r="A320" s="75" t="s">
        <v>49</v>
      </c>
      <c r="B320" s="60">
        <v>46</v>
      </c>
      <c r="C320" s="70"/>
      <c r="D320" s="70"/>
      <c r="E320" s="33">
        <v>8309</v>
      </c>
      <c r="F320" s="33">
        <v>8308.8</v>
      </c>
      <c r="G320" s="53">
        <v>99.9975929714767</v>
      </c>
      <c r="H320" s="91"/>
      <c r="I320" s="54"/>
      <c r="J320" s="93"/>
      <c r="K320" s="54"/>
      <c r="L320" s="54"/>
      <c r="M320" s="33"/>
      <c r="N320" s="54"/>
      <c r="O320" s="53"/>
      <c r="P320" s="54"/>
      <c r="Q320" s="54"/>
      <c r="R320" s="54"/>
      <c r="S320" s="54"/>
    </row>
    <row r="321" spans="1:19" ht="11.25">
      <c r="A321" s="75" t="s">
        <v>50</v>
      </c>
      <c r="B321" s="60">
        <v>47</v>
      </c>
      <c r="C321" s="70"/>
      <c r="D321" s="70"/>
      <c r="E321" s="33">
        <v>6840</v>
      </c>
      <c r="F321" s="33">
        <v>6840</v>
      </c>
      <c r="G321" s="53">
        <v>100</v>
      </c>
      <c r="H321" s="91"/>
      <c r="I321" s="54"/>
      <c r="J321" s="93"/>
      <c r="K321" s="54"/>
      <c r="L321" s="54"/>
      <c r="M321" s="33"/>
      <c r="N321" s="54"/>
      <c r="O321" s="53"/>
      <c r="P321" s="54"/>
      <c r="Q321" s="54"/>
      <c r="R321" s="54"/>
      <c r="S321" s="54"/>
    </row>
    <row r="322" spans="1:19" ht="11.25">
      <c r="A322" s="75" t="s">
        <v>51</v>
      </c>
      <c r="B322" s="60">
        <v>48</v>
      </c>
      <c r="C322" s="70"/>
      <c r="D322" s="70"/>
      <c r="E322" s="33">
        <v>3870</v>
      </c>
      <c r="F322" s="33">
        <v>3870</v>
      </c>
      <c r="G322" s="53">
        <v>100</v>
      </c>
      <c r="H322" s="91"/>
      <c r="I322" s="54"/>
      <c r="J322" s="93"/>
      <c r="K322" s="54"/>
      <c r="L322" s="54"/>
      <c r="M322" s="33"/>
      <c r="N322" s="54"/>
      <c r="O322" s="53"/>
      <c r="P322" s="54"/>
      <c r="Q322" s="54"/>
      <c r="R322" s="54"/>
      <c r="S322" s="54"/>
    </row>
    <row r="323" spans="1:19" ht="11.25">
      <c r="A323" s="73" t="s">
        <v>98</v>
      </c>
      <c r="B323" s="72"/>
      <c r="C323" s="70"/>
      <c r="D323" s="70"/>
      <c r="E323" s="35">
        <f>SUM(E285:E322)</f>
        <v>368210</v>
      </c>
      <c r="F323" s="35">
        <f>SUM(F285:F322)</f>
        <v>364052.99999999994</v>
      </c>
      <c r="G323" s="53">
        <v>98.87102468699925</v>
      </c>
      <c r="H323" s="89">
        <f>SUM(H285:H322)</f>
        <v>0</v>
      </c>
      <c r="I323" s="35">
        <f>SUM(I285:I322)</f>
        <v>0</v>
      </c>
      <c r="J323" s="94">
        <v>0</v>
      </c>
      <c r="K323" s="35">
        <f>SUM(K285:K322)</f>
        <v>0</v>
      </c>
      <c r="L323" s="35">
        <f>SUM(L285:L322)</f>
        <v>0</v>
      </c>
      <c r="M323" s="35">
        <f>SUM(M285:M322)</f>
        <v>0</v>
      </c>
      <c r="N323" s="35">
        <f>SUM(N285:N322)</f>
        <v>0</v>
      </c>
      <c r="O323" s="36">
        <v>0</v>
      </c>
      <c r="P323" s="35">
        <f>SUM(P285:P322)</f>
        <v>0</v>
      </c>
      <c r="Q323" s="35">
        <f>SUM(Q285:Q322)</f>
        <v>0</v>
      </c>
      <c r="R323" s="35">
        <f>SUM(R285:R322)</f>
        <v>0</v>
      </c>
      <c r="S323" s="35">
        <f>SUM(S285:S322)</f>
        <v>0</v>
      </c>
    </row>
    <row r="324" spans="7:15" ht="11.25">
      <c r="G324" s="80"/>
      <c r="I324" s="70"/>
      <c r="J324" s="81"/>
      <c r="O324" s="82"/>
    </row>
    <row r="325" spans="1:19" ht="11.25">
      <c r="A325" s="83" t="s">
        <v>99</v>
      </c>
      <c r="B325" s="70"/>
      <c r="C325" s="69">
        <f>C37+C66+C89</f>
        <v>19207.17</v>
      </c>
      <c r="D325" s="73"/>
      <c r="E325" s="35">
        <f>E37+E66+E89+E101+E105+E143+E181+E219</f>
        <v>158541617</v>
      </c>
      <c r="F325" s="35">
        <f>F37+F66+F89+F101+F105+F143+F181+F219</f>
        <v>89358787.27</v>
      </c>
      <c r="G325" s="53">
        <v>56.36298466036208</v>
      </c>
      <c r="H325" s="89">
        <f>H37+H66+H89+H101+H105+H143+H181+H219</f>
        <v>101756495</v>
      </c>
      <c r="I325" s="35">
        <f>I37+I66+I89+I101+I105+I143+I181+I219</f>
        <v>54952962.11999999</v>
      </c>
      <c r="J325" s="94">
        <v>54.004377922018634</v>
      </c>
      <c r="K325" s="35">
        <f>K37+K66+K89+K101+K105+K143+K181+K219</f>
        <v>8361321</v>
      </c>
      <c r="L325" s="35">
        <f>L37+L66+L89+L101+L105+L143+L181+L219</f>
        <v>10434025.299999999</v>
      </c>
      <c r="M325" s="35">
        <f>M37+M66+M89+M101+M105+M143+M181+M219</f>
        <v>1166303.4000000001</v>
      </c>
      <c r="N325" s="35">
        <f>N37+N66+N89+N101+N105+N143+N181+N219</f>
        <v>6370612.960000001</v>
      </c>
      <c r="O325" s="36">
        <v>62.75946581760722</v>
      </c>
      <c r="P325" s="35">
        <f>P37+P66+P89+P101+P105+P143+P181+P219</f>
        <v>348726.52999999997</v>
      </c>
      <c r="Q325" s="35">
        <f>Q37+Q66+Q89+Q101+Q105+Q143+Q181+Q219</f>
        <v>4792127.41</v>
      </c>
      <c r="R325" s="35">
        <f>R37+R66+R89+R101+R105+R143+R181+R219</f>
        <v>7966</v>
      </c>
      <c r="S325" s="35">
        <f>S37+S66+S89+S101+S105+S143+S181+S219</f>
        <v>17309.300000000003</v>
      </c>
    </row>
    <row r="326" spans="1:19" ht="11.25">
      <c r="A326" s="73" t="s">
        <v>100</v>
      </c>
      <c r="B326" s="70"/>
      <c r="C326" s="73"/>
      <c r="D326" s="73"/>
      <c r="E326" s="35">
        <f>E249+E284+E323</f>
        <v>10396757</v>
      </c>
      <c r="F326" s="35">
        <f>F249+F284+F323</f>
        <v>5867092.35</v>
      </c>
      <c r="G326" s="53">
        <v>56.43194651947717</v>
      </c>
      <c r="H326" s="89">
        <f>H249+H284+H323</f>
        <v>6986523</v>
      </c>
      <c r="I326" s="35">
        <f>I249+I284+I323</f>
        <v>3544949.4399999995</v>
      </c>
      <c r="J326" s="94">
        <v>50.73982351450069</v>
      </c>
      <c r="K326" s="35">
        <f>K249+K284+K323</f>
        <v>482777.49</v>
      </c>
      <c r="L326" s="35">
        <f>L249+L284+L323</f>
        <v>677801.4700000001</v>
      </c>
      <c r="M326" s="35">
        <f>M249+M284+M323</f>
        <v>77330.51999999999</v>
      </c>
      <c r="N326" s="35">
        <f>N249+N284+N323</f>
        <v>90797.41</v>
      </c>
      <c r="O326" s="36">
        <v>55.58662087373886</v>
      </c>
      <c r="P326" s="35">
        <f>P249+P284+P323</f>
        <v>0</v>
      </c>
      <c r="Q326" s="35">
        <f>Q249+Q284+Q323</f>
        <v>437030.64</v>
      </c>
      <c r="R326" s="35">
        <f>R249+R284+R323</f>
        <v>0</v>
      </c>
      <c r="S326" s="35">
        <f>S249+S284+S323</f>
        <v>0</v>
      </c>
    </row>
    <row r="327" spans="1:19" ht="11.25">
      <c r="A327" s="73"/>
      <c r="B327" s="70"/>
      <c r="C327" s="73"/>
      <c r="D327" s="73"/>
      <c r="E327" s="35"/>
      <c r="F327" s="35"/>
      <c r="G327" s="53"/>
      <c r="H327" s="89"/>
      <c r="I327" s="35"/>
      <c r="J327" s="94"/>
      <c r="K327" s="35"/>
      <c r="L327" s="35"/>
      <c r="M327" s="35"/>
      <c r="N327" s="35"/>
      <c r="O327" s="36"/>
      <c r="P327" s="35"/>
      <c r="Q327" s="35"/>
      <c r="R327" s="35"/>
      <c r="S327" s="35"/>
    </row>
    <row r="328" spans="1:19" ht="11.25">
      <c r="A328" s="73"/>
      <c r="B328" s="70"/>
      <c r="C328" s="73"/>
      <c r="D328" s="73"/>
      <c r="E328" s="35"/>
      <c r="F328" s="35"/>
      <c r="G328" s="53"/>
      <c r="H328" s="89"/>
      <c r="I328" s="35"/>
      <c r="J328" s="94"/>
      <c r="K328" s="35"/>
      <c r="L328" s="35"/>
      <c r="M328" s="35"/>
      <c r="N328" s="35"/>
      <c r="O328" s="36"/>
      <c r="P328" s="35"/>
      <c r="Q328" s="35"/>
      <c r="R328" s="35"/>
      <c r="S328" s="35"/>
    </row>
    <row r="329" spans="1:19" ht="11.25" hidden="1">
      <c r="A329" s="70" t="s">
        <v>31</v>
      </c>
      <c r="B329" s="51">
        <v>18</v>
      </c>
      <c r="C329" s="70"/>
      <c r="D329" s="70"/>
      <c r="E329" s="33"/>
      <c r="F329" s="33"/>
      <c r="G329" s="53" t="e">
        <v>#DIV/0!</v>
      </c>
      <c r="H329" s="91"/>
      <c r="I329" s="54"/>
      <c r="J329" s="93"/>
      <c r="K329" s="54"/>
      <c r="L329" s="54"/>
      <c r="M329" s="33"/>
      <c r="N329" s="54"/>
      <c r="O329" s="36"/>
      <c r="P329" s="54"/>
      <c r="Q329" s="54"/>
      <c r="R329" s="54"/>
      <c r="S329" s="54"/>
    </row>
    <row r="330" spans="1:19" ht="11.25" hidden="1">
      <c r="A330" s="70" t="s">
        <v>35</v>
      </c>
      <c r="B330" s="51">
        <v>26</v>
      </c>
      <c r="C330" s="70"/>
      <c r="D330" s="70"/>
      <c r="E330" s="33"/>
      <c r="F330" s="33"/>
      <c r="G330" s="53" t="e">
        <v>#DIV/0!</v>
      </c>
      <c r="H330" s="91"/>
      <c r="I330" s="54"/>
      <c r="J330" s="93"/>
      <c r="K330" s="54"/>
      <c r="L330" s="54"/>
      <c r="M330" s="33"/>
      <c r="N330" s="54"/>
      <c r="O330" s="36"/>
      <c r="P330" s="54"/>
      <c r="Q330" s="54"/>
      <c r="R330" s="54"/>
      <c r="S330" s="54"/>
    </row>
    <row r="331" spans="1:19" ht="11.25">
      <c r="A331" s="70" t="s">
        <v>39</v>
      </c>
      <c r="B331" s="51">
        <v>33</v>
      </c>
      <c r="C331" s="70"/>
      <c r="D331" s="70"/>
      <c r="E331" s="33">
        <v>960</v>
      </c>
      <c r="F331" s="33">
        <v>0</v>
      </c>
      <c r="G331" s="53">
        <v>0</v>
      </c>
      <c r="H331" s="91"/>
      <c r="I331" s="54"/>
      <c r="J331" s="93"/>
      <c r="K331" s="54"/>
      <c r="L331" s="54"/>
      <c r="M331" s="33"/>
      <c r="N331" s="54"/>
      <c r="O331" s="36"/>
      <c r="P331" s="54"/>
      <c r="Q331" s="54"/>
      <c r="R331" s="54"/>
      <c r="S331" s="54"/>
    </row>
    <row r="332" spans="1:19" ht="11.25" hidden="1">
      <c r="A332" s="70" t="s">
        <v>42</v>
      </c>
      <c r="B332" s="51">
        <v>37</v>
      </c>
      <c r="C332" s="70"/>
      <c r="D332" s="70"/>
      <c r="E332" s="33"/>
      <c r="F332" s="33"/>
      <c r="G332" s="53" t="e">
        <v>#DIV/0!</v>
      </c>
      <c r="H332" s="91"/>
      <c r="I332" s="54"/>
      <c r="J332" s="93"/>
      <c r="K332" s="54"/>
      <c r="L332" s="54"/>
      <c r="M332" s="33"/>
      <c r="N332" s="54"/>
      <c r="O332" s="36"/>
      <c r="P332" s="54"/>
      <c r="Q332" s="54"/>
      <c r="R332" s="54"/>
      <c r="S332" s="54"/>
    </row>
    <row r="333" spans="1:19" ht="11.25" hidden="1">
      <c r="A333" s="70" t="s">
        <v>65</v>
      </c>
      <c r="B333" s="51" t="s">
        <v>65</v>
      </c>
      <c r="C333" s="70"/>
      <c r="D333" s="70"/>
      <c r="E333" s="33"/>
      <c r="F333" s="33"/>
      <c r="G333" s="53" t="e">
        <v>#DIV/0!</v>
      </c>
      <c r="H333" s="91"/>
      <c r="I333" s="54"/>
      <c r="J333" s="93"/>
      <c r="K333" s="54"/>
      <c r="L333" s="54"/>
      <c r="M333" s="33"/>
      <c r="N333" s="54"/>
      <c r="O333" s="36"/>
      <c r="P333" s="54"/>
      <c r="Q333" s="54"/>
      <c r="R333" s="54"/>
      <c r="S333" s="54"/>
    </row>
    <row r="334" spans="1:19" ht="11.25" hidden="1">
      <c r="A334" s="70" t="s">
        <v>67</v>
      </c>
      <c r="B334" s="51" t="s">
        <v>68</v>
      </c>
      <c r="C334" s="70"/>
      <c r="D334" s="70"/>
      <c r="E334" s="33"/>
      <c r="F334" s="33"/>
      <c r="G334" s="53" t="e">
        <v>#DIV/0!</v>
      </c>
      <c r="H334" s="91"/>
      <c r="I334" s="54"/>
      <c r="J334" s="93"/>
      <c r="K334" s="54"/>
      <c r="L334" s="54"/>
      <c r="M334" s="33"/>
      <c r="N334" s="54"/>
      <c r="O334" s="36"/>
      <c r="P334" s="54"/>
      <c r="Q334" s="54"/>
      <c r="R334" s="54"/>
      <c r="S334" s="54"/>
    </row>
    <row r="335" spans="1:19" ht="11.25">
      <c r="A335" s="73" t="s">
        <v>101</v>
      </c>
      <c r="B335" s="70"/>
      <c r="C335" s="70"/>
      <c r="D335" s="70"/>
      <c r="E335" s="35">
        <f>SUM(E329:E334)</f>
        <v>960</v>
      </c>
      <c r="F335" s="35">
        <f>SUM(F329:F334)</f>
        <v>0</v>
      </c>
      <c r="G335" s="53">
        <v>0</v>
      </c>
      <c r="H335" s="89">
        <f>SUM(H329:H334)</f>
        <v>0</v>
      </c>
      <c r="I335" s="35">
        <f>SUM(I329:I334)</f>
        <v>0</v>
      </c>
      <c r="J335" s="94">
        <v>0</v>
      </c>
      <c r="K335" s="35">
        <f>SUM(K329:K334)</f>
        <v>0</v>
      </c>
      <c r="L335" s="35">
        <f>SUM(L329:L334)</f>
        <v>0</v>
      </c>
      <c r="M335" s="35">
        <f>SUM(M329:M334)</f>
        <v>0</v>
      </c>
      <c r="N335" s="35">
        <f>SUM(N329:N334)</f>
        <v>0</v>
      </c>
      <c r="O335" s="36">
        <v>0</v>
      </c>
      <c r="P335" s="35">
        <f>SUM(P329:P334)</f>
        <v>0</v>
      </c>
      <c r="Q335" s="35">
        <f>SUM(Q329:Q334)</f>
        <v>0</v>
      </c>
      <c r="R335" s="35">
        <f>SUM(R329:R334)</f>
        <v>0</v>
      </c>
      <c r="S335" s="35">
        <f>SUM(S329:S334)</f>
        <v>0</v>
      </c>
    </row>
    <row r="336" spans="7:15" ht="11.25">
      <c r="G336" s="82"/>
      <c r="J336" s="81"/>
      <c r="N336" s="4"/>
      <c r="O336" s="9"/>
    </row>
    <row r="337" spans="7:15" ht="11.25" hidden="1">
      <c r="G337" s="82"/>
      <c r="J337" s="81"/>
      <c r="N337" s="4"/>
      <c r="O337" s="9"/>
    </row>
    <row r="338" spans="1:19" ht="11.25" hidden="1">
      <c r="A338" s="5" t="s">
        <v>102</v>
      </c>
      <c r="B338" s="5"/>
      <c r="C338" s="5"/>
      <c r="D338" s="5"/>
      <c r="E338" s="84">
        <f>E325+E326</f>
        <v>168938374</v>
      </c>
      <c r="F338" s="84">
        <f>F325+F326</f>
        <v>95225879.61999999</v>
      </c>
      <c r="G338" s="10">
        <v>56.36722869133332</v>
      </c>
      <c r="H338" s="84">
        <f>H325+H326</f>
        <v>108743018</v>
      </c>
      <c r="I338" s="95">
        <f>I325+I326</f>
        <v>58497911.55999999</v>
      </c>
      <c r="J338" s="10">
        <v>53.79463678302545</v>
      </c>
      <c r="K338" s="84">
        <f>K325+K326</f>
        <v>8844098.49</v>
      </c>
      <c r="L338" s="84">
        <f>L325+L326</f>
        <v>11111826.77</v>
      </c>
      <c r="M338" s="84">
        <f>M325+M326</f>
        <v>1243633.9200000002</v>
      </c>
      <c r="N338" s="84">
        <f>N325+N326</f>
        <v>6461410.370000001</v>
      </c>
      <c r="O338" s="85">
        <v>62.64587067673023</v>
      </c>
      <c r="P338" s="84">
        <f>P325+P326</f>
        <v>348726.52999999997</v>
      </c>
      <c r="Q338" s="84">
        <f>Q325+Q326</f>
        <v>5229158.05</v>
      </c>
      <c r="R338" s="84">
        <f>R325+R326</f>
        <v>7966</v>
      </c>
      <c r="S338" s="84">
        <f>S325+S326</f>
        <v>17309.300000000003</v>
      </c>
    </row>
    <row r="339" ht="11.25">
      <c r="A339" s="193" t="s">
        <v>355</v>
      </c>
    </row>
  </sheetData>
  <mergeCells count="2">
    <mergeCell ref="A2:S3"/>
    <mergeCell ref="K5:S5"/>
  </mergeCells>
  <printOptions/>
  <pageMargins left="0.5" right="0" top="0.54" bottom="0.56" header="0.52" footer="0.38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V82"/>
  <sheetViews>
    <sheetView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V1" sqref="AV1"/>
    </sheetView>
  </sheetViews>
  <sheetFormatPr defaultColWidth="9.00390625" defaultRowHeight="12.75"/>
  <cols>
    <col min="1" max="1" width="12.375" style="2" customWidth="1"/>
    <col min="2" max="2" width="5.875" style="2" hidden="1" customWidth="1"/>
    <col min="3" max="3" width="0.12890625" style="2" customWidth="1"/>
    <col min="4" max="4" width="6.00390625" style="2" hidden="1" customWidth="1"/>
    <col min="5" max="5" width="7.25390625" style="2" hidden="1" customWidth="1"/>
    <col min="6" max="6" width="6.625" style="2" customWidth="1"/>
    <col min="7" max="7" width="7.625" style="2" customWidth="1"/>
    <col min="8" max="8" width="6.875" style="2" customWidth="1"/>
    <col min="9" max="9" width="5.75390625" style="2" customWidth="1"/>
    <col min="10" max="10" width="4.75390625" style="2" customWidth="1"/>
    <col min="11" max="11" width="5.00390625" style="2" customWidth="1"/>
    <col min="12" max="12" width="4.875" style="2" customWidth="1"/>
    <col min="13" max="14" width="6.375" style="2" customWidth="1"/>
    <col min="15" max="15" width="4.375" style="2" customWidth="1"/>
    <col min="16" max="17" width="5.125" style="2" customWidth="1"/>
    <col min="18" max="18" width="6.75390625" style="2" customWidth="1"/>
    <col min="19" max="19" width="4.625" style="2" hidden="1" customWidth="1"/>
    <col min="20" max="20" width="6.25390625" style="2" hidden="1" customWidth="1"/>
    <col min="21" max="21" width="5.25390625" style="2" hidden="1" customWidth="1"/>
    <col min="22" max="22" width="4.625" style="2" hidden="1" customWidth="1"/>
    <col min="23" max="23" width="6.75390625" style="2" hidden="1" customWidth="1"/>
    <col min="24" max="24" width="6.625" style="2" hidden="1" customWidth="1"/>
    <col min="25" max="25" width="5.875" style="2" hidden="1" customWidth="1"/>
    <col min="26" max="26" width="6.125" style="2" hidden="1" customWidth="1"/>
    <col min="27" max="27" width="5.125" style="2" hidden="1" customWidth="1"/>
    <col min="28" max="28" width="7.125" style="2" hidden="1" customWidth="1"/>
    <col min="29" max="31" width="6.00390625" style="2" hidden="1" customWidth="1"/>
    <col min="32" max="32" width="6.25390625" style="2" hidden="1" customWidth="1"/>
    <col min="33" max="34" width="6.00390625" style="2" hidden="1" customWidth="1"/>
    <col min="35" max="35" width="6.125" style="2" customWidth="1"/>
    <col min="36" max="36" width="5.875" style="2" customWidth="1"/>
    <col min="37" max="37" width="6.375" style="2" customWidth="1"/>
    <col min="38" max="38" width="5.375" style="2" customWidth="1"/>
    <col min="39" max="39" width="6.25390625" style="2" customWidth="1"/>
    <col min="40" max="40" width="5.625" style="2" customWidth="1"/>
    <col min="41" max="41" width="6.75390625" style="2" customWidth="1"/>
    <col min="42" max="42" width="6.375" style="2" customWidth="1"/>
    <col min="43" max="43" width="6.125" style="2" customWidth="1"/>
    <col min="44" max="44" width="5.625" style="2" customWidth="1"/>
    <col min="45" max="45" width="6.375" style="2" customWidth="1"/>
    <col min="46" max="46" width="5.375" style="2" customWidth="1"/>
    <col min="47" max="47" width="5.00390625" style="2" customWidth="1"/>
    <col min="48" max="48" width="5.125" style="2" customWidth="1"/>
    <col min="49" max="16384" width="9.125" style="2" customWidth="1"/>
  </cols>
  <sheetData>
    <row r="1" spans="1:48" ht="11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86" t="s">
        <v>197</v>
      </c>
    </row>
    <row r="2" spans="1:48" ht="18">
      <c r="A2" s="103" t="s">
        <v>103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5" customHeight="1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s="25" customFormat="1" ht="32.25" customHeight="1">
      <c r="A4" s="12" t="s">
        <v>0</v>
      </c>
      <c r="B4" s="13" t="s">
        <v>1</v>
      </c>
      <c r="C4" s="14" t="s">
        <v>104</v>
      </c>
      <c r="D4" s="15"/>
      <c r="E4" s="15"/>
      <c r="F4" s="15"/>
      <c r="G4" s="15"/>
      <c r="H4" s="16"/>
      <c r="I4" s="14" t="s">
        <v>105</v>
      </c>
      <c r="J4" s="15"/>
      <c r="K4" s="15"/>
      <c r="L4" s="16"/>
      <c r="M4" s="17" t="s">
        <v>106</v>
      </c>
      <c r="N4" s="18" t="s">
        <v>107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1" t="s">
        <v>108</v>
      </c>
      <c r="AL4" s="22"/>
      <c r="AM4" s="23" t="s">
        <v>109</v>
      </c>
      <c r="AN4" s="23" t="s">
        <v>110</v>
      </c>
      <c r="AO4" s="24" t="s">
        <v>111</v>
      </c>
      <c r="AP4" s="18" t="s">
        <v>112</v>
      </c>
      <c r="AQ4" s="19"/>
      <c r="AR4" s="19"/>
      <c r="AS4" s="19"/>
      <c r="AT4" s="19"/>
      <c r="AU4" s="19"/>
      <c r="AV4" s="20"/>
    </row>
    <row r="5" spans="1:48" s="25" customFormat="1" ht="45">
      <c r="A5" s="26" t="s">
        <v>15</v>
      </c>
      <c r="B5" s="26" t="s">
        <v>113</v>
      </c>
      <c r="C5" s="24" t="s">
        <v>114</v>
      </c>
      <c r="D5" s="24" t="s">
        <v>115</v>
      </c>
      <c r="E5" s="24" t="s">
        <v>116</v>
      </c>
      <c r="F5" s="24" t="s">
        <v>117</v>
      </c>
      <c r="G5" s="24" t="s">
        <v>118</v>
      </c>
      <c r="H5" s="24" t="s">
        <v>119</v>
      </c>
      <c r="I5" s="24" t="s">
        <v>102</v>
      </c>
      <c r="J5" s="24" t="s">
        <v>117</v>
      </c>
      <c r="K5" s="24" t="s">
        <v>120</v>
      </c>
      <c r="L5" s="24" t="s">
        <v>119</v>
      </c>
      <c r="M5" s="24" t="s">
        <v>121</v>
      </c>
      <c r="N5" s="27" t="s">
        <v>122</v>
      </c>
      <c r="O5" s="28" t="s">
        <v>123</v>
      </c>
      <c r="P5" s="28" t="s">
        <v>124</v>
      </c>
      <c r="Q5" s="28" t="s">
        <v>125</v>
      </c>
      <c r="R5" s="28" t="s">
        <v>126</v>
      </c>
      <c r="S5" s="29" t="s">
        <v>127</v>
      </c>
      <c r="T5" s="29" t="s">
        <v>128</v>
      </c>
      <c r="U5" s="29" t="s">
        <v>129</v>
      </c>
      <c r="V5" s="29" t="s">
        <v>130</v>
      </c>
      <c r="W5" s="30" t="s">
        <v>131</v>
      </c>
      <c r="X5" s="30" t="s">
        <v>132</v>
      </c>
      <c r="Y5" s="30" t="s">
        <v>133</v>
      </c>
      <c r="Z5" s="30" t="s">
        <v>134</v>
      </c>
      <c r="AA5" s="30" t="s">
        <v>135</v>
      </c>
      <c r="AB5" s="30" t="s">
        <v>136</v>
      </c>
      <c r="AC5" s="30" t="s">
        <v>137</v>
      </c>
      <c r="AD5" s="30" t="s">
        <v>138</v>
      </c>
      <c r="AE5" s="30" t="s">
        <v>139</v>
      </c>
      <c r="AF5" s="30" t="s">
        <v>140</v>
      </c>
      <c r="AG5" s="30" t="s">
        <v>141</v>
      </c>
      <c r="AH5" s="30" t="s">
        <v>142</v>
      </c>
      <c r="AI5" s="28" t="s">
        <v>143</v>
      </c>
      <c r="AJ5" s="28" t="s">
        <v>144</v>
      </c>
      <c r="AK5" s="27" t="s">
        <v>145</v>
      </c>
      <c r="AL5" s="30" t="s">
        <v>146</v>
      </c>
      <c r="AM5" s="27" t="s">
        <v>145</v>
      </c>
      <c r="AN5" s="27" t="s">
        <v>145</v>
      </c>
      <c r="AO5" s="24" t="s">
        <v>147</v>
      </c>
      <c r="AP5" s="28" t="s">
        <v>148</v>
      </c>
      <c r="AQ5" s="31" t="s">
        <v>149</v>
      </c>
      <c r="AR5" s="30" t="s">
        <v>150</v>
      </c>
      <c r="AS5" s="30" t="s">
        <v>151</v>
      </c>
      <c r="AT5" s="30" t="s">
        <v>152</v>
      </c>
      <c r="AU5" s="30" t="s">
        <v>153</v>
      </c>
      <c r="AV5" s="30" t="s">
        <v>154</v>
      </c>
    </row>
    <row r="6" spans="1:48" ht="11.25">
      <c r="A6" s="12" t="s">
        <v>155</v>
      </c>
      <c r="B6" s="32" t="s">
        <v>54</v>
      </c>
      <c r="C6" s="28">
        <f aca="true" t="shared" si="0" ref="C6:C44">F6+G6+H6</f>
        <v>496</v>
      </c>
      <c r="D6" s="28"/>
      <c r="E6" s="28"/>
      <c r="F6" s="30"/>
      <c r="G6" s="30"/>
      <c r="H6" s="30">
        <v>496</v>
      </c>
      <c r="I6" s="28">
        <f aca="true" t="shared" si="1" ref="I6:I44">J6+K6+L6</f>
        <v>18</v>
      </c>
      <c r="J6" s="30"/>
      <c r="K6" s="30"/>
      <c r="L6" s="33">
        <v>18</v>
      </c>
      <c r="M6" s="28">
        <f aca="true" t="shared" si="2" ref="M6:M44">N6+AI6+AJ6</f>
        <v>68.32</v>
      </c>
      <c r="N6" s="30">
        <f aca="true" t="shared" si="3" ref="N6:N44">O6+P6+Q6+R6</f>
        <v>50.32</v>
      </c>
      <c r="O6" s="30">
        <f aca="true" t="shared" si="4" ref="O6:O44">W6+AA6+S6+AE6</f>
        <v>2.16</v>
      </c>
      <c r="P6" s="30">
        <f aca="true" t="shared" si="5" ref="P6:P44">X6+AB6+T6+AF6</f>
        <v>2.6</v>
      </c>
      <c r="Q6" s="30">
        <f aca="true" t="shared" si="6" ref="Q6:Q44">Y6+AC6+U6+AG6</f>
        <v>14.15</v>
      </c>
      <c r="R6" s="30">
        <f aca="true" t="shared" si="7" ref="R6:R44">Z6+AD6+V6+AH6</f>
        <v>31.41</v>
      </c>
      <c r="S6" s="30"/>
      <c r="T6" s="30"/>
      <c r="U6" s="30"/>
      <c r="V6" s="30"/>
      <c r="W6" s="30"/>
      <c r="X6" s="30"/>
      <c r="Y6" s="30"/>
      <c r="Z6" s="30"/>
      <c r="AA6" s="30">
        <v>2.16</v>
      </c>
      <c r="AB6" s="30">
        <v>2.6</v>
      </c>
      <c r="AC6" s="30">
        <v>14.15</v>
      </c>
      <c r="AD6" s="30">
        <v>31.41</v>
      </c>
      <c r="AE6" s="30"/>
      <c r="AF6" s="30"/>
      <c r="AG6" s="30"/>
      <c r="AH6" s="30"/>
      <c r="AI6" s="28">
        <v>4.5</v>
      </c>
      <c r="AJ6" s="28">
        <v>13.5</v>
      </c>
      <c r="AK6" s="30">
        <v>62</v>
      </c>
      <c r="AL6" s="30">
        <v>7</v>
      </c>
      <c r="AM6" s="30">
        <v>10</v>
      </c>
      <c r="AN6" s="30">
        <v>20</v>
      </c>
      <c r="AO6" s="34"/>
      <c r="AP6" s="28">
        <f aca="true" t="shared" si="8" ref="AP6:AP43">AR6+AU6+AV6+AS6+AT6</f>
        <v>0</v>
      </c>
      <c r="AQ6" s="28">
        <f aca="true" t="shared" si="9" ref="AQ6:AQ44">AP6-AV6</f>
        <v>0</v>
      </c>
      <c r="AR6" s="30"/>
      <c r="AS6" s="30"/>
      <c r="AT6" s="30"/>
      <c r="AU6" s="30"/>
      <c r="AV6" s="30"/>
    </row>
    <row r="7" spans="1:48" ht="11.25">
      <c r="A7" s="12" t="s">
        <v>156</v>
      </c>
      <c r="B7" s="32" t="s">
        <v>55</v>
      </c>
      <c r="C7" s="28">
        <f t="shared" si="0"/>
        <v>334</v>
      </c>
      <c r="D7" s="28"/>
      <c r="E7" s="28"/>
      <c r="F7" s="30"/>
      <c r="G7" s="30"/>
      <c r="H7" s="30">
        <v>334</v>
      </c>
      <c r="I7" s="28">
        <f t="shared" si="1"/>
        <v>12</v>
      </c>
      <c r="J7" s="30"/>
      <c r="K7" s="30"/>
      <c r="L7" s="33">
        <v>12</v>
      </c>
      <c r="M7" s="28">
        <f t="shared" si="2"/>
        <v>53.513999999999996</v>
      </c>
      <c r="N7" s="30">
        <f t="shared" si="3"/>
        <v>39.013999999999996</v>
      </c>
      <c r="O7" s="30">
        <f t="shared" si="4"/>
        <v>0.333</v>
      </c>
      <c r="P7" s="30">
        <f t="shared" si="5"/>
        <v>4.972</v>
      </c>
      <c r="Q7" s="30">
        <f t="shared" si="6"/>
        <v>12.57</v>
      </c>
      <c r="R7" s="30">
        <f t="shared" si="7"/>
        <v>21.139</v>
      </c>
      <c r="S7" s="30"/>
      <c r="T7" s="30"/>
      <c r="U7" s="30"/>
      <c r="V7" s="30"/>
      <c r="W7" s="30"/>
      <c r="X7" s="30"/>
      <c r="Y7" s="30"/>
      <c r="Z7" s="30"/>
      <c r="AA7" s="30">
        <v>0.333</v>
      </c>
      <c r="AB7" s="30">
        <v>4.972</v>
      </c>
      <c r="AC7" s="30">
        <v>12.57</v>
      </c>
      <c r="AD7" s="30">
        <v>21.139</v>
      </c>
      <c r="AE7" s="30"/>
      <c r="AF7" s="30"/>
      <c r="AG7" s="30"/>
      <c r="AH7" s="30"/>
      <c r="AI7" s="28">
        <v>4</v>
      </c>
      <c r="AJ7" s="28">
        <v>10.5</v>
      </c>
      <c r="AK7" s="30">
        <v>90</v>
      </c>
      <c r="AL7" s="30">
        <v>9</v>
      </c>
      <c r="AM7" s="30">
        <v>40</v>
      </c>
      <c r="AN7" s="30">
        <v>10</v>
      </c>
      <c r="AO7" s="28"/>
      <c r="AP7" s="28">
        <f t="shared" si="8"/>
        <v>126.98</v>
      </c>
      <c r="AQ7" s="28">
        <f t="shared" si="9"/>
        <v>121.35000000000001</v>
      </c>
      <c r="AR7" s="30">
        <v>12</v>
      </c>
      <c r="AS7" s="30">
        <v>93.12</v>
      </c>
      <c r="AT7" s="30">
        <v>3.83</v>
      </c>
      <c r="AU7" s="30">
        <v>12.4</v>
      </c>
      <c r="AV7" s="30">
        <v>5.63</v>
      </c>
    </row>
    <row r="8" spans="1:48" ht="11.25">
      <c r="A8" s="12" t="s">
        <v>157</v>
      </c>
      <c r="B8" s="32" t="s">
        <v>56</v>
      </c>
      <c r="C8" s="28">
        <f t="shared" si="0"/>
        <v>125</v>
      </c>
      <c r="D8" s="28"/>
      <c r="E8" s="28"/>
      <c r="F8" s="30"/>
      <c r="G8" s="30"/>
      <c r="H8" s="30">
        <v>125</v>
      </c>
      <c r="I8" s="28">
        <f t="shared" si="1"/>
        <v>7</v>
      </c>
      <c r="J8" s="30"/>
      <c r="K8" s="30"/>
      <c r="L8" s="33">
        <v>7</v>
      </c>
      <c r="M8" s="28">
        <f t="shared" si="2"/>
        <v>67.36</v>
      </c>
      <c r="N8" s="30">
        <f t="shared" si="3"/>
        <v>31.790000000000003</v>
      </c>
      <c r="O8" s="30">
        <f t="shared" si="4"/>
        <v>1.18</v>
      </c>
      <c r="P8" s="30">
        <f t="shared" si="5"/>
        <v>5.32</v>
      </c>
      <c r="Q8" s="30">
        <f t="shared" si="6"/>
        <v>9.99</v>
      </c>
      <c r="R8" s="30">
        <f t="shared" si="7"/>
        <v>15.3</v>
      </c>
      <c r="S8" s="30"/>
      <c r="T8" s="30"/>
      <c r="U8" s="30"/>
      <c r="V8" s="30"/>
      <c r="W8" s="30"/>
      <c r="X8" s="30"/>
      <c r="Y8" s="30"/>
      <c r="Z8" s="30"/>
      <c r="AA8" s="30">
        <v>1.18</v>
      </c>
      <c r="AB8" s="30">
        <v>5.32</v>
      </c>
      <c r="AC8" s="30">
        <v>9.99</v>
      </c>
      <c r="AD8" s="30">
        <v>15.3</v>
      </c>
      <c r="AE8" s="30"/>
      <c r="AF8" s="30"/>
      <c r="AG8" s="30"/>
      <c r="AH8" s="30"/>
      <c r="AI8" s="28">
        <v>14.21</v>
      </c>
      <c r="AJ8" s="28">
        <v>21.36</v>
      </c>
      <c r="AK8" s="30">
        <v>70</v>
      </c>
      <c r="AL8" s="30">
        <v>7</v>
      </c>
      <c r="AM8" s="30">
        <v>20</v>
      </c>
      <c r="AN8" s="30">
        <v>20</v>
      </c>
      <c r="AO8" s="28"/>
      <c r="AP8" s="28">
        <f t="shared" si="8"/>
        <v>42</v>
      </c>
      <c r="AQ8" s="28">
        <f t="shared" si="9"/>
        <v>42</v>
      </c>
      <c r="AR8" s="30">
        <v>7</v>
      </c>
      <c r="AS8" s="30">
        <v>22</v>
      </c>
      <c r="AT8" s="30">
        <v>10</v>
      </c>
      <c r="AU8" s="30">
        <v>3</v>
      </c>
      <c r="AV8" s="30">
        <v>0</v>
      </c>
    </row>
    <row r="9" spans="1:48" ht="11.25">
      <c r="A9" s="12" t="s">
        <v>158</v>
      </c>
      <c r="B9" s="32">
        <v>6</v>
      </c>
      <c r="C9" s="28">
        <f t="shared" si="0"/>
        <v>779</v>
      </c>
      <c r="D9" s="28"/>
      <c r="E9" s="28"/>
      <c r="F9" s="30">
        <v>71</v>
      </c>
      <c r="G9" s="30">
        <v>708</v>
      </c>
      <c r="H9" s="30"/>
      <c r="I9" s="28">
        <f t="shared" si="1"/>
        <v>32</v>
      </c>
      <c r="J9" s="30">
        <v>3</v>
      </c>
      <c r="K9" s="30">
        <v>29</v>
      </c>
      <c r="L9" s="33"/>
      <c r="M9" s="28">
        <f t="shared" si="2"/>
        <v>84.96000000000001</v>
      </c>
      <c r="N9" s="30">
        <f t="shared" si="3"/>
        <v>65.25</v>
      </c>
      <c r="O9" s="30">
        <f t="shared" si="4"/>
        <v>2.29</v>
      </c>
      <c r="P9" s="30">
        <f t="shared" si="5"/>
        <v>10.69</v>
      </c>
      <c r="Q9" s="30">
        <f t="shared" si="6"/>
        <v>16.44</v>
      </c>
      <c r="R9" s="30">
        <f t="shared" si="7"/>
        <v>35.830000000000005</v>
      </c>
      <c r="S9" s="30"/>
      <c r="T9" s="30">
        <v>1.14</v>
      </c>
      <c r="U9" s="30"/>
      <c r="V9" s="30">
        <v>2.27</v>
      </c>
      <c r="W9" s="30">
        <v>0.56</v>
      </c>
      <c r="X9" s="30">
        <v>4.78</v>
      </c>
      <c r="Y9" s="30">
        <v>16.44</v>
      </c>
      <c r="Z9" s="30">
        <v>32.56</v>
      </c>
      <c r="AA9" s="30"/>
      <c r="AB9" s="30"/>
      <c r="AC9" s="30"/>
      <c r="AD9" s="30"/>
      <c r="AE9" s="30">
        <v>1.73</v>
      </c>
      <c r="AF9" s="30">
        <v>4.77</v>
      </c>
      <c r="AG9" s="30"/>
      <c r="AH9" s="30">
        <v>1</v>
      </c>
      <c r="AI9" s="28">
        <v>4.5</v>
      </c>
      <c r="AJ9" s="28">
        <v>15.21</v>
      </c>
      <c r="AK9" s="30">
        <v>29</v>
      </c>
      <c r="AL9" s="30">
        <v>7.5</v>
      </c>
      <c r="AM9" s="30">
        <v>40</v>
      </c>
      <c r="AN9" s="30"/>
      <c r="AO9" s="28">
        <v>275</v>
      </c>
      <c r="AP9" s="28">
        <f t="shared" si="8"/>
        <v>460</v>
      </c>
      <c r="AQ9" s="28">
        <f t="shared" si="9"/>
        <v>445</v>
      </c>
      <c r="AR9" s="30">
        <v>32</v>
      </c>
      <c r="AS9" s="30">
        <v>391</v>
      </c>
      <c r="AT9" s="30">
        <v>22</v>
      </c>
      <c r="AU9" s="30"/>
      <c r="AV9" s="30">
        <v>15</v>
      </c>
    </row>
    <row r="10" spans="1:48" ht="11.25">
      <c r="A10" s="12" t="s">
        <v>159</v>
      </c>
      <c r="B10" s="32" t="s">
        <v>57</v>
      </c>
      <c r="C10" s="28">
        <f t="shared" si="0"/>
        <v>344.83</v>
      </c>
      <c r="D10" s="28"/>
      <c r="E10" s="28"/>
      <c r="F10" s="30"/>
      <c r="G10" s="30"/>
      <c r="H10" s="30">
        <v>344.83</v>
      </c>
      <c r="I10" s="28">
        <f t="shared" si="1"/>
        <v>15</v>
      </c>
      <c r="J10" s="30"/>
      <c r="K10" s="30"/>
      <c r="L10" s="33">
        <v>15</v>
      </c>
      <c r="M10" s="28">
        <f t="shared" si="2"/>
        <v>68.55</v>
      </c>
      <c r="N10" s="30">
        <f t="shared" si="3"/>
        <v>51.41</v>
      </c>
      <c r="O10" s="30">
        <f t="shared" si="4"/>
        <v>1.44</v>
      </c>
      <c r="P10" s="30">
        <f t="shared" si="5"/>
        <v>10.79</v>
      </c>
      <c r="Q10" s="30">
        <f t="shared" si="6"/>
        <v>8.86</v>
      </c>
      <c r="R10" s="30">
        <f t="shared" si="7"/>
        <v>30.32</v>
      </c>
      <c r="S10" s="30"/>
      <c r="T10" s="30"/>
      <c r="U10" s="30"/>
      <c r="V10" s="30"/>
      <c r="W10" s="30"/>
      <c r="X10" s="30"/>
      <c r="Y10" s="30"/>
      <c r="Z10" s="30"/>
      <c r="AA10" s="30">
        <v>1.44</v>
      </c>
      <c r="AB10" s="30">
        <v>10.79</v>
      </c>
      <c r="AC10" s="30">
        <v>8.86</v>
      </c>
      <c r="AD10" s="30">
        <v>30.32</v>
      </c>
      <c r="AE10" s="30"/>
      <c r="AF10" s="30"/>
      <c r="AG10" s="30"/>
      <c r="AH10" s="30"/>
      <c r="AI10" s="28">
        <v>5.14</v>
      </c>
      <c r="AJ10" s="28">
        <v>12</v>
      </c>
      <c r="AK10" s="30">
        <v>211</v>
      </c>
      <c r="AL10" s="30">
        <v>20.4</v>
      </c>
      <c r="AM10" s="30">
        <v>35</v>
      </c>
      <c r="AN10" s="30">
        <v>20</v>
      </c>
      <c r="AO10" s="28"/>
      <c r="AP10" s="28">
        <f t="shared" si="8"/>
        <v>70</v>
      </c>
      <c r="AQ10" s="28">
        <f t="shared" si="9"/>
        <v>67</v>
      </c>
      <c r="AR10" s="30">
        <v>15</v>
      </c>
      <c r="AS10" s="30">
        <v>13</v>
      </c>
      <c r="AT10" s="30">
        <v>18</v>
      </c>
      <c r="AU10" s="30">
        <v>21</v>
      </c>
      <c r="AV10" s="30">
        <v>3</v>
      </c>
    </row>
    <row r="11" spans="1:48" ht="11.25">
      <c r="A11" s="12" t="s">
        <v>160</v>
      </c>
      <c r="B11" s="32">
        <v>8</v>
      </c>
      <c r="C11" s="28">
        <f t="shared" si="0"/>
        <v>422</v>
      </c>
      <c r="D11" s="28"/>
      <c r="E11" s="28"/>
      <c r="F11" s="30">
        <v>25</v>
      </c>
      <c r="G11" s="30">
        <v>235</v>
      </c>
      <c r="H11" s="30">
        <v>162</v>
      </c>
      <c r="I11" s="28">
        <f t="shared" si="1"/>
        <v>23</v>
      </c>
      <c r="J11" s="30">
        <v>1</v>
      </c>
      <c r="K11" s="30">
        <v>13</v>
      </c>
      <c r="L11" s="33">
        <v>9</v>
      </c>
      <c r="M11" s="28">
        <f t="shared" si="2"/>
        <v>82.31</v>
      </c>
      <c r="N11" s="30">
        <f t="shared" si="3"/>
        <v>65.81</v>
      </c>
      <c r="O11" s="30">
        <f t="shared" si="4"/>
        <v>1</v>
      </c>
      <c r="P11" s="30">
        <f t="shared" si="5"/>
        <v>16.67</v>
      </c>
      <c r="Q11" s="30">
        <f t="shared" si="6"/>
        <v>23.64</v>
      </c>
      <c r="R11" s="30">
        <f t="shared" si="7"/>
        <v>24.5</v>
      </c>
      <c r="S11" s="30"/>
      <c r="T11" s="30"/>
      <c r="U11" s="30">
        <v>1.14</v>
      </c>
      <c r="V11" s="30"/>
      <c r="W11" s="30"/>
      <c r="X11" s="30">
        <v>7.67</v>
      </c>
      <c r="Y11" s="30">
        <v>13</v>
      </c>
      <c r="Z11" s="30">
        <v>10.5</v>
      </c>
      <c r="AA11" s="30"/>
      <c r="AB11" s="30">
        <v>9</v>
      </c>
      <c r="AC11" s="30">
        <v>9.5</v>
      </c>
      <c r="AD11" s="30">
        <v>11</v>
      </c>
      <c r="AE11" s="30">
        <v>1</v>
      </c>
      <c r="AF11" s="30"/>
      <c r="AG11" s="30"/>
      <c r="AH11" s="30">
        <v>3</v>
      </c>
      <c r="AI11" s="28">
        <v>5</v>
      </c>
      <c r="AJ11" s="28">
        <v>11.5</v>
      </c>
      <c r="AK11" s="30">
        <v>94</v>
      </c>
      <c r="AL11" s="30">
        <v>11</v>
      </c>
      <c r="AM11" s="30">
        <v>20</v>
      </c>
      <c r="AN11" s="30">
        <v>20</v>
      </c>
      <c r="AO11" s="28">
        <v>144</v>
      </c>
      <c r="AP11" s="28">
        <f t="shared" si="8"/>
        <v>252</v>
      </c>
      <c r="AQ11" s="28">
        <f t="shared" si="9"/>
        <v>217</v>
      </c>
      <c r="AR11" s="30">
        <v>22</v>
      </c>
      <c r="AS11" s="30">
        <v>192</v>
      </c>
      <c r="AT11" s="30">
        <v>3</v>
      </c>
      <c r="AU11" s="30"/>
      <c r="AV11" s="30">
        <v>35</v>
      </c>
    </row>
    <row r="12" spans="1:48" ht="11.25">
      <c r="A12" s="12" t="s">
        <v>161</v>
      </c>
      <c r="B12" s="32">
        <v>10</v>
      </c>
      <c r="C12" s="28">
        <f t="shared" si="0"/>
        <v>483.15999999999997</v>
      </c>
      <c r="D12" s="28"/>
      <c r="E12" s="28"/>
      <c r="F12" s="30">
        <v>60.16</v>
      </c>
      <c r="G12" s="30">
        <v>423</v>
      </c>
      <c r="H12" s="30"/>
      <c r="I12" s="28">
        <f t="shared" si="1"/>
        <v>25</v>
      </c>
      <c r="J12" s="30">
        <v>3</v>
      </c>
      <c r="K12" s="30">
        <v>22</v>
      </c>
      <c r="L12" s="33"/>
      <c r="M12" s="28">
        <f t="shared" si="2"/>
        <v>92.82000000000001</v>
      </c>
      <c r="N12" s="30">
        <f t="shared" si="3"/>
        <v>67.4</v>
      </c>
      <c r="O12" s="30">
        <f t="shared" si="4"/>
        <v>2.05</v>
      </c>
      <c r="P12" s="30">
        <f t="shared" si="5"/>
        <v>6</v>
      </c>
      <c r="Q12" s="30">
        <f t="shared" si="6"/>
        <v>16.310000000000002</v>
      </c>
      <c r="R12" s="30">
        <f t="shared" si="7"/>
        <v>43.040000000000006</v>
      </c>
      <c r="S12" s="30">
        <v>0.11</v>
      </c>
      <c r="T12" s="30"/>
      <c r="U12" s="30"/>
      <c r="V12" s="30">
        <v>4.23</v>
      </c>
      <c r="W12" s="30">
        <v>1.94</v>
      </c>
      <c r="X12" s="30">
        <v>4</v>
      </c>
      <c r="Y12" s="30">
        <v>15.31</v>
      </c>
      <c r="Z12" s="30">
        <v>35.81</v>
      </c>
      <c r="AA12" s="30"/>
      <c r="AB12" s="30"/>
      <c r="AC12" s="30"/>
      <c r="AD12" s="30"/>
      <c r="AE12" s="30"/>
      <c r="AF12" s="30">
        <v>2</v>
      </c>
      <c r="AG12" s="30">
        <v>1</v>
      </c>
      <c r="AH12" s="30">
        <v>3</v>
      </c>
      <c r="AI12" s="28">
        <v>6.17</v>
      </c>
      <c r="AJ12" s="28">
        <v>19.25</v>
      </c>
      <c r="AK12" s="30">
        <v>87.3</v>
      </c>
      <c r="AL12" s="30">
        <v>12.2</v>
      </c>
      <c r="AM12" s="30">
        <v>20</v>
      </c>
      <c r="AN12" s="30">
        <v>20</v>
      </c>
      <c r="AO12" s="28">
        <v>161.5</v>
      </c>
      <c r="AP12" s="28">
        <f t="shared" si="8"/>
        <v>196.32</v>
      </c>
      <c r="AQ12" s="28">
        <f t="shared" si="9"/>
        <v>189.16</v>
      </c>
      <c r="AR12" s="30">
        <v>22</v>
      </c>
      <c r="AS12" s="30">
        <v>105</v>
      </c>
      <c r="AT12" s="30">
        <v>51</v>
      </c>
      <c r="AU12" s="30">
        <v>11.16</v>
      </c>
      <c r="AV12" s="30">
        <v>7.16</v>
      </c>
    </row>
    <row r="13" spans="1:48" ht="11.25">
      <c r="A13" s="12" t="s">
        <v>162</v>
      </c>
      <c r="B13" s="32">
        <v>11</v>
      </c>
      <c r="C13" s="28">
        <f t="shared" si="0"/>
        <v>361</v>
      </c>
      <c r="D13" s="28"/>
      <c r="E13" s="28"/>
      <c r="F13" s="30">
        <v>26</v>
      </c>
      <c r="G13" s="30">
        <v>191</v>
      </c>
      <c r="H13" s="30">
        <v>144</v>
      </c>
      <c r="I13" s="28">
        <f t="shared" si="1"/>
        <v>17</v>
      </c>
      <c r="J13" s="30">
        <v>1</v>
      </c>
      <c r="K13" s="30">
        <v>9</v>
      </c>
      <c r="L13" s="33">
        <v>7</v>
      </c>
      <c r="M13" s="28">
        <f t="shared" si="2"/>
        <v>68.18</v>
      </c>
      <c r="N13" s="30">
        <f t="shared" si="3"/>
        <v>50.93</v>
      </c>
      <c r="O13" s="30">
        <f t="shared" si="4"/>
        <v>0.5</v>
      </c>
      <c r="P13" s="30">
        <f t="shared" si="5"/>
        <v>8.43</v>
      </c>
      <c r="Q13" s="30">
        <f t="shared" si="6"/>
        <v>20.490000000000002</v>
      </c>
      <c r="R13" s="30">
        <f t="shared" si="7"/>
        <v>21.509999999999998</v>
      </c>
      <c r="S13" s="30"/>
      <c r="T13" s="30"/>
      <c r="U13" s="30">
        <v>1.19</v>
      </c>
      <c r="V13" s="30"/>
      <c r="W13" s="30"/>
      <c r="X13" s="30">
        <v>3.5</v>
      </c>
      <c r="Y13" s="30">
        <v>6.94</v>
      </c>
      <c r="Z13" s="30">
        <v>9.17</v>
      </c>
      <c r="AA13" s="30">
        <v>0.5</v>
      </c>
      <c r="AB13" s="30">
        <v>3.34</v>
      </c>
      <c r="AC13" s="30">
        <v>10.75</v>
      </c>
      <c r="AD13" s="30">
        <v>12.34</v>
      </c>
      <c r="AE13" s="30"/>
      <c r="AF13" s="30">
        <v>1.59</v>
      </c>
      <c r="AG13" s="30">
        <v>1.61</v>
      </c>
      <c r="AH13" s="30"/>
      <c r="AI13" s="28">
        <v>5.25</v>
      </c>
      <c r="AJ13" s="28">
        <v>12</v>
      </c>
      <c r="AK13" s="30">
        <v>112.67</v>
      </c>
      <c r="AL13" s="30">
        <v>31.33</v>
      </c>
      <c r="AM13" s="30">
        <v>30</v>
      </c>
      <c r="AN13" s="30">
        <v>20</v>
      </c>
      <c r="AO13" s="28">
        <v>111</v>
      </c>
      <c r="AP13" s="28">
        <f t="shared" si="8"/>
        <v>136</v>
      </c>
      <c r="AQ13" s="28">
        <f t="shared" si="9"/>
        <v>129</v>
      </c>
      <c r="AR13" s="30">
        <v>17</v>
      </c>
      <c r="AS13" s="30">
        <v>93</v>
      </c>
      <c r="AT13" s="30">
        <v>17</v>
      </c>
      <c r="AU13" s="30">
        <v>2</v>
      </c>
      <c r="AV13" s="30">
        <v>7</v>
      </c>
    </row>
    <row r="14" spans="1:48" ht="11.25">
      <c r="A14" s="12" t="s">
        <v>163</v>
      </c>
      <c r="B14" s="32">
        <v>12</v>
      </c>
      <c r="C14" s="28">
        <f t="shared" si="0"/>
        <v>791</v>
      </c>
      <c r="D14" s="28"/>
      <c r="E14" s="28"/>
      <c r="F14" s="30">
        <v>96</v>
      </c>
      <c r="G14" s="30">
        <v>490</v>
      </c>
      <c r="H14" s="30">
        <v>205</v>
      </c>
      <c r="I14" s="28">
        <f t="shared" si="1"/>
        <v>34</v>
      </c>
      <c r="J14" s="30">
        <v>4</v>
      </c>
      <c r="K14" s="30">
        <v>22</v>
      </c>
      <c r="L14" s="33">
        <v>8</v>
      </c>
      <c r="M14" s="28">
        <f t="shared" si="2"/>
        <v>124.41999999999999</v>
      </c>
      <c r="N14" s="30">
        <f t="shared" si="3"/>
        <v>77.82</v>
      </c>
      <c r="O14" s="30">
        <f t="shared" si="4"/>
        <v>5.68</v>
      </c>
      <c r="P14" s="30">
        <f t="shared" si="5"/>
        <v>9.54</v>
      </c>
      <c r="Q14" s="30">
        <f t="shared" si="6"/>
        <v>24.759999999999998</v>
      </c>
      <c r="R14" s="30">
        <f t="shared" si="7"/>
        <v>37.84</v>
      </c>
      <c r="S14" s="30"/>
      <c r="T14" s="30">
        <v>1.14</v>
      </c>
      <c r="U14" s="30">
        <v>1.38</v>
      </c>
      <c r="V14" s="30">
        <v>2.28</v>
      </c>
      <c r="W14" s="30">
        <v>1.49</v>
      </c>
      <c r="X14" s="30">
        <v>3.48</v>
      </c>
      <c r="Y14" s="30">
        <v>14.73</v>
      </c>
      <c r="Z14" s="30">
        <v>19.46</v>
      </c>
      <c r="AA14" s="30">
        <v>1.19</v>
      </c>
      <c r="AB14" s="30">
        <v>1.42</v>
      </c>
      <c r="AC14" s="30">
        <v>6.42</v>
      </c>
      <c r="AD14" s="30">
        <v>16.1</v>
      </c>
      <c r="AE14" s="30">
        <v>3</v>
      </c>
      <c r="AF14" s="30">
        <v>3.5</v>
      </c>
      <c r="AG14" s="30">
        <v>2.23</v>
      </c>
      <c r="AH14" s="30"/>
      <c r="AI14" s="28">
        <v>10.25</v>
      </c>
      <c r="AJ14" s="28">
        <v>36.35</v>
      </c>
      <c r="AK14" s="30">
        <v>76</v>
      </c>
      <c r="AL14" s="30">
        <v>10</v>
      </c>
      <c r="AM14" s="30">
        <v>20</v>
      </c>
      <c r="AN14" s="30">
        <v>20</v>
      </c>
      <c r="AO14" s="28">
        <v>214</v>
      </c>
      <c r="AP14" s="28">
        <f t="shared" si="8"/>
        <v>453</v>
      </c>
      <c r="AQ14" s="28">
        <f t="shared" si="9"/>
        <v>431</v>
      </c>
      <c r="AR14" s="30">
        <v>30</v>
      </c>
      <c r="AS14" s="30">
        <v>383</v>
      </c>
      <c r="AT14" s="30">
        <v>10</v>
      </c>
      <c r="AU14" s="30">
        <v>8</v>
      </c>
      <c r="AV14" s="30">
        <v>22</v>
      </c>
    </row>
    <row r="15" spans="1:48" ht="11.25">
      <c r="A15" s="12" t="s">
        <v>164</v>
      </c>
      <c r="B15" s="32">
        <v>13</v>
      </c>
      <c r="C15" s="28">
        <f t="shared" si="0"/>
        <v>301</v>
      </c>
      <c r="D15" s="28"/>
      <c r="E15" s="28"/>
      <c r="F15" s="30">
        <v>36</v>
      </c>
      <c r="G15" s="30">
        <v>265</v>
      </c>
      <c r="H15" s="30"/>
      <c r="I15" s="28">
        <f t="shared" si="1"/>
        <v>16</v>
      </c>
      <c r="J15" s="30">
        <v>2</v>
      </c>
      <c r="K15" s="30">
        <v>14</v>
      </c>
      <c r="L15" s="33"/>
      <c r="M15" s="28">
        <f t="shared" si="2"/>
        <v>60.33</v>
      </c>
      <c r="N15" s="30">
        <f t="shared" si="3"/>
        <v>43.08</v>
      </c>
      <c r="O15" s="30">
        <f t="shared" si="4"/>
        <v>4.7</v>
      </c>
      <c r="P15" s="30">
        <f t="shared" si="5"/>
        <v>13.399999999999999</v>
      </c>
      <c r="Q15" s="30">
        <f t="shared" si="6"/>
        <v>9.24</v>
      </c>
      <c r="R15" s="30">
        <f t="shared" si="7"/>
        <v>15.739999999999998</v>
      </c>
      <c r="S15" s="30"/>
      <c r="T15" s="30">
        <v>1.21</v>
      </c>
      <c r="U15" s="30"/>
      <c r="V15" s="30">
        <v>1.12</v>
      </c>
      <c r="W15" s="30">
        <v>4.7</v>
      </c>
      <c r="X15" s="30">
        <v>9.19</v>
      </c>
      <c r="Y15" s="30">
        <v>7.24</v>
      </c>
      <c r="Z15" s="30">
        <v>14.12</v>
      </c>
      <c r="AA15" s="30"/>
      <c r="AB15" s="30"/>
      <c r="AC15" s="30"/>
      <c r="AD15" s="30"/>
      <c r="AE15" s="30"/>
      <c r="AF15" s="30">
        <v>3</v>
      </c>
      <c r="AG15" s="30">
        <v>2</v>
      </c>
      <c r="AH15" s="30">
        <v>0.5</v>
      </c>
      <c r="AI15" s="28">
        <v>4.5</v>
      </c>
      <c r="AJ15" s="28">
        <v>12.75</v>
      </c>
      <c r="AK15" s="30">
        <v>18</v>
      </c>
      <c r="AL15" s="30">
        <v>3</v>
      </c>
      <c r="AM15" s="30">
        <v>40</v>
      </c>
      <c r="AN15" s="30"/>
      <c r="AO15" s="28">
        <v>145</v>
      </c>
      <c r="AP15" s="28">
        <f t="shared" si="8"/>
        <v>247</v>
      </c>
      <c r="AQ15" s="28">
        <f t="shared" si="9"/>
        <v>235</v>
      </c>
      <c r="AR15" s="30">
        <v>16</v>
      </c>
      <c r="AS15" s="30">
        <v>184</v>
      </c>
      <c r="AT15" s="30">
        <v>3</v>
      </c>
      <c r="AU15" s="30">
        <v>32</v>
      </c>
      <c r="AV15" s="30">
        <v>12</v>
      </c>
    </row>
    <row r="16" spans="1:48" ht="11.25">
      <c r="A16" s="12" t="s">
        <v>61</v>
      </c>
      <c r="B16" s="32">
        <v>14</v>
      </c>
      <c r="C16" s="28">
        <f t="shared" si="0"/>
        <v>324</v>
      </c>
      <c r="D16" s="28"/>
      <c r="E16" s="28"/>
      <c r="F16" s="30"/>
      <c r="G16" s="30">
        <v>155</v>
      </c>
      <c r="H16" s="30">
        <v>169</v>
      </c>
      <c r="I16" s="28">
        <f t="shared" si="1"/>
        <v>12</v>
      </c>
      <c r="J16" s="30"/>
      <c r="K16" s="30">
        <v>6</v>
      </c>
      <c r="L16" s="33">
        <v>6</v>
      </c>
      <c r="M16" s="28">
        <f t="shared" si="2"/>
        <v>56.14</v>
      </c>
      <c r="N16" s="30">
        <f t="shared" si="3"/>
        <v>39.39</v>
      </c>
      <c r="O16" s="30">
        <f t="shared" si="4"/>
        <v>0.67</v>
      </c>
      <c r="P16" s="30">
        <f t="shared" si="5"/>
        <v>9.379999999999999</v>
      </c>
      <c r="Q16" s="30">
        <f t="shared" si="6"/>
        <v>12.82</v>
      </c>
      <c r="R16" s="30">
        <f t="shared" si="7"/>
        <v>16.52</v>
      </c>
      <c r="S16" s="30"/>
      <c r="T16" s="30"/>
      <c r="U16" s="30"/>
      <c r="V16" s="30"/>
      <c r="W16" s="30">
        <v>0.67</v>
      </c>
      <c r="X16" s="30">
        <v>5.84</v>
      </c>
      <c r="Y16" s="30">
        <v>4.12</v>
      </c>
      <c r="Z16" s="30">
        <v>8.54</v>
      </c>
      <c r="AA16" s="30"/>
      <c r="AB16" s="30">
        <v>3.54</v>
      </c>
      <c r="AC16" s="30">
        <v>8.7</v>
      </c>
      <c r="AD16" s="30">
        <v>7.98</v>
      </c>
      <c r="AE16" s="30"/>
      <c r="AF16" s="30"/>
      <c r="AG16" s="30"/>
      <c r="AH16" s="30"/>
      <c r="AI16" s="28">
        <v>4.75</v>
      </c>
      <c r="AJ16" s="28">
        <v>12</v>
      </c>
      <c r="AK16" s="30"/>
      <c r="AL16" s="30"/>
      <c r="AM16" s="30">
        <v>10</v>
      </c>
      <c r="AN16" s="30">
        <v>20</v>
      </c>
      <c r="AO16" s="28"/>
      <c r="AP16" s="28">
        <f t="shared" si="8"/>
        <v>265</v>
      </c>
      <c r="AQ16" s="28">
        <f t="shared" si="9"/>
        <v>236</v>
      </c>
      <c r="AR16" s="30">
        <v>12</v>
      </c>
      <c r="AS16" s="30">
        <v>220</v>
      </c>
      <c r="AT16" s="30">
        <v>4</v>
      </c>
      <c r="AU16" s="30"/>
      <c r="AV16" s="30">
        <v>29</v>
      </c>
    </row>
    <row r="17" spans="1:48" ht="11.25">
      <c r="A17" s="12" t="s">
        <v>165</v>
      </c>
      <c r="B17" s="32">
        <v>16</v>
      </c>
      <c r="C17" s="28">
        <f t="shared" si="0"/>
        <v>426</v>
      </c>
      <c r="D17" s="28"/>
      <c r="E17" s="28"/>
      <c r="F17" s="30">
        <v>72</v>
      </c>
      <c r="G17" s="30">
        <v>354</v>
      </c>
      <c r="H17" s="30"/>
      <c r="I17" s="28">
        <f t="shared" si="1"/>
        <v>21</v>
      </c>
      <c r="J17" s="30">
        <v>3</v>
      </c>
      <c r="K17" s="30">
        <v>18</v>
      </c>
      <c r="L17" s="33"/>
      <c r="M17" s="28">
        <f t="shared" si="2"/>
        <v>61.989999999999995</v>
      </c>
      <c r="N17" s="30">
        <f t="shared" si="3"/>
        <v>43.989999999999995</v>
      </c>
      <c r="O17" s="30">
        <f t="shared" si="4"/>
        <v>0</v>
      </c>
      <c r="P17" s="30">
        <f t="shared" si="5"/>
        <v>8.549999999999999</v>
      </c>
      <c r="Q17" s="30">
        <f t="shared" si="6"/>
        <v>9.74</v>
      </c>
      <c r="R17" s="30">
        <f t="shared" si="7"/>
        <v>25.7</v>
      </c>
      <c r="S17" s="30"/>
      <c r="T17" s="30">
        <v>2.14</v>
      </c>
      <c r="U17" s="30">
        <v>0.86</v>
      </c>
      <c r="V17" s="30">
        <v>1.14</v>
      </c>
      <c r="W17" s="30"/>
      <c r="X17" s="30">
        <v>4.06</v>
      </c>
      <c r="Y17" s="30">
        <v>7.88</v>
      </c>
      <c r="Z17" s="30">
        <v>21.56</v>
      </c>
      <c r="AA17" s="30"/>
      <c r="AB17" s="30"/>
      <c r="AC17" s="30"/>
      <c r="AD17" s="30"/>
      <c r="AE17" s="30"/>
      <c r="AF17" s="30">
        <v>2.35</v>
      </c>
      <c r="AG17" s="30">
        <v>1</v>
      </c>
      <c r="AH17" s="30">
        <v>3</v>
      </c>
      <c r="AI17" s="28">
        <v>5</v>
      </c>
      <c r="AJ17" s="28">
        <v>13</v>
      </c>
      <c r="AK17" s="30">
        <v>12</v>
      </c>
      <c r="AL17" s="30">
        <v>2</v>
      </c>
      <c r="AM17" s="30">
        <v>20</v>
      </c>
      <c r="AN17" s="30"/>
      <c r="AO17" s="28">
        <v>210</v>
      </c>
      <c r="AP17" s="28">
        <f t="shared" si="8"/>
        <v>278</v>
      </c>
      <c r="AQ17" s="28">
        <f t="shared" si="9"/>
        <v>266</v>
      </c>
      <c r="AR17" s="30">
        <v>21</v>
      </c>
      <c r="AS17" s="30">
        <v>240</v>
      </c>
      <c r="AT17" s="30">
        <v>5</v>
      </c>
      <c r="AU17" s="30"/>
      <c r="AV17" s="30">
        <v>12</v>
      </c>
    </row>
    <row r="18" spans="1:48" ht="11.25">
      <c r="A18" s="12" t="s">
        <v>166</v>
      </c>
      <c r="B18" s="32">
        <v>17</v>
      </c>
      <c r="C18" s="28">
        <f t="shared" si="0"/>
        <v>473</v>
      </c>
      <c r="D18" s="28"/>
      <c r="E18" s="28"/>
      <c r="F18" s="30">
        <v>60</v>
      </c>
      <c r="G18" s="30">
        <v>413</v>
      </c>
      <c r="H18" s="30"/>
      <c r="I18" s="28">
        <f t="shared" si="1"/>
        <v>22</v>
      </c>
      <c r="J18" s="30">
        <v>3</v>
      </c>
      <c r="K18" s="30">
        <v>19</v>
      </c>
      <c r="L18" s="33"/>
      <c r="M18" s="28">
        <f t="shared" si="2"/>
        <v>60.63</v>
      </c>
      <c r="N18" s="30">
        <f t="shared" si="3"/>
        <v>41.730000000000004</v>
      </c>
      <c r="O18" s="30">
        <f t="shared" si="4"/>
        <v>0</v>
      </c>
      <c r="P18" s="30">
        <f t="shared" si="5"/>
        <v>6.639999999999999</v>
      </c>
      <c r="Q18" s="30">
        <f t="shared" si="6"/>
        <v>10.21</v>
      </c>
      <c r="R18" s="30">
        <f t="shared" si="7"/>
        <v>24.880000000000003</v>
      </c>
      <c r="S18" s="30"/>
      <c r="T18" s="30">
        <v>2.26</v>
      </c>
      <c r="U18" s="30">
        <v>1.13</v>
      </c>
      <c r="V18" s="30"/>
      <c r="W18" s="30"/>
      <c r="X18" s="30">
        <v>2.11</v>
      </c>
      <c r="Y18" s="30">
        <v>8.08</v>
      </c>
      <c r="Z18" s="30">
        <v>23.46</v>
      </c>
      <c r="AA18" s="30"/>
      <c r="AB18" s="30"/>
      <c r="AC18" s="30"/>
      <c r="AD18" s="30"/>
      <c r="AE18" s="30"/>
      <c r="AF18" s="30">
        <v>2.27</v>
      </c>
      <c r="AG18" s="30">
        <v>1</v>
      </c>
      <c r="AH18" s="30">
        <v>1.42</v>
      </c>
      <c r="AI18" s="28">
        <v>4.5</v>
      </c>
      <c r="AJ18" s="28">
        <v>14.4</v>
      </c>
      <c r="AK18" s="30">
        <v>31.3</v>
      </c>
      <c r="AL18" s="30">
        <v>6.3</v>
      </c>
      <c r="AM18" s="30">
        <v>20</v>
      </c>
      <c r="AN18" s="30"/>
      <c r="AO18" s="28">
        <v>186</v>
      </c>
      <c r="AP18" s="28">
        <f t="shared" si="8"/>
        <v>196</v>
      </c>
      <c r="AQ18" s="28">
        <f t="shared" si="9"/>
        <v>196</v>
      </c>
      <c r="AR18" s="30">
        <v>19</v>
      </c>
      <c r="AS18" s="30">
        <v>142</v>
      </c>
      <c r="AT18" s="30">
        <v>28</v>
      </c>
      <c r="AU18" s="30">
        <v>7</v>
      </c>
      <c r="AV18" s="30"/>
    </row>
    <row r="19" spans="1:48" ht="11.25">
      <c r="A19" s="12" t="s">
        <v>167</v>
      </c>
      <c r="B19" s="32">
        <v>18</v>
      </c>
      <c r="C19" s="28">
        <f t="shared" si="0"/>
        <v>769</v>
      </c>
      <c r="D19" s="28"/>
      <c r="E19" s="28"/>
      <c r="F19" s="30">
        <v>19</v>
      </c>
      <c r="G19" s="30">
        <v>750</v>
      </c>
      <c r="H19" s="30"/>
      <c r="I19" s="28">
        <f t="shared" si="1"/>
        <v>31</v>
      </c>
      <c r="J19" s="30">
        <v>1</v>
      </c>
      <c r="K19" s="30">
        <v>30</v>
      </c>
      <c r="L19" s="33"/>
      <c r="M19" s="28">
        <f t="shared" si="2"/>
        <v>91.22</v>
      </c>
      <c r="N19" s="30">
        <f t="shared" si="3"/>
        <v>67.22</v>
      </c>
      <c r="O19" s="30">
        <f t="shared" si="4"/>
        <v>0.72</v>
      </c>
      <c r="P19" s="30">
        <f t="shared" si="5"/>
        <v>5.97</v>
      </c>
      <c r="Q19" s="30">
        <f t="shared" si="6"/>
        <v>19.82</v>
      </c>
      <c r="R19" s="30">
        <f t="shared" si="7"/>
        <v>40.71</v>
      </c>
      <c r="S19" s="30"/>
      <c r="T19" s="30"/>
      <c r="U19" s="30">
        <v>1</v>
      </c>
      <c r="V19" s="30"/>
      <c r="W19" s="30">
        <v>0.72</v>
      </c>
      <c r="X19" s="30">
        <v>4.97</v>
      </c>
      <c r="Y19" s="30">
        <v>13.82</v>
      </c>
      <c r="Z19" s="30">
        <v>38.71</v>
      </c>
      <c r="AA19" s="30"/>
      <c r="AB19" s="30"/>
      <c r="AC19" s="30"/>
      <c r="AD19" s="30"/>
      <c r="AE19" s="30"/>
      <c r="AF19" s="30">
        <v>1</v>
      </c>
      <c r="AG19" s="30">
        <v>5</v>
      </c>
      <c r="AH19" s="30">
        <v>2</v>
      </c>
      <c r="AI19" s="28">
        <v>4.5</v>
      </c>
      <c r="AJ19" s="28">
        <v>19.5</v>
      </c>
      <c r="AK19" s="30"/>
      <c r="AL19" s="30"/>
      <c r="AM19" s="30">
        <v>80</v>
      </c>
      <c r="AN19" s="30"/>
      <c r="AO19" s="28">
        <v>211</v>
      </c>
      <c r="AP19" s="28">
        <f t="shared" si="8"/>
        <v>389</v>
      </c>
      <c r="AQ19" s="28">
        <f t="shared" si="9"/>
        <v>385</v>
      </c>
      <c r="AR19" s="30">
        <v>31</v>
      </c>
      <c r="AS19" s="30">
        <v>347</v>
      </c>
      <c r="AT19" s="30">
        <v>7</v>
      </c>
      <c r="AU19" s="30"/>
      <c r="AV19" s="30">
        <v>4</v>
      </c>
    </row>
    <row r="20" spans="1:48" ht="11.25">
      <c r="A20" s="12" t="s">
        <v>168</v>
      </c>
      <c r="B20" s="32" t="s">
        <v>64</v>
      </c>
      <c r="C20" s="28">
        <f t="shared" si="0"/>
        <v>239</v>
      </c>
      <c r="D20" s="28"/>
      <c r="E20" s="28"/>
      <c r="F20" s="30"/>
      <c r="G20" s="30"/>
      <c r="H20" s="30">
        <v>239</v>
      </c>
      <c r="I20" s="28">
        <f t="shared" si="1"/>
        <v>10</v>
      </c>
      <c r="J20" s="30"/>
      <c r="K20" s="30"/>
      <c r="L20" s="33">
        <v>10</v>
      </c>
      <c r="M20" s="28">
        <f t="shared" si="2"/>
        <v>43.18</v>
      </c>
      <c r="N20" s="30">
        <f t="shared" si="3"/>
        <v>28.18</v>
      </c>
      <c r="O20" s="30">
        <f t="shared" si="4"/>
        <v>0</v>
      </c>
      <c r="P20" s="30">
        <f t="shared" si="5"/>
        <v>4.32</v>
      </c>
      <c r="Q20" s="30">
        <f t="shared" si="6"/>
        <v>9.53</v>
      </c>
      <c r="R20" s="30">
        <f t="shared" si="7"/>
        <v>14.33</v>
      </c>
      <c r="S20" s="30"/>
      <c r="T20" s="30"/>
      <c r="U20" s="30"/>
      <c r="V20" s="30"/>
      <c r="W20" s="30"/>
      <c r="X20" s="30"/>
      <c r="Y20" s="30"/>
      <c r="Z20" s="30"/>
      <c r="AA20" s="30"/>
      <c r="AB20" s="30">
        <v>4.32</v>
      </c>
      <c r="AC20" s="30">
        <v>9.53</v>
      </c>
      <c r="AD20" s="30">
        <v>14.33</v>
      </c>
      <c r="AE20" s="30"/>
      <c r="AF20" s="30"/>
      <c r="AG20" s="30"/>
      <c r="AH20" s="30"/>
      <c r="AI20" s="28">
        <v>4.5</v>
      </c>
      <c r="AJ20" s="28">
        <v>10.5</v>
      </c>
      <c r="AK20" s="30">
        <v>52</v>
      </c>
      <c r="AL20" s="30">
        <v>5</v>
      </c>
      <c r="AM20" s="30">
        <v>10</v>
      </c>
      <c r="AN20" s="30">
        <v>10</v>
      </c>
      <c r="AO20" s="28"/>
      <c r="AP20" s="28">
        <f t="shared" si="8"/>
        <v>83</v>
      </c>
      <c r="AQ20" s="28">
        <f t="shared" si="9"/>
        <v>77</v>
      </c>
      <c r="AR20" s="30">
        <v>14</v>
      </c>
      <c r="AS20" s="30">
        <v>48</v>
      </c>
      <c r="AT20" s="30">
        <v>15</v>
      </c>
      <c r="AU20" s="30"/>
      <c r="AV20" s="30">
        <v>6</v>
      </c>
    </row>
    <row r="21" spans="1:48" ht="11.25">
      <c r="A21" s="12" t="s">
        <v>169</v>
      </c>
      <c r="B21" s="32">
        <v>20</v>
      </c>
      <c r="C21" s="28">
        <f t="shared" si="0"/>
        <v>608</v>
      </c>
      <c r="D21" s="28"/>
      <c r="E21" s="28"/>
      <c r="F21" s="30">
        <v>68</v>
      </c>
      <c r="G21" s="30">
        <v>540</v>
      </c>
      <c r="H21" s="30"/>
      <c r="I21" s="28">
        <f t="shared" si="1"/>
        <v>25</v>
      </c>
      <c r="J21" s="30">
        <v>3</v>
      </c>
      <c r="K21" s="30">
        <v>22</v>
      </c>
      <c r="L21" s="33"/>
      <c r="M21" s="28">
        <f t="shared" si="2"/>
        <v>67.35</v>
      </c>
      <c r="N21" s="30">
        <f t="shared" si="3"/>
        <v>47.209999999999994</v>
      </c>
      <c r="O21" s="30">
        <f t="shared" si="4"/>
        <v>4</v>
      </c>
      <c r="P21" s="30">
        <f t="shared" si="5"/>
        <v>12.11</v>
      </c>
      <c r="Q21" s="30">
        <f t="shared" si="6"/>
        <v>11.29</v>
      </c>
      <c r="R21" s="30">
        <f t="shared" si="7"/>
        <v>19.81</v>
      </c>
      <c r="S21" s="30"/>
      <c r="T21" s="30">
        <v>3.14</v>
      </c>
      <c r="U21" s="30">
        <v>0.29</v>
      </c>
      <c r="V21" s="30">
        <v>0.14</v>
      </c>
      <c r="W21" s="30">
        <v>2</v>
      </c>
      <c r="X21" s="30">
        <v>6.12</v>
      </c>
      <c r="Y21" s="30">
        <v>11</v>
      </c>
      <c r="Z21" s="30">
        <v>18.52</v>
      </c>
      <c r="AA21" s="30"/>
      <c r="AB21" s="30"/>
      <c r="AC21" s="30"/>
      <c r="AD21" s="30"/>
      <c r="AE21" s="30">
        <v>2</v>
      </c>
      <c r="AF21" s="30">
        <v>2.85</v>
      </c>
      <c r="AG21" s="30"/>
      <c r="AH21" s="30">
        <v>1.15</v>
      </c>
      <c r="AI21" s="28">
        <v>5.64</v>
      </c>
      <c r="AJ21" s="28">
        <v>14.5</v>
      </c>
      <c r="AK21" s="30">
        <v>8</v>
      </c>
      <c r="AL21" s="30">
        <v>1</v>
      </c>
      <c r="AM21" s="30">
        <v>20</v>
      </c>
      <c r="AN21" s="30"/>
      <c r="AO21" s="28">
        <v>270</v>
      </c>
      <c r="AP21" s="28">
        <f t="shared" si="8"/>
        <v>206</v>
      </c>
      <c r="AQ21" s="28">
        <f t="shared" si="9"/>
        <v>206</v>
      </c>
      <c r="AR21" s="30">
        <v>20</v>
      </c>
      <c r="AS21" s="30">
        <v>180</v>
      </c>
      <c r="AT21" s="30">
        <v>5</v>
      </c>
      <c r="AU21" s="30">
        <v>1</v>
      </c>
      <c r="AV21" s="30"/>
    </row>
    <row r="22" spans="1:48" ht="11.25">
      <c r="A22" s="12" t="s">
        <v>170</v>
      </c>
      <c r="B22" s="32">
        <v>21</v>
      </c>
      <c r="C22" s="28">
        <f t="shared" si="0"/>
        <v>452</v>
      </c>
      <c r="D22" s="28"/>
      <c r="E22" s="28"/>
      <c r="F22" s="30">
        <v>26</v>
      </c>
      <c r="G22" s="30">
        <v>426</v>
      </c>
      <c r="H22" s="30"/>
      <c r="I22" s="28">
        <f t="shared" si="1"/>
        <v>22</v>
      </c>
      <c r="J22" s="30">
        <v>1</v>
      </c>
      <c r="K22" s="30">
        <v>21</v>
      </c>
      <c r="L22" s="33"/>
      <c r="M22" s="28">
        <f t="shared" si="2"/>
        <v>70.298</v>
      </c>
      <c r="N22" s="30">
        <f t="shared" si="3"/>
        <v>49.798</v>
      </c>
      <c r="O22" s="30">
        <f t="shared" si="4"/>
        <v>1</v>
      </c>
      <c r="P22" s="30">
        <f t="shared" si="5"/>
        <v>11.106</v>
      </c>
      <c r="Q22" s="30">
        <f t="shared" si="6"/>
        <v>10.692</v>
      </c>
      <c r="R22" s="30">
        <f t="shared" si="7"/>
        <v>27</v>
      </c>
      <c r="S22" s="30"/>
      <c r="T22" s="30">
        <v>0.273</v>
      </c>
      <c r="U22" s="30">
        <v>1.136</v>
      </c>
      <c r="V22" s="30"/>
      <c r="W22" s="30">
        <v>1</v>
      </c>
      <c r="X22" s="30">
        <v>7.333</v>
      </c>
      <c r="Y22" s="30">
        <v>6.556</v>
      </c>
      <c r="Z22" s="30">
        <v>26.5</v>
      </c>
      <c r="AA22" s="30"/>
      <c r="AB22" s="30"/>
      <c r="AC22" s="30"/>
      <c r="AD22" s="30"/>
      <c r="AE22" s="30"/>
      <c r="AF22" s="30">
        <v>3.5</v>
      </c>
      <c r="AG22" s="30">
        <v>3</v>
      </c>
      <c r="AH22" s="30">
        <v>0.5</v>
      </c>
      <c r="AI22" s="28">
        <v>5</v>
      </c>
      <c r="AJ22" s="28">
        <v>15.5</v>
      </c>
      <c r="AK22" s="30">
        <v>12</v>
      </c>
      <c r="AL22" s="30">
        <v>3</v>
      </c>
      <c r="AM22" s="30">
        <v>20</v>
      </c>
      <c r="AN22" s="30"/>
      <c r="AO22" s="28">
        <v>265</v>
      </c>
      <c r="AP22" s="28">
        <f t="shared" si="8"/>
        <v>263</v>
      </c>
      <c r="AQ22" s="28">
        <f t="shared" si="9"/>
        <v>254</v>
      </c>
      <c r="AR22" s="30">
        <v>21</v>
      </c>
      <c r="AS22" s="30">
        <v>220</v>
      </c>
      <c r="AT22" s="30">
        <v>13</v>
      </c>
      <c r="AU22" s="30"/>
      <c r="AV22" s="30">
        <v>9</v>
      </c>
    </row>
    <row r="23" spans="1:48" ht="11.25">
      <c r="A23" s="12" t="s">
        <v>171</v>
      </c>
      <c r="B23" s="32">
        <v>23</v>
      </c>
      <c r="C23" s="28">
        <f t="shared" si="0"/>
        <v>298</v>
      </c>
      <c r="D23" s="28"/>
      <c r="E23" s="28"/>
      <c r="F23" s="30">
        <v>44</v>
      </c>
      <c r="G23" s="30">
        <v>254</v>
      </c>
      <c r="H23" s="30"/>
      <c r="I23" s="28">
        <f t="shared" si="1"/>
        <v>16</v>
      </c>
      <c r="J23" s="30">
        <v>2</v>
      </c>
      <c r="K23" s="30">
        <v>14</v>
      </c>
      <c r="L23" s="33"/>
      <c r="M23" s="28">
        <f t="shared" si="2"/>
        <v>60.239999999999995</v>
      </c>
      <c r="N23" s="30">
        <f t="shared" si="3"/>
        <v>42.239999999999995</v>
      </c>
      <c r="O23" s="30">
        <f t="shared" si="4"/>
        <v>2</v>
      </c>
      <c r="P23" s="30">
        <f t="shared" si="5"/>
        <v>8.31</v>
      </c>
      <c r="Q23" s="30">
        <f t="shared" si="6"/>
        <v>12.23</v>
      </c>
      <c r="R23" s="30">
        <f t="shared" si="7"/>
        <v>19.7</v>
      </c>
      <c r="S23" s="30">
        <v>1</v>
      </c>
      <c r="T23" s="30"/>
      <c r="U23" s="30">
        <v>0.09</v>
      </c>
      <c r="V23" s="30">
        <v>2.39</v>
      </c>
      <c r="W23" s="30">
        <v>0.43</v>
      </c>
      <c r="X23" s="30">
        <v>7.79</v>
      </c>
      <c r="Y23" s="30">
        <v>9.43</v>
      </c>
      <c r="Z23" s="30">
        <v>15.72</v>
      </c>
      <c r="AA23" s="30"/>
      <c r="AB23" s="30"/>
      <c r="AC23" s="30"/>
      <c r="AD23" s="30"/>
      <c r="AE23" s="30">
        <v>0.57</v>
      </c>
      <c r="AF23" s="30">
        <v>0.52</v>
      </c>
      <c r="AG23" s="30">
        <v>2.71</v>
      </c>
      <c r="AH23" s="30">
        <v>1.59</v>
      </c>
      <c r="AI23" s="28">
        <v>4.5</v>
      </c>
      <c r="AJ23" s="28">
        <v>13.5</v>
      </c>
      <c r="AK23" s="30">
        <v>62.25</v>
      </c>
      <c r="AL23" s="30">
        <v>8.16</v>
      </c>
      <c r="AM23" s="30">
        <v>20</v>
      </c>
      <c r="AN23" s="30">
        <v>20</v>
      </c>
      <c r="AO23" s="28">
        <v>150</v>
      </c>
      <c r="AP23" s="28">
        <f t="shared" si="8"/>
        <v>174</v>
      </c>
      <c r="AQ23" s="28">
        <f t="shared" si="9"/>
        <v>166</v>
      </c>
      <c r="AR23" s="30">
        <v>22</v>
      </c>
      <c r="AS23" s="30">
        <v>107</v>
      </c>
      <c r="AT23" s="30">
        <v>37</v>
      </c>
      <c r="AU23" s="30"/>
      <c r="AV23" s="30">
        <v>8</v>
      </c>
    </row>
    <row r="24" spans="1:48" ht="11.25">
      <c r="A24" s="12" t="s">
        <v>172</v>
      </c>
      <c r="B24" s="32">
        <v>26</v>
      </c>
      <c r="C24" s="28">
        <f t="shared" si="0"/>
        <v>259</v>
      </c>
      <c r="D24" s="28"/>
      <c r="E24" s="28"/>
      <c r="F24" s="30">
        <v>44</v>
      </c>
      <c r="G24" s="30">
        <v>215</v>
      </c>
      <c r="H24" s="30"/>
      <c r="I24" s="28">
        <f t="shared" si="1"/>
        <v>14</v>
      </c>
      <c r="J24" s="30">
        <v>2</v>
      </c>
      <c r="K24" s="30">
        <v>12</v>
      </c>
      <c r="L24" s="33"/>
      <c r="M24" s="28">
        <f t="shared" si="2"/>
        <v>49.21</v>
      </c>
      <c r="N24" s="30">
        <f t="shared" si="3"/>
        <v>30.96</v>
      </c>
      <c r="O24" s="30">
        <f t="shared" si="4"/>
        <v>0</v>
      </c>
      <c r="P24" s="30">
        <f t="shared" si="5"/>
        <v>3.1100000000000003</v>
      </c>
      <c r="Q24" s="30">
        <f t="shared" si="6"/>
        <v>7.17</v>
      </c>
      <c r="R24" s="30">
        <f t="shared" si="7"/>
        <v>20.68</v>
      </c>
      <c r="S24" s="30"/>
      <c r="T24" s="30"/>
      <c r="U24" s="30"/>
      <c r="V24" s="30">
        <v>2.14</v>
      </c>
      <c r="W24" s="30"/>
      <c r="X24" s="30">
        <v>1.11</v>
      </c>
      <c r="Y24" s="30">
        <v>6.17</v>
      </c>
      <c r="Z24" s="30">
        <v>16.54</v>
      </c>
      <c r="AA24" s="30"/>
      <c r="AB24" s="30"/>
      <c r="AC24" s="30"/>
      <c r="AD24" s="30"/>
      <c r="AE24" s="30"/>
      <c r="AF24" s="30">
        <v>2</v>
      </c>
      <c r="AG24" s="30">
        <v>1</v>
      </c>
      <c r="AH24" s="30">
        <v>2</v>
      </c>
      <c r="AI24" s="28">
        <v>4.5</v>
      </c>
      <c r="AJ24" s="28">
        <v>13.75</v>
      </c>
      <c r="AK24" s="30">
        <v>28</v>
      </c>
      <c r="AL24" s="30">
        <v>6</v>
      </c>
      <c r="AM24" s="30">
        <v>20</v>
      </c>
      <c r="AN24" s="30"/>
      <c r="AO24" s="28">
        <v>111</v>
      </c>
      <c r="AP24" s="28">
        <f t="shared" si="8"/>
        <v>172</v>
      </c>
      <c r="AQ24" s="28">
        <f t="shared" si="9"/>
        <v>167</v>
      </c>
      <c r="AR24" s="30">
        <v>13</v>
      </c>
      <c r="AS24" s="30">
        <v>143</v>
      </c>
      <c r="AT24" s="30">
        <v>7</v>
      </c>
      <c r="AU24" s="30">
        <v>4</v>
      </c>
      <c r="AV24" s="30">
        <v>5</v>
      </c>
    </row>
    <row r="25" spans="1:48" ht="11.25">
      <c r="A25" s="12" t="s">
        <v>173</v>
      </c>
      <c r="B25" s="32" t="s">
        <v>65</v>
      </c>
      <c r="C25" s="28">
        <f t="shared" si="0"/>
        <v>416</v>
      </c>
      <c r="D25" s="28"/>
      <c r="E25" s="28"/>
      <c r="F25" s="30"/>
      <c r="G25" s="30"/>
      <c r="H25" s="30">
        <v>416</v>
      </c>
      <c r="I25" s="28">
        <f t="shared" si="1"/>
        <v>15</v>
      </c>
      <c r="J25" s="30"/>
      <c r="K25" s="30"/>
      <c r="L25" s="33">
        <v>15</v>
      </c>
      <c r="M25" s="28">
        <f t="shared" si="2"/>
        <v>53.89</v>
      </c>
      <c r="N25" s="30">
        <f t="shared" si="3"/>
        <v>39.39</v>
      </c>
      <c r="O25" s="30">
        <f t="shared" si="4"/>
        <v>0</v>
      </c>
      <c r="P25" s="30">
        <f t="shared" si="5"/>
        <v>6.24</v>
      </c>
      <c r="Q25" s="30">
        <f t="shared" si="6"/>
        <v>5.78</v>
      </c>
      <c r="R25" s="30">
        <f t="shared" si="7"/>
        <v>27.37</v>
      </c>
      <c r="S25" s="30"/>
      <c r="T25" s="30"/>
      <c r="U25" s="30"/>
      <c r="V25" s="30"/>
      <c r="W25" s="30"/>
      <c r="X25" s="30"/>
      <c r="Y25" s="30"/>
      <c r="Z25" s="30"/>
      <c r="AA25" s="30"/>
      <c r="AB25" s="30">
        <v>6.24</v>
      </c>
      <c r="AC25" s="30">
        <v>5.78</v>
      </c>
      <c r="AD25" s="30">
        <v>27.37</v>
      </c>
      <c r="AE25" s="30"/>
      <c r="AF25" s="30"/>
      <c r="AG25" s="30"/>
      <c r="AH25" s="30"/>
      <c r="AI25" s="28">
        <v>4.5</v>
      </c>
      <c r="AJ25" s="28">
        <v>10</v>
      </c>
      <c r="AK25" s="30"/>
      <c r="AL25" s="30"/>
      <c r="AM25" s="30">
        <v>20</v>
      </c>
      <c r="AN25" s="30">
        <v>10</v>
      </c>
      <c r="AO25" s="28"/>
      <c r="AP25" s="28">
        <f t="shared" si="8"/>
        <v>90</v>
      </c>
      <c r="AQ25" s="28">
        <f t="shared" si="9"/>
        <v>90</v>
      </c>
      <c r="AR25" s="30">
        <v>15</v>
      </c>
      <c r="AS25" s="30">
        <v>67</v>
      </c>
      <c r="AT25" s="30">
        <v>8</v>
      </c>
      <c r="AU25" s="30"/>
      <c r="AV25" s="30"/>
    </row>
    <row r="26" spans="1:48" ht="11.25">
      <c r="A26" s="12" t="s">
        <v>174</v>
      </c>
      <c r="B26" s="32">
        <v>28</v>
      </c>
      <c r="C26" s="28">
        <f t="shared" si="0"/>
        <v>249</v>
      </c>
      <c r="D26" s="28"/>
      <c r="E26" s="28"/>
      <c r="F26" s="30"/>
      <c r="G26" s="30">
        <v>249</v>
      </c>
      <c r="H26" s="30"/>
      <c r="I26" s="28">
        <f t="shared" si="1"/>
        <v>15</v>
      </c>
      <c r="J26" s="30"/>
      <c r="K26" s="30">
        <v>15</v>
      </c>
      <c r="L26" s="33"/>
      <c r="M26" s="28">
        <f t="shared" si="2"/>
        <v>67.39</v>
      </c>
      <c r="N26" s="30">
        <f t="shared" si="3"/>
        <v>47.89</v>
      </c>
      <c r="O26" s="30">
        <f t="shared" si="4"/>
        <v>1.61</v>
      </c>
      <c r="P26" s="30">
        <f t="shared" si="5"/>
        <v>9.15</v>
      </c>
      <c r="Q26" s="30">
        <f t="shared" si="6"/>
        <v>11.7</v>
      </c>
      <c r="R26" s="30">
        <f t="shared" si="7"/>
        <v>25.43</v>
      </c>
      <c r="S26" s="30"/>
      <c r="T26" s="30"/>
      <c r="U26" s="30"/>
      <c r="V26" s="30"/>
      <c r="W26" s="30">
        <v>1.61</v>
      </c>
      <c r="X26" s="30">
        <v>8.15</v>
      </c>
      <c r="Y26" s="30">
        <v>10.53</v>
      </c>
      <c r="Z26" s="30">
        <v>24.43</v>
      </c>
      <c r="AA26" s="30"/>
      <c r="AB26" s="30"/>
      <c r="AC26" s="30"/>
      <c r="AD26" s="30"/>
      <c r="AE26" s="30"/>
      <c r="AF26" s="30">
        <v>1</v>
      </c>
      <c r="AG26" s="30">
        <v>1.17</v>
      </c>
      <c r="AH26" s="30">
        <v>1</v>
      </c>
      <c r="AI26" s="28">
        <v>5</v>
      </c>
      <c r="AJ26" s="28">
        <v>14.5</v>
      </c>
      <c r="AK26" s="30">
        <v>23</v>
      </c>
      <c r="AL26" s="30">
        <v>3</v>
      </c>
      <c r="AM26" s="30">
        <v>20</v>
      </c>
      <c r="AN26" s="30"/>
      <c r="AO26" s="28">
        <v>91</v>
      </c>
      <c r="AP26" s="28">
        <f t="shared" si="8"/>
        <v>169</v>
      </c>
      <c r="AQ26" s="28">
        <f t="shared" si="9"/>
        <v>160</v>
      </c>
      <c r="AR26" s="30">
        <v>12</v>
      </c>
      <c r="AS26" s="30">
        <v>141</v>
      </c>
      <c r="AT26" s="30"/>
      <c r="AU26" s="30">
        <v>7</v>
      </c>
      <c r="AV26" s="30">
        <v>9</v>
      </c>
    </row>
    <row r="27" spans="1:48" ht="11.25">
      <c r="A27" s="12" t="s">
        <v>175</v>
      </c>
      <c r="B27" s="32">
        <v>29</v>
      </c>
      <c r="C27" s="28">
        <f t="shared" si="0"/>
        <v>347</v>
      </c>
      <c r="D27" s="28"/>
      <c r="E27" s="28"/>
      <c r="F27" s="30">
        <v>45</v>
      </c>
      <c r="G27" s="30">
        <v>302</v>
      </c>
      <c r="H27" s="30"/>
      <c r="I27" s="28">
        <f t="shared" si="1"/>
        <v>16</v>
      </c>
      <c r="J27" s="30">
        <v>2</v>
      </c>
      <c r="K27" s="30">
        <v>14</v>
      </c>
      <c r="L27" s="33"/>
      <c r="M27" s="28">
        <f t="shared" si="2"/>
        <v>53.11</v>
      </c>
      <c r="N27" s="30">
        <f t="shared" si="3"/>
        <v>33.86</v>
      </c>
      <c r="O27" s="30">
        <f t="shared" si="4"/>
        <v>0.61</v>
      </c>
      <c r="P27" s="30">
        <f t="shared" si="5"/>
        <v>5.89</v>
      </c>
      <c r="Q27" s="30">
        <f t="shared" si="6"/>
        <v>10.249999999999998</v>
      </c>
      <c r="R27" s="30">
        <f t="shared" si="7"/>
        <v>17.11</v>
      </c>
      <c r="S27" s="30"/>
      <c r="T27" s="30">
        <v>1.14</v>
      </c>
      <c r="U27" s="30">
        <v>1.09</v>
      </c>
      <c r="V27" s="30"/>
      <c r="W27" s="30">
        <v>0.61</v>
      </c>
      <c r="X27" s="30">
        <v>3.59</v>
      </c>
      <c r="Y27" s="30">
        <v>8.54</v>
      </c>
      <c r="Z27" s="30">
        <v>14.12</v>
      </c>
      <c r="AA27" s="30"/>
      <c r="AB27" s="30"/>
      <c r="AC27" s="30"/>
      <c r="AD27" s="30"/>
      <c r="AE27" s="30"/>
      <c r="AF27" s="30">
        <v>1.16</v>
      </c>
      <c r="AG27" s="30">
        <v>0.62</v>
      </c>
      <c r="AH27" s="30">
        <v>2.99</v>
      </c>
      <c r="AI27" s="28">
        <v>5</v>
      </c>
      <c r="AJ27" s="28">
        <v>14.25</v>
      </c>
      <c r="AK27" s="30">
        <v>20</v>
      </c>
      <c r="AL27" s="30">
        <v>3</v>
      </c>
      <c r="AM27" s="30">
        <v>23</v>
      </c>
      <c r="AN27" s="30"/>
      <c r="AO27" s="28">
        <v>117</v>
      </c>
      <c r="AP27" s="28">
        <f t="shared" si="8"/>
        <v>199</v>
      </c>
      <c r="AQ27" s="28">
        <f t="shared" si="9"/>
        <v>180</v>
      </c>
      <c r="AR27" s="30">
        <v>14</v>
      </c>
      <c r="AS27" s="30">
        <v>116</v>
      </c>
      <c r="AT27" s="30">
        <v>37</v>
      </c>
      <c r="AU27" s="30">
        <v>13</v>
      </c>
      <c r="AV27" s="30">
        <v>19</v>
      </c>
    </row>
    <row r="28" spans="1:48" ht="11.25">
      <c r="A28" s="12" t="s">
        <v>176</v>
      </c>
      <c r="B28" s="32">
        <v>31</v>
      </c>
      <c r="C28" s="28">
        <f t="shared" si="0"/>
        <v>945</v>
      </c>
      <c r="D28" s="28"/>
      <c r="E28" s="28"/>
      <c r="F28" s="30">
        <v>107</v>
      </c>
      <c r="G28" s="30">
        <v>511</v>
      </c>
      <c r="H28" s="30">
        <v>327</v>
      </c>
      <c r="I28" s="28">
        <f t="shared" si="1"/>
        <v>40</v>
      </c>
      <c r="J28" s="30">
        <v>4</v>
      </c>
      <c r="K28" s="30">
        <v>22</v>
      </c>
      <c r="L28" s="33">
        <v>14</v>
      </c>
      <c r="M28" s="28">
        <f t="shared" si="2"/>
        <v>133.67000000000002</v>
      </c>
      <c r="N28" s="30">
        <f t="shared" si="3"/>
        <v>95.42</v>
      </c>
      <c r="O28" s="30">
        <f t="shared" si="4"/>
        <v>0.78</v>
      </c>
      <c r="P28" s="30">
        <f t="shared" si="5"/>
        <v>14.459999999999999</v>
      </c>
      <c r="Q28" s="30">
        <f t="shared" si="6"/>
        <v>30.240000000000002</v>
      </c>
      <c r="R28" s="30">
        <f t="shared" si="7"/>
        <v>49.94</v>
      </c>
      <c r="S28" s="30"/>
      <c r="T28" s="30">
        <v>1.19</v>
      </c>
      <c r="U28" s="30">
        <v>2.35</v>
      </c>
      <c r="V28" s="30">
        <v>1.14</v>
      </c>
      <c r="W28" s="30">
        <v>0.22</v>
      </c>
      <c r="X28" s="30">
        <v>3.44</v>
      </c>
      <c r="Y28" s="30">
        <v>13.62</v>
      </c>
      <c r="Z28" s="30">
        <v>28.11</v>
      </c>
      <c r="AA28" s="30">
        <v>0.56</v>
      </c>
      <c r="AB28" s="30">
        <v>8.33</v>
      </c>
      <c r="AC28" s="30">
        <v>10.77</v>
      </c>
      <c r="AD28" s="30">
        <v>18.61</v>
      </c>
      <c r="AE28" s="30"/>
      <c r="AF28" s="30">
        <v>1.5</v>
      </c>
      <c r="AG28" s="30">
        <v>3.5</v>
      </c>
      <c r="AH28" s="30">
        <v>2.08</v>
      </c>
      <c r="AI28" s="28">
        <v>7.75</v>
      </c>
      <c r="AJ28" s="28">
        <v>30.5</v>
      </c>
      <c r="AK28" s="30">
        <v>71</v>
      </c>
      <c r="AL28" s="30">
        <v>8</v>
      </c>
      <c r="AM28" s="30">
        <v>20</v>
      </c>
      <c r="AN28" s="30">
        <v>20</v>
      </c>
      <c r="AO28" s="28">
        <v>150</v>
      </c>
      <c r="AP28" s="28">
        <f t="shared" si="8"/>
        <v>399</v>
      </c>
      <c r="AQ28" s="28">
        <f t="shared" si="9"/>
        <v>374</v>
      </c>
      <c r="AR28" s="30">
        <v>55</v>
      </c>
      <c r="AS28" s="30">
        <v>263</v>
      </c>
      <c r="AT28" s="30">
        <v>38</v>
      </c>
      <c r="AU28" s="30">
        <v>18</v>
      </c>
      <c r="AV28" s="30">
        <v>25</v>
      </c>
    </row>
    <row r="29" spans="1:48" ht="11.25">
      <c r="A29" s="12" t="s">
        <v>177</v>
      </c>
      <c r="B29" s="32">
        <v>33</v>
      </c>
      <c r="C29" s="28">
        <f t="shared" si="0"/>
        <v>621.34</v>
      </c>
      <c r="D29" s="28"/>
      <c r="E29" s="28"/>
      <c r="F29" s="30">
        <v>16.34</v>
      </c>
      <c r="G29" s="30">
        <v>605</v>
      </c>
      <c r="H29" s="30"/>
      <c r="I29" s="28">
        <f t="shared" si="1"/>
        <v>26.340000000000003</v>
      </c>
      <c r="J29" s="30">
        <v>0.67</v>
      </c>
      <c r="K29" s="30">
        <v>25.67</v>
      </c>
      <c r="L29" s="33"/>
      <c r="M29" s="28">
        <f t="shared" si="2"/>
        <v>71.43</v>
      </c>
      <c r="N29" s="30">
        <f t="shared" si="3"/>
        <v>51.68</v>
      </c>
      <c r="O29" s="30">
        <f t="shared" si="4"/>
        <v>1</v>
      </c>
      <c r="P29" s="30">
        <f t="shared" si="5"/>
        <v>6.23</v>
      </c>
      <c r="Q29" s="30">
        <f t="shared" si="6"/>
        <v>12.95</v>
      </c>
      <c r="R29" s="30">
        <f t="shared" si="7"/>
        <v>31.5</v>
      </c>
      <c r="S29" s="30"/>
      <c r="T29" s="30"/>
      <c r="U29" s="30">
        <v>1</v>
      </c>
      <c r="V29" s="30">
        <v>1</v>
      </c>
      <c r="W29" s="30"/>
      <c r="X29" s="30">
        <v>5.23</v>
      </c>
      <c r="Y29" s="30">
        <v>9.95</v>
      </c>
      <c r="Z29" s="30">
        <v>29.5</v>
      </c>
      <c r="AA29" s="30"/>
      <c r="AB29" s="30"/>
      <c r="AC29" s="30"/>
      <c r="AD29" s="30"/>
      <c r="AE29" s="30">
        <v>1</v>
      </c>
      <c r="AF29" s="30">
        <v>1</v>
      </c>
      <c r="AG29" s="30">
        <v>2</v>
      </c>
      <c r="AH29" s="30">
        <v>1</v>
      </c>
      <c r="AI29" s="28">
        <v>5.5</v>
      </c>
      <c r="AJ29" s="28">
        <v>14.25</v>
      </c>
      <c r="AK29" s="30">
        <v>21.33</v>
      </c>
      <c r="AL29" s="30">
        <v>3</v>
      </c>
      <c r="AM29" s="30">
        <v>20</v>
      </c>
      <c r="AN29" s="30"/>
      <c r="AO29" s="28">
        <v>126</v>
      </c>
      <c r="AP29" s="28">
        <f t="shared" si="8"/>
        <v>264</v>
      </c>
      <c r="AQ29" s="28">
        <f t="shared" si="9"/>
        <v>264</v>
      </c>
      <c r="AR29" s="30">
        <v>24</v>
      </c>
      <c r="AS29" s="30">
        <v>205</v>
      </c>
      <c r="AT29" s="30">
        <v>35</v>
      </c>
      <c r="AU29" s="30"/>
      <c r="AV29" s="30"/>
    </row>
    <row r="30" spans="1:48" ht="11.25">
      <c r="A30" s="12" t="s">
        <v>178</v>
      </c>
      <c r="B30" s="32">
        <v>34</v>
      </c>
      <c r="C30" s="28">
        <f t="shared" si="0"/>
        <v>308</v>
      </c>
      <c r="D30" s="28"/>
      <c r="E30" s="28"/>
      <c r="F30" s="30">
        <v>32</v>
      </c>
      <c r="G30" s="30">
        <v>276</v>
      </c>
      <c r="H30" s="30"/>
      <c r="I30" s="28">
        <f t="shared" si="1"/>
        <v>17</v>
      </c>
      <c r="J30" s="30">
        <v>1</v>
      </c>
      <c r="K30" s="30">
        <v>16</v>
      </c>
      <c r="L30" s="33"/>
      <c r="M30" s="28">
        <f t="shared" si="2"/>
        <v>73</v>
      </c>
      <c r="N30" s="30">
        <f t="shared" si="3"/>
        <v>56.3</v>
      </c>
      <c r="O30" s="30">
        <f t="shared" si="4"/>
        <v>2</v>
      </c>
      <c r="P30" s="30">
        <f t="shared" si="5"/>
        <v>17.490000000000002</v>
      </c>
      <c r="Q30" s="30">
        <f t="shared" si="6"/>
        <v>14.19</v>
      </c>
      <c r="R30" s="30">
        <f t="shared" si="7"/>
        <v>22.62</v>
      </c>
      <c r="S30" s="30"/>
      <c r="T30" s="30">
        <v>1.09</v>
      </c>
      <c r="U30" s="30">
        <v>1.09</v>
      </c>
      <c r="V30" s="30"/>
      <c r="W30" s="30"/>
      <c r="X30" s="30">
        <v>11.4</v>
      </c>
      <c r="Y30" s="30">
        <v>12.1</v>
      </c>
      <c r="Z30" s="30">
        <v>20.62</v>
      </c>
      <c r="AA30" s="30"/>
      <c r="AB30" s="30"/>
      <c r="AC30" s="30"/>
      <c r="AD30" s="30"/>
      <c r="AE30" s="30">
        <v>2</v>
      </c>
      <c r="AF30" s="30">
        <v>5</v>
      </c>
      <c r="AG30" s="30">
        <v>1</v>
      </c>
      <c r="AH30" s="30">
        <v>2</v>
      </c>
      <c r="AI30" s="28">
        <v>4.7</v>
      </c>
      <c r="AJ30" s="28">
        <v>12</v>
      </c>
      <c r="AK30" s="30">
        <v>76</v>
      </c>
      <c r="AL30" s="30">
        <v>24</v>
      </c>
      <c r="AM30" s="30">
        <v>20</v>
      </c>
      <c r="AN30" s="30"/>
      <c r="AO30" s="28">
        <v>215</v>
      </c>
      <c r="AP30" s="28">
        <f t="shared" si="8"/>
        <v>181</v>
      </c>
      <c r="AQ30" s="28">
        <f t="shared" si="9"/>
        <v>173</v>
      </c>
      <c r="AR30" s="30">
        <v>14</v>
      </c>
      <c r="AS30" s="30">
        <v>145</v>
      </c>
      <c r="AT30" s="30">
        <v>14</v>
      </c>
      <c r="AU30" s="30"/>
      <c r="AV30" s="30">
        <v>8</v>
      </c>
    </row>
    <row r="31" spans="1:48" ht="11.25">
      <c r="A31" s="12" t="s">
        <v>179</v>
      </c>
      <c r="B31" s="32">
        <v>35</v>
      </c>
      <c r="C31" s="28">
        <f t="shared" si="0"/>
        <v>436</v>
      </c>
      <c r="D31" s="28"/>
      <c r="E31" s="28"/>
      <c r="F31" s="30">
        <v>63</v>
      </c>
      <c r="G31" s="30">
        <v>373</v>
      </c>
      <c r="H31" s="30"/>
      <c r="I31" s="28">
        <f t="shared" si="1"/>
        <v>20</v>
      </c>
      <c r="J31" s="30">
        <v>3</v>
      </c>
      <c r="K31" s="30">
        <v>17</v>
      </c>
      <c r="L31" s="33"/>
      <c r="M31" s="28">
        <f t="shared" si="2"/>
        <v>72.46000000000001</v>
      </c>
      <c r="N31" s="30">
        <f t="shared" si="3"/>
        <v>54.11</v>
      </c>
      <c r="O31" s="30">
        <f t="shared" si="4"/>
        <v>3.98</v>
      </c>
      <c r="P31" s="30">
        <f t="shared" si="5"/>
        <v>10.270000000000001</v>
      </c>
      <c r="Q31" s="30">
        <f t="shared" si="6"/>
        <v>21.87</v>
      </c>
      <c r="R31" s="30">
        <f t="shared" si="7"/>
        <v>17.99</v>
      </c>
      <c r="S31" s="30"/>
      <c r="T31" s="30">
        <v>1.14</v>
      </c>
      <c r="U31" s="30">
        <v>1.28</v>
      </c>
      <c r="V31" s="30">
        <v>1.74</v>
      </c>
      <c r="W31" s="30">
        <v>2.17</v>
      </c>
      <c r="X31" s="30">
        <v>8.13</v>
      </c>
      <c r="Y31" s="30">
        <v>18.4</v>
      </c>
      <c r="Z31" s="30">
        <v>16.25</v>
      </c>
      <c r="AA31" s="30"/>
      <c r="AB31" s="30"/>
      <c r="AC31" s="30"/>
      <c r="AD31" s="30"/>
      <c r="AE31" s="30">
        <v>1.81</v>
      </c>
      <c r="AF31" s="30">
        <v>1</v>
      </c>
      <c r="AG31" s="30">
        <v>2.19</v>
      </c>
      <c r="AH31" s="30"/>
      <c r="AI31" s="28">
        <v>5.1</v>
      </c>
      <c r="AJ31" s="28">
        <v>13.25</v>
      </c>
      <c r="AK31" s="30">
        <v>185</v>
      </c>
      <c r="AL31" s="30">
        <v>43</v>
      </c>
      <c r="AM31" s="30">
        <v>31</v>
      </c>
      <c r="AN31" s="30"/>
      <c r="AO31" s="28">
        <v>186</v>
      </c>
      <c r="AP31" s="28">
        <f t="shared" si="8"/>
        <v>249</v>
      </c>
      <c r="AQ31" s="28">
        <f t="shared" si="9"/>
        <v>241</v>
      </c>
      <c r="AR31" s="30">
        <v>17</v>
      </c>
      <c r="AS31" s="30">
        <v>142</v>
      </c>
      <c r="AT31" s="30">
        <v>52</v>
      </c>
      <c r="AU31" s="30">
        <v>30</v>
      </c>
      <c r="AV31" s="30">
        <v>8</v>
      </c>
    </row>
    <row r="32" spans="1:48" ht="11.25">
      <c r="A32" s="12" t="s">
        <v>180</v>
      </c>
      <c r="B32" s="32" t="s">
        <v>68</v>
      </c>
      <c r="C32" s="28">
        <f t="shared" si="0"/>
        <v>365.5</v>
      </c>
      <c r="D32" s="28"/>
      <c r="E32" s="28"/>
      <c r="F32" s="30"/>
      <c r="G32" s="30"/>
      <c r="H32" s="30">
        <v>365.5</v>
      </c>
      <c r="I32" s="28">
        <f t="shared" si="1"/>
        <v>14</v>
      </c>
      <c r="J32" s="30"/>
      <c r="K32" s="30"/>
      <c r="L32" s="33">
        <v>14</v>
      </c>
      <c r="M32" s="28">
        <f t="shared" si="2"/>
        <v>49.71</v>
      </c>
      <c r="N32" s="30">
        <f t="shared" si="3"/>
        <v>40.46</v>
      </c>
      <c r="O32" s="30">
        <f t="shared" si="4"/>
        <v>0.491</v>
      </c>
      <c r="P32" s="30">
        <f t="shared" si="5"/>
        <v>10.606</v>
      </c>
      <c r="Q32" s="30">
        <f t="shared" si="6"/>
        <v>15.314</v>
      </c>
      <c r="R32" s="30">
        <f t="shared" si="7"/>
        <v>14.049</v>
      </c>
      <c r="S32" s="30"/>
      <c r="T32" s="30"/>
      <c r="U32" s="30"/>
      <c r="V32" s="30"/>
      <c r="W32" s="30"/>
      <c r="X32" s="30"/>
      <c r="Y32" s="30"/>
      <c r="Z32" s="30"/>
      <c r="AA32" s="30">
        <v>0.491</v>
      </c>
      <c r="AB32" s="30">
        <v>10.606</v>
      </c>
      <c r="AC32" s="30">
        <v>15.314</v>
      </c>
      <c r="AD32" s="30">
        <v>14.049</v>
      </c>
      <c r="AE32" s="30"/>
      <c r="AF32" s="30"/>
      <c r="AG32" s="30"/>
      <c r="AH32" s="30"/>
      <c r="AI32" s="28">
        <v>1.5</v>
      </c>
      <c r="AJ32" s="28">
        <v>7.75</v>
      </c>
      <c r="AK32" s="30">
        <v>55.33</v>
      </c>
      <c r="AL32" s="30">
        <v>6.33</v>
      </c>
      <c r="AM32" s="30">
        <v>20</v>
      </c>
      <c r="AN32" s="30"/>
      <c r="AO32" s="28"/>
      <c r="AP32" s="28">
        <f t="shared" si="8"/>
        <v>178.99999999999997</v>
      </c>
      <c r="AQ32" s="28">
        <f t="shared" si="9"/>
        <v>160.66999999999996</v>
      </c>
      <c r="AR32" s="30">
        <v>12.33</v>
      </c>
      <c r="AS32" s="30">
        <v>133.67</v>
      </c>
      <c r="AT32" s="30">
        <v>7.67</v>
      </c>
      <c r="AU32" s="30">
        <v>7</v>
      </c>
      <c r="AV32" s="30">
        <v>18.33</v>
      </c>
    </row>
    <row r="33" spans="1:48" ht="11.25">
      <c r="A33" s="12" t="s">
        <v>181</v>
      </c>
      <c r="B33" s="32">
        <v>37</v>
      </c>
      <c r="C33" s="28">
        <f t="shared" si="0"/>
        <v>137</v>
      </c>
      <c r="D33" s="28"/>
      <c r="E33" s="28"/>
      <c r="F33" s="30">
        <v>28</v>
      </c>
      <c r="G33" s="30">
        <v>109</v>
      </c>
      <c r="H33" s="30"/>
      <c r="I33" s="28">
        <f t="shared" si="1"/>
        <v>8</v>
      </c>
      <c r="J33" s="30">
        <v>1</v>
      </c>
      <c r="K33" s="30">
        <v>7</v>
      </c>
      <c r="L33" s="33"/>
      <c r="M33" s="28">
        <f t="shared" si="2"/>
        <v>23.36</v>
      </c>
      <c r="N33" s="30">
        <f t="shared" si="3"/>
        <v>15.45</v>
      </c>
      <c r="O33" s="30">
        <f t="shared" si="4"/>
        <v>1.444</v>
      </c>
      <c r="P33" s="30">
        <f t="shared" si="5"/>
        <v>2.181</v>
      </c>
      <c r="Q33" s="30">
        <f t="shared" si="6"/>
        <v>7.046</v>
      </c>
      <c r="R33" s="30">
        <f t="shared" si="7"/>
        <v>4.779</v>
      </c>
      <c r="S33" s="30"/>
      <c r="T33" s="30">
        <v>0.136</v>
      </c>
      <c r="U33" s="30">
        <v>1.045</v>
      </c>
      <c r="V33" s="30"/>
      <c r="W33" s="30">
        <v>0.944</v>
      </c>
      <c r="X33" s="30">
        <v>2.045</v>
      </c>
      <c r="Y33" s="30">
        <v>6.001</v>
      </c>
      <c r="Z33" s="30">
        <v>4.779</v>
      </c>
      <c r="AA33" s="30"/>
      <c r="AB33" s="30"/>
      <c r="AC33" s="30"/>
      <c r="AD33" s="30"/>
      <c r="AE33" s="30">
        <v>0.5</v>
      </c>
      <c r="AF33" s="30"/>
      <c r="AG33" s="30"/>
      <c r="AH33" s="30"/>
      <c r="AI33" s="28">
        <v>3.83</v>
      </c>
      <c r="AJ33" s="28">
        <v>4.08</v>
      </c>
      <c r="AK33" s="30">
        <v>8</v>
      </c>
      <c r="AL33" s="30">
        <v>1</v>
      </c>
      <c r="AM33" s="30">
        <v>10</v>
      </c>
      <c r="AN33" s="30"/>
      <c r="AO33" s="28">
        <v>34</v>
      </c>
      <c r="AP33" s="28">
        <f t="shared" si="8"/>
        <v>44</v>
      </c>
      <c r="AQ33" s="28">
        <f t="shared" si="9"/>
        <v>44</v>
      </c>
      <c r="AR33" s="30">
        <v>8</v>
      </c>
      <c r="AS33" s="30">
        <v>29</v>
      </c>
      <c r="AT33" s="30">
        <v>6</v>
      </c>
      <c r="AU33" s="30">
        <v>1</v>
      </c>
      <c r="AV33" s="30"/>
    </row>
    <row r="34" spans="1:48" ht="11.25">
      <c r="A34" s="12" t="s">
        <v>182</v>
      </c>
      <c r="B34" s="32">
        <v>39</v>
      </c>
      <c r="C34" s="28">
        <f t="shared" si="0"/>
        <v>647</v>
      </c>
      <c r="D34" s="28"/>
      <c r="E34" s="28"/>
      <c r="F34" s="30">
        <v>53</v>
      </c>
      <c r="G34" s="30">
        <v>594</v>
      </c>
      <c r="H34" s="30"/>
      <c r="I34" s="28">
        <f t="shared" si="1"/>
        <v>29</v>
      </c>
      <c r="J34" s="30">
        <v>2</v>
      </c>
      <c r="K34" s="30">
        <v>27</v>
      </c>
      <c r="L34" s="33"/>
      <c r="M34" s="28">
        <f t="shared" si="2"/>
        <v>88.86</v>
      </c>
      <c r="N34" s="30">
        <f t="shared" si="3"/>
        <v>59.55</v>
      </c>
      <c r="O34" s="30">
        <f t="shared" si="4"/>
        <v>1.6500000000000001</v>
      </c>
      <c r="P34" s="30">
        <f t="shared" si="5"/>
        <v>8.3</v>
      </c>
      <c r="Q34" s="30">
        <f t="shared" si="6"/>
        <v>18.11</v>
      </c>
      <c r="R34" s="30">
        <f t="shared" si="7"/>
        <v>31.49</v>
      </c>
      <c r="S34" s="30"/>
      <c r="T34" s="30"/>
      <c r="U34" s="30">
        <v>2.24</v>
      </c>
      <c r="V34" s="30">
        <v>0.08</v>
      </c>
      <c r="W34" s="30">
        <v>0.56</v>
      </c>
      <c r="X34" s="30">
        <v>3.74</v>
      </c>
      <c r="Y34" s="30">
        <v>12.52</v>
      </c>
      <c r="Z34" s="30">
        <v>30.43</v>
      </c>
      <c r="AA34" s="30"/>
      <c r="AB34" s="30"/>
      <c r="AC34" s="30"/>
      <c r="AD34" s="30"/>
      <c r="AE34" s="30">
        <v>1.09</v>
      </c>
      <c r="AF34" s="30">
        <v>4.56</v>
      </c>
      <c r="AG34" s="30">
        <v>3.35</v>
      </c>
      <c r="AH34" s="30">
        <v>0.98</v>
      </c>
      <c r="AI34" s="28">
        <v>5.7</v>
      </c>
      <c r="AJ34" s="28">
        <f>13.38+10.23</f>
        <v>23.61</v>
      </c>
      <c r="AK34" s="30"/>
      <c r="AL34" s="30"/>
      <c r="AM34" s="30">
        <v>20</v>
      </c>
      <c r="AN34" s="30">
        <v>20</v>
      </c>
      <c r="AO34" s="28">
        <v>263</v>
      </c>
      <c r="AP34" s="28">
        <f t="shared" si="8"/>
        <v>336.28</v>
      </c>
      <c r="AQ34" s="28">
        <f t="shared" si="9"/>
        <v>330</v>
      </c>
      <c r="AR34" s="30">
        <v>24.72</v>
      </c>
      <c r="AS34" s="30">
        <v>280.95</v>
      </c>
      <c r="AT34" s="30">
        <v>24.33</v>
      </c>
      <c r="AU34" s="30"/>
      <c r="AV34" s="30">
        <v>6.28</v>
      </c>
    </row>
    <row r="35" spans="1:48" ht="11.25">
      <c r="A35" s="12" t="s">
        <v>183</v>
      </c>
      <c r="B35" s="32">
        <v>40</v>
      </c>
      <c r="C35" s="28">
        <f t="shared" si="0"/>
        <v>896</v>
      </c>
      <c r="D35" s="28"/>
      <c r="E35" s="28"/>
      <c r="F35" s="30">
        <v>123</v>
      </c>
      <c r="G35" s="30">
        <v>773</v>
      </c>
      <c r="H35" s="30"/>
      <c r="I35" s="28">
        <f t="shared" si="1"/>
        <v>38</v>
      </c>
      <c r="J35" s="30">
        <v>5</v>
      </c>
      <c r="K35" s="30">
        <v>33</v>
      </c>
      <c r="L35" s="33"/>
      <c r="M35" s="28">
        <f t="shared" si="2"/>
        <v>100.63000000000001</v>
      </c>
      <c r="N35" s="30">
        <f t="shared" si="3"/>
        <v>74.59</v>
      </c>
      <c r="O35" s="30">
        <f t="shared" si="4"/>
        <v>1.88</v>
      </c>
      <c r="P35" s="30">
        <f t="shared" si="5"/>
        <v>10.66</v>
      </c>
      <c r="Q35" s="30">
        <f t="shared" si="6"/>
        <v>24.939999999999998</v>
      </c>
      <c r="R35" s="30">
        <f t="shared" si="7"/>
        <v>37.11</v>
      </c>
      <c r="S35" s="30"/>
      <c r="T35" s="30">
        <v>2.14</v>
      </c>
      <c r="U35" s="30">
        <v>1.14</v>
      </c>
      <c r="V35" s="30">
        <v>2.34</v>
      </c>
      <c r="W35" s="30">
        <v>0.71</v>
      </c>
      <c r="X35" s="30">
        <v>7.02</v>
      </c>
      <c r="Y35" s="30">
        <v>21.47</v>
      </c>
      <c r="Z35" s="30">
        <v>32.77</v>
      </c>
      <c r="AA35" s="30"/>
      <c r="AB35" s="30"/>
      <c r="AC35" s="30"/>
      <c r="AD35" s="30"/>
      <c r="AE35" s="30">
        <v>1.17</v>
      </c>
      <c r="AF35" s="30">
        <v>1.5</v>
      </c>
      <c r="AG35" s="30">
        <v>2.33</v>
      </c>
      <c r="AH35" s="30">
        <v>2</v>
      </c>
      <c r="AI35" s="28">
        <v>6.04</v>
      </c>
      <c r="AJ35" s="28">
        <v>20</v>
      </c>
      <c r="AK35" s="30">
        <v>34</v>
      </c>
      <c r="AL35" s="30">
        <v>6</v>
      </c>
      <c r="AM35" s="30">
        <v>10</v>
      </c>
      <c r="AN35" s="30">
        <v>10</v>
      </c>
      <c r="AO35" s="28">
        <v>175</v>
      </c>
      <c r="AP35" s="28">
        <f t="shared" si="8"/>
        <v>375</v>
      </c>
      <c r="AQ35" s="28">
        <f t="shared" si="9"/>
        <v>355</v>
      </c>
      <c r="AR35" s="30">
        <v>47</v>
      </c>
      <c r="AS35" s="30">
        <v>275</v>
      </c>
      <c r="AT35" s="30">
        <v>24</v>
      </c>
      <c r="AU35" s="30">
        <v>9</v>
      </c>
      <c r="AV35" s="30">
        <v>20</v>
      </c>
    </row>
    <row r="36" spans="1:48" ht="11.25">
      <c r="A36" s="12" t="s">
        <v>184</v>
      </c>
      <c r="B36" s="32" t="s">
        <v>70</v>
      </c>
      <c r="C36" s="28">
        <f t="shared" si="0"/>
        <v>314.67</v>
      </c>
      <c r="D36" s="28"/>
      <c r="E36" s="28"/>
      <c r="F36" s="30"/>
      <c r="G36" s="30"/>
      <c r="H36" s="30">
        <v>314.67</v>
      </c>
      <c r="I36" s="28">
        <f t="shared" si="1"/>
        <v>14</v>
      </c>
      <c r="J36" s="30"/>
      <c r="K36" s="30"/>
      <c r="L36" s="33">
        <v>14</v>
      </c>
      <c r="M36" s="28">
        <f t="shared" si="2"/>
        <v>57.44</v>
      </c>
      <c r="N36" s="30">
        <f t="shared" si="3"/>
        <v>44.24</v>
      </c>
      <c r="O36" s="30">
        <f t="shared" si="4"/>
        <v>1.64</v>
      </c>
      <c r="P36" s="30">
        <f t="shared" si="5"/>
        <v>14.98</v>
      </c>
      <c r="Q36" s="30">
        <f t="shared" si="6"/>
        <v>13.21</v>
      </c>
      <c r="R36" s="30">
        <f t="shared" si="7"/>
        <v>14.41</v>
      </c>
      <c r="S36" s="30"/>
      <c r="T36" s="30"/>
      <c r="U36" s="30"/>
      <c r="V36" s="30"/>
      <c r="W36" s="30"/>
      <c r="X36" s="30"/>
      <c r="Y36" s="30"/>
      <c r="Z36" s="30"/>
      <c r="AA36" s="30">
        <v>1.64</v>
      </c>
      <c r="AB36" s="30">
        <v>14.98</v>
      </c>
      <c r="AC36" s="30">
        <v>13.21</v>
      </c>
      <c r="AD36" s="30">
        <v>14.41</v>
      </c>
      <c r="AE36" s="30"/>
      <c r="AF36" s="30"/>
      <c r="AG36" s="30"/>
      <c r="AH36" s="30"/>
      <c r="AI36" s="28">
        <v>3.25</v>
      </c>
      <c r="AJ36" s="28">
        <v>9.95</v>
      </c>
      <c r="AK36" s="30">
        <v>36.67</v>
      </c>
      <c r="AL36" s="30">
        <v>3.67</v>
      </c>
      <c r="AM36" s="30"/>
      <c r="AN36" s="30">
        <v>20</v>
      </c>
      <c r="AO36" s="28"/>
      <c r="AP36" s="28">
        <f t="shared" si="8"/>
        <v>101.01</v>
      </c>
      <c r="AQ36" s="28">
        <f t="shared" si="9"/>
        <v>81.84</v>
      </c>
      <c r="AR36" s="30">
        <v>14</v>
      </c>
      <c r="AS36" s="30">
        <v>38.67</v>
      </c>
      <c r="AT36" s="30">
        <v>29.17</v>
      </c>
      <c r="AU36" s="30"/>
      <c r="AV36" s="30">
        <v>19.17</v>
      </c>
    </row>
    <row r="37" spans="1:48" ht="11.25">
      <c r="A37" s="12" t="s">
        <v>185</v>
      </c>
      <c r="B37" s="32">
        <v>42</v>
      </c>
      <c r="C37" s="28">
        <f t="shared" si="0"/>
        <v>625</v>
      </c>
      <c r="D37" s="28"/>
      <c r="E37" s="28"/>
      <c r="F37" s="30">
        <v>42</v>
      </c>
      <c r="G37" s="30">
        <v>387</v>
      </c>
      <c r="H37" s="30">
        <v>196</v>
      </c>
      <c r="I37" s="28">
        <f t="shared" si="1"/>
        <v>29</v>
      </c>
      <c r="J37" s="30">
        <v>2</v>
      </c>
      <c r="K37" s="30">
        <v>19</v>
      </c>
      <c r="L37" s="33">
        <v>8</v>
      </c>
      <c r="M37" s="28">
        <f t="shared" si="2"/>
        <v>116.33</v>
      </c>
      <c r="N37" s="30">
        <f t="shared" si="3"/>
        <v>67.58</v>
      </c>
      <c r="O37" s="30">
        <f t="shared" si="4"/>
        <v>1.38</v>
      </c>
      <c r="P37" s="30">
        <f t="shared" si="5"/>
        <v>9.4</v>
      </c>
      <c r="Q37" s="30">
        <f t="shared" si="6"/>
        <v>19.78</v>
      </c>
      <c r="R37" s="30">
        <f t="shared" si="7"/>
        <v>37.019999999999996</v>
      </c>
      <c r="S37" s="30"/>
      <c r="T37" s="30">
        <v>1.18</v>
      </c>
      <c r="U37" s="30"/>
      <c r="V37" s="30">
        <v>1.18</v>
      </c>
      <c r="W37" s="30"/>
      <c r="X37" s="30">
        <v>3.89</v>
      </c>
      <c r="Y37" s="30">
        <v>11.56</v>
      </c>
      <c r="Z37" s="30">
        <v>19.08</v>
      </c>
      <c r="AA37" s="30">
        <v>1.38</v>
      </c>
      <c r="AB37" s="30">
        <v>3.33</v>
      </c>
      <c r="AC37" s="30">
        <v>5.22</v>
      </c>
      <c r="AD37" s="30">
        <v>15.76</v>
      </c>
      <c r="AE37" s="30"/>
      <c r="AF37" s="30">
        <v>1</v>
      </c>
      <c r="AG37" s="30">
        <v>3</v>
      </c>
      <c r="AH37" s="30">
        <v>1</v>
      </c>
      <c r="AI37" s="28">
        <v>18.5</v>
      </c>
      <c r="AJ37" s="28">
        <v>30.25</v>
      </c>
      <c r="AK37" s="30">
        <v>64</v>
      </c>
      <c r="AL37" s="30">
        <v>7</v>
      </c>
      <c r="AM37" s="30">
        <v>40</v>
      </c>
      <c r="AN37" s="30">
        <v>10</v>
      </c>
      <c r="AO37" s="28">
        <v>181</v>
      </c>
      <c r="AP37" s="28">
        <f t="shared" si="8"/>
        <v>260</v>
      </c>
      <c r="AQ37" s="28">
        <f t="shared" si="9"/>
        <v>250</v>
      </c>
      <c r="AR37" s="30">
        <v>27</v>
      </c>
      <c r="AS37" s="30">
        <v>216</v>
      </c>
      <c r="AT37" s="30">
        <v>7</v>
      </c>
      <c r="AU37" s="30"/>
      <c r="AV37" s="30">
        <v>10</v>
      </c>
    </row>
    <row r="38" spans="1:48" ht="11.25">
      <c r="A38" s="12" t="s">
        <v>186</v>
      </c>
      <c r="B38" s="32">
        <v>43</v>
      </c>
      <c r="C38" s="28">
        <f t="shared" si="0"/>
        <v>677</v>
      </c>
      <c r="D38" s="28"/>
      <c r="E38" s="28"/>
      <c r="F38" s="30">
        <v>67</v>
      </c>
      <c r="G38" s="30">
        <v>356</v>
      </c>
      <c r="H38" s="30">
        <v>254</v>
      </c>
      <c r="I38" s="28">
        <f t="shared" si="1"/>
        <v>30</v>
      </c>
      <c r="J38" s="30">
        <v>3</v>
      </c>
      <c r="K38" s="30">
        <v>17</v>
      </c>
      <c r="L38" s="33">
        <v>10</v>
      </c>
      <c r="M38" s="28">
        <f t="shared" si="2"/>
        <v>109.63</v>
      </c>
      <c r="N38" s="30">
        <f t="shared" si="3"/>
        <v>80.75</v>
      </c>
      <c r="O38" s="30">
        <f t="shared" si="4"/>
        <v>1</v>
      </c>
      <c r="P38" s="30">
        <f t="shared" si="5"/>
        <v>10.459999999999999</v>
      </c>
      <c r="Q38" s="30">
        <f t="shared" si="6"/>
        <v>12.080000000000002</v>
      </c>
      <c r="R38" s="30">
        <f t="shared" si="7"/>
        <v>57.21</v>
      </c>
      <c r="S38" s="30"/>
      <c r="T38" s="30">
        <v>1</v>
      </c>
      <c r="U38" s="30"/>
      <c r="V38" s="30">
        <v>2.28</v>
      </c>
      <c r="W38" s="30"/>
      <c r="X38" s="30">
        <v>3.36</v>
      </c>
      <c r="Y38" s="30">
        <v>5.7</v>
      </c>
      <c r="Z38" s="30">
        <v>28.97</v>
      </c>
      <c r="AA38" s="30"/>
      <c r="AB38" s="30">
        <v>3.53</v>
      </c>
      <c r="AC38" s="30">
        <v>6.08</v>
      </c>
      <c r="AD38" s="30">
        <v>24.06</v>
      </c>
      <c r="AE38" s="30">
        <v>1</v>
      </c>
      <c r="AF38" s="30">
        <v>2.57</v>
      </c>
      <c r="AG38" s="30">
        <v>0.3</v>
      </c>
      <c r="AH38" s="30">
        <v>1.9</v>
      </c>
      <c r="AI38" s="28">
        <v>6.71</v>
      </c>
      <c r="AJ38" s="28">
        <v>22.17</v>
      </c>
      <c r="AK38" s="30">
        <v>62</v>
      </c>
      <c r="AL38" s="30">
        <v>7</v>
      </c>
      <c r="AM38" s="30">
        <v>50</v>
      </c>
      <c r="AN38" s="30">
        <v>20</v>
      </c>
      <c r="AO38" s="28">
        <v>148</v>
      </c>
      <c r="AP38" s="28">
        <f t="shared" si="8"/>
        <v>255</v>
      </c>
      <c r="AQ38" s="28">
        <f t="shared" si="9"/>
        <v>247</v>
      </c>
      <c r="AR38" s="30">
        <v>37</v>
      </c>
      <c r="AS38" s="30">
        <v>180</v>
      </c>
      <c r="AT38" s="30">
        <v>27</v>
      </c>
      <c r="AU38" s="30">
        <v>3</v>
      </c>
      <c r="AV38" s="30">
        <v>8</v>
      </c>
    </row>
    <row r="39" spans="1:48" ht="11.25">
      <c r="A39" s="12" t="s">
        <v>187</v>
      </c>
      <c r="B39" s="32">
        <v>44</v>
      </c>
      <c r="C39" s="28">
        <f t="shared" si="0"/>
        <v>645</v>
      </c>
      <c r="D39" s="28"/>
      <c r="E39" s="28"/>
      <c r="F39" s="30">
        <v>41</v>
      </c>
      <c r="G39" s="30">
        <v>169</v>
      </c>
      <c r="H39" s="30">
        <v>435</v>
      </c>
      <c r="I39" s="28">
        <f t="shared" si="1"/>
        <v>25</v>
      </c>
      <c r="J39" s="30">
        <v>2</v>
      </c>
      <c r="K39" s="30">
        <v>8</v>
      </c>
      <c r="L39" s="33">
        <v>15</v>
      </c>
      <c r="M39" s="28">
        <f t="shared" si="2"/>
        <v>76.42</v>
      </c>
      <c r="N39" s="30">
        <f t="shared" si="3"/>
        <v>55.67</v>
      </c>
      <c r="O39" s="30">
        <f t="shared" si="4"/>
        <v>1.11</v>
      </c>
      <c r="P39" s="30">
        <f t="shared" si="5"/>
        <v>8.96</v>
      </c>
      <c r="Q39" s="30">
        <f t="shared" si="6"/>
        <v>12.63</v>
      </c>
      <c r="R39" s="30">
        <f t="shared" si="7"/>
        <v>32.97</v>
      </c>
      <c r="S39" s="30">
        <v>1.11</v>
      </c>
      <c r="T39" s="30"/>
      <c r="U39" s="30"/>
      <c r="V39" s="30">
        <v>1.21</v>
      </c>
      <c r="W39" s="30"/>
      <c r="X39" s="30">
        <v>2.62</v>
      </c>
      <c r="Y39" s="30">
        <v>3.16</v>
      </c>
      <c r="Z39" s="30">
        <v>7.96</v>
      </c>
      <c r="AA39" s="30"/>
      <c r="AB39" s="30">
        <v>4.34</v>
      </c>
      <c r="AC39" s="30">
        <v>8.47</v>
      </c>
      <c r="AD39" s="30">
        <v>22.8</v>
      </c>
      <c r="AE39" s="30"/>
      <c r="AF39" s="30">
        <v>2</v>
      </c>
      <c r="AG39" s="30">
        <v>1</v>
      </c>
      <c r="AH39" s="30">
        <v>1</v>
      </c>
      <c r="AI39" s="28">
        <v>5.75</v>
      </c>
      <c r="AJ39" s="28">
        <v>15</v>
      </c>
      <c r="AK39" s="30">
        <v>32</v>
      </c>
      <c r="AL39" s="30">
        <v>4.7</v>
      </c>
      <c r="AM39" s="30">
        <v>20</v>
      </c>
      <c r="AN39" s="30">
        <v>20</v>
      </c>
      <c r="AO39" s="28">
        <v>120</v>
      </c>
      <c r="AP39" s="28">
        <f t="shared" si="8"/>
        <v>298</v>
      </c>
      <c r="AQ39" s="28">
        <f t="shared" si="9"/>
        <v>286</v>
      </c>
      <c r="AR39" s="30">
        <v>25</v>
      </c>
      <c r="AS39" s="30">
        <v>250</v>
      </c>
      <c r="AT39" s="30">
        <v>11</v>
      </c>
      <c r="AU39" s="30"/>
      <c r="AV39" s="30">
        <v>12</v>
      </c>
    </row>
    <row r="40" spans="1:48" ht="11.25">
      <c r="A40" s="12" t="s">
        <v>188</v>
      </c>
      <c r="B40" s="32">
        <v>45</v>
      </c>
      <c r="C40" s="28">
        <f t="shared" si="0"/>
        <v>256</v>
      </c>
      <c r="D40" s="28"/>
      <c r="E40" s="28"/>
      <c r="F40" s="30">
        <v>57</v>
      </c>
      <c r="G40" s="30">
        <v>199</v>
      </c>
      <c r="H40" s="30"/>
      <c r="I40" s="28">
        <f t="shared" si="1"/>
        <v>11</v>
      </c>
      <c r="J40" s="30">
        <v>2</v>
      </c>
      <c r="K40" s="30">
        <v>9</v>
      </c>
      <c r="L40" s="33"/>
      <c r="M40" s="28">
        <f t="shared" si="2"/>
        <v>49.78</v>
      </c>
      <c r="N40" s="30">
        <f t="shared" si="3"/>
        <v>27.25</v>
      </c>
      <c r="O40" s="30">
        <f t="shared" si="4"/>
        <v>0</v>
      </c>
      <c r="P40" s="30">
        <f t="shared" si="5"/>
        <v>3</v>
      </c>
      <c r="Q40" s="30">
        <f t="shared" si="6"/>
        <v>2.1399999999999997</v>
      </c>
      <c r="R40" s="30">
        <f t="shared" si="7"/>
        <v>22.11</v>
      </c>
      <c r="S40" s="30"/>
      <c r="T40" s="30"/>
      <c r="U40" s="30">
        <v>1.14</v>
      </c>
      <c r="V40" s="30">
        <v>3.23</v>
      </c>
      <c r="W40" s="30"/>
      <c r="X40" s="30"/>
      <c r="Y40" s="30"/>
      <c r="Z40" s="30">
        <v>15.88</v>
      </c>
      <c r="AA40" s="30"/>
      <c r="AB40" s="30"/>
      <c r="AC40" s="30"/>
      <c r="AD40" s="30"/>
      <c r="AE40" s="30"/>
      <c r="AF40" s="30">
        <v>3</v>
      </c>
      <c r="AG40" s="30">
        <v>1</v>
      </c>
      <c r="AH40" s="30">
        <v>3</v>
      </c>
      <c r="AI40" s="28">
        <v>6.13</v>
      </c>
      <c r="AJ40" s="28">
        <v>16.4</v>
      </c>
      <c r="AK40" s="30">
        <v>2.25</v>
      </c>
      <c r="AL40" s="30">
        <v>1</v>
      </c>
      <c r="AM40" s="30">
        <v>1</v>
      </c>
      <c r="AN40" s="30"/>
      <c r="AO40" s="28">
        <v>186</v>
      </c>
      <c r="AP40" s="28">
        <f t="shared" si="8"/>
        <v>210</v>
      </c>
      <c r="AQ40" s="28">
        <f t="shared" si="9"/>
        <v>210</v>
      </c>
      <c r="AR40" s="30">
        <v>10</v>
      </c>
      <c r="AS40" s="30">
        <v>200</v>
      </c>
      <c r="AT40" s="30"/>
      <c r="AU40" s="30"/>
      <c r="AV40" s="30"/>
    </row>
    <row r="41" spans="1:48" ht="11.25">
      <c r="A41" s="12" t="s">
        <v>189</v>
      </c>
      <c r="B41" s="32">
        <v>46</v>
      </c>
      <c r="C41" s="28">
        <f t="shared" si="0"/>
        <v>843</v>
      </c>
      <c r="D41" s="28"/>
      <c r="E41" s="28"/>
      <c r="F41" s="30">
        <v>59</v>
      </c>
      <c r="G41" s="30">
        <v>487</v>
      </c>
      <c r="H41" s="30">
        <v>297</v>
      </c>
      <c r="I41" s="28">
        <f t="shared" si="1"/>
        <v>35</v>
      </c>
      <c r="J41" s="30">
        <v>3</v>
      </c>
      <c r="K41" s="30">
        <v>21</v>
      </c>
      <c r="L41" s="33">
        <v>11</v>
      </c>
      <c r="M41" s="28">
        <f t="shared" si="2"/>
        <v>107.96000000000001</v>
      </c>
      <c r="N41" s="30">
        <f t="shared" si="3"/>
        <v>81.46000000000001</v>
      </c>
      <c r="O41" s="30">
        <f t="shared" si="4"/>
        <v>1.85</v>
      </c>
      <c r="P41" s="30">
        <f t="shared" si="5"/>
        <v>14.709999999999999</v>
      </c>
      <c r="Q41" s="30">
        <f t="shared" si="6"/>
        <v>20.340000000000003</v>
      </c>
      <c r="R41" s="30">
        <f t="shared" si="7"/>
        <v>44.56</v>
      </c>
      <c r="S41" s="30"/>
      <c r="T41" s="30">
        <v>1.15</v>
      </c>
      <c r="U41" s="30">
        <v>0.17</v>
      </c>
      <c r="V41" s="30">
        <v>2.42</v>
      </c>
      <c r="W41" s="30"/>
      <c r="X41" s="30">
        <v>7.01</v>
      </c>
      <c r="Y41" s="30">
        <v>9</v>
      </c>
      <c r="Z41" s="30">
        <v>20.77</v>
      </c>
      <c r="AA41" s="30">
        <v>0.85</v>
      </c>
      <c r="AB41" s="30">
        <v>2.05</v>
      </c>
      <c r="AC41" s="30">
        <v>7.17</v>
      </c>
      <c r="AD41" s="30">
        <v>18.37</v>
      </c>
      <c r="AE41" s="30">
        <v>1</v>
      </c>
      <c r="AF41" s="30">
        <v>4.5</v>
      </c>
      <c r="AG41" s="30">
        <v>4</v>
      </c>
      <c r="AH41" s="30">
        <v>3</v>
      </c>
      <c r="AI41" s="28">
        <v>6.5</v>
      </c>
      <c r="AJ41" s="28">
        <v>20</v>
      </c>
      <c r="AK41" s="30">
        <v>24.63</v>
      </c>
      <c r="AL41" s="30">
        <v>14</v>
      </c>
      <c r="AM41" s="30">
        <v>20</v>
      </c>
      <c r="AN41" s="30">
        <v>20</v>
      </c>
      <c r="AO41" s="28">
        <v>290</v>
      </c>
      <c r="AP41" s="28">
        <f t="shared" si="8"/>
        <v>474</v>
      </c>
      <c r="AQ41" s="28">
        <f t="shared" si="9"/>
        <v>441</v>
      </c>
      <c r="AR41" s="30">
        <v>33</v>
      </c>
      <c r="AS41" s="30">
        <v>392</v>
      </c>
      <c r="AT41" s="30">
        <v>16</v>
      </c>
      <c r="AU41" s="30"/>
      <c r="AV41" s="30">
        <v>33</v>
      </c>
    </row>
    <row r="42" spans="1:48" ht="11.25">
      <c r="A42" s="12" t="s">
        <v>190</v>
      </c>
      <c r="B42" s="32">
        <v>47</v>
      </c>
      <c r="C42" s="28">
        <f t="shared" si="0"/>
        <v>1014.67</v>
      </c>
      <c r="D42" s="28"/>
      <c r="E42" s="28"/>
      <c r="F42" s="30">
        <v>104</v>
      </c>
      <c r="G42" s="30">
        <v>617.17</v>
      </c>
      <c r="H42" s="30">
        <v>293.5</v>
      </c>
      <c r="I42" s="28">
        <f t="shared" si="1"/>
        <v>45</v>
      </c>
      <c r="J42" s="30">
        <v>4</v>
      </c>
      <c r="K42" s="30">
        <v>28</v>
      </c>
      <c r="L42" s="33">
        <v>13</v>
      </c>
      <c r="M42" s="28">
        <f t="shared" si="2"/>
        <v>152.57000000000002</v>
      </c>
      <c r="N42" s="30">
        <f t="shared" si="3"/>
        <v>113.69000000000001</v>
      </c>
      <c r="O42" s="30">
        <f t="shared" si="4"/>
        <v>2</v>
      </c>
      <c r="P42" s="30">
        <f t="shared" si="5"/>
        <v>18.201</v>
      </c>
      <c r="Q42" s="30">
        <f t="shared" si="6"/>
        <v>13.547</v>
      </c>
      <c r="R42" s="30">
        <f t="shared" si="7"/>
        <v>79.94200000000001</v>
      </c>
      <c r="S42" s="30"/>
      <c r="T42" s="30">
        <v>1.136</v>
      </c>
      <c r="U42" s="30"/>
      <c r="V42" s="30">
        <v>4.766</v>
      </c>
      <c r="W42" s="30"/>
      <c r="X42" s="30">
        <v>4.944</v>
      </c>
      <c r="Y42" s="30">
        <v>9.382</v>
      </c>
      <c r="Z42" s="30">
        <v>40.521</v>
      </c>
      <c r="AA42" s="30"/>
      <c r="AB42" s="30">
        <v>4.583</v>
      </c>
      <c r="AC42" s="30">
        <v>3.165</v>
      </c>
      <c r="AD42" s="30">
        <v>29.655</v>
      </c>
      <c r="AE42" s="30">
        <v>2</v>
      </c>
      <c r="AF42" s="30">
        <v>7.538</v>
      </c>
      <c r="AG42" s="30">
        <v>1</v>
      </c>
      <c r="AH42" s="30">
        <v>5</v>
      </c>
      <c r="AI42" s="28">
        <v>8</v>
      </c>
      <c r="AJ42" s="28">
        <v>30.88</v>
      </c>
      <c r="AK42" s="30">
        <v>62.66</v>
      </c>
      <c r="AL42" s="30">
        <v>6.33</v>
      </c>
      <c r="AM42" s="30">
        <v>50</v>
      </c>
      <c r="AN42" s="30">
        <v>20</v>
      </c>
      <c r="AO42" s="28">
        <v>358</v>
      </c>
      <c r="AP42" s="28">
        <f t="shared" si="8"/>
        <v>603</v>
      </c>
      <c r="AQ42" s="28">
        <f t="shared" si="9"/>
        <v>565</v>
      </c>
      <c r="AR42" s="30">
        <v>45</v>
      </c>
      <c r="AS42" s="30">
        <v>510</v>
      </c>
      <c r="AT42" s="30">
        <v>10</v>
      </c>
      <c r="AU42" s="30"/>
      <c r="AV42" s="30">
        <v>38</v>
      </c>
    </row>
    <row r="43" spans="1:48" ht="11.25">
      <c r="A43" s="12" t="s">
        <v>191</v>
      </c>
      <c r="B43" s="32">
        <v>48</v>
      </c>
      <c r="C43" s="28">
        <f t="shared" si="0"/>
        <v>627</v>
      </c>
      <c r="D43" s="28"/>
      <c r="E43" s="28"/>
      <c r="F43" s="30">
        <v>28</v>
      </c>
      <c r="G43" s="30">
        <v>428</v>
      </c>
      <c r="H43" s="30">
        <v>171</v>
      </c>
      <c r="I43" s="28">
        <f t="shared" si="1"/>
        <v>27</v>
      </c>
      <c r="J43" s="30">
        <v>1</v>
      </c>
      <c r="K43" s="30">
        <v>19</v>
      </c>
      <c r="L43" s="33">
        <v>7</v>
      </c>
      <c r="M43" s="28">
        <f t="shared" si="2"/>
        <v>91.07000000000001</v>
      </c>
      <c r="N43" s="30">
        <f t="shared" si="3"/>
        <v>66.32000000000001</v>
      </c>
      <c r="O43" s="30">
        <f t="shared" si="4"/>
        <v>4.1</v>
      </c>
      <c r="P43" s="30">
        <f t="shared" si="5"/>
        <v>15.830000000000002</v>
      </c>
      <c r="Q43" s="30">
        <f t="shared" si="6"/>
        <v>16.88</v>
      </c>
      <c r="R43" s="30">
        <f t="shared" si="7"/>
        <v>29.51</v>
      </c>
      <c r="S43" s="30"/>
      <c r="T43" s="30">
        <v>1</v>
      </c>
      <c r="U43" s="30">
        <v>0.16</v>
      </c>
      <c r="V43" s="30">
        <v>0.06</v>
      </c>
      <c r="W43" s="30">
        <v>1.44</v>
      </c>
      <c r="X43" s="30">
        <v>7.21</v>
      </c>
      <c r="Y43" s="30">
        <v>8.5</v>
      </c>
      <c r="Z43" s="30">
        <v>17.28</v>
      </c>
      <c r="AA43" s="30">
        <v>0.66</v>
      </c>
      <c r="AB43" s="30">
        <v>4.73</v>
      </c>
      <c r="AC43" s="30">
        <v>7.11</v>
      </c>
      <c r="AD43" s="30">
        <v>11.67</v>
      </c>
      <c r="AE43" s="30">
        <v>2</v>
      </c>
      <c r="AF43" s="30">
        <v>2.89</v>
      </c>
      <c r="AG43" s="30">
        <v>1.11</v>
      </c>
      <c r="AH43" s="30">
        <v>0.5</v>
      </c>
      <c r="AI43" s="28">
        <v>7</v>
      </c>
      <c r="AJ43" s="28">
        <v>17.75</v>
      </c>
      <c r="AK43" s="30">
        <v>101</v>
      </c>
      <c r="AL43" s="30">
        <v>9</v>
      </c>
      <c r="AM43" s="30">
        <v>20</v>
      </c>
      <c r="AN43" s="30">
        <v>20</v>
      </c>
      <c r="AO43" s="28">
        <v>197</v>
      </c>
      <c r="AP43" s="28">
        <f t="shared" si="8"/>
        <v>418</v>
      </c>
      <c r="AQ43" s="28">
        <f t="shared" si="9"/>
        <v>392</v>
      </c>
      <c r="AR43" s="30">
        <v>22</v>
      </c>
      <c r="AS43" s="30">
        <v>352</v>
      </c>
      <c r="AT43" s="30">
        <v>13</v>
      </c>
      <c r="AU43" s="30">
        <v>5</v>
      </c>
      <c r="AV43" s="30">
        <v>26</v>
      </c>
    </row>
    <row r="44" spans="1:48" ht="11.25">
      <c r="A44" s="12" t="s">
        <v>77</v>
      </c>
      <c r="B44" s="13" t="s">
        <v>192</v>
      </c>
      <c r="C44" s="28">
        <f t="shared" si="0"/>
        <v>153</v>
      </c>
      <c r="D44" s="28"/>
      <c r="E44" s="28"/>
      <c r="F44" s="30"/>
      <c r="G44" s="30"/>
      <c r="H44" s="30">
        <v>153</v>
      </c>
      <c r="I44" s="28">
        <f t="shared" si="1"/>
        <v>5</v>
      </c>
      <c r="J44" s="30"/>
      <c r="K44" s="30"/>
      <c r="L44" s="33">
        <v>5</v>
      </c>
      <c r="M44" s="28">
        <f t="shared" si="2"/>
        <v>12.690000000000001</v>
      </c>
      <c r="N44" s="30">
        <f t="shared" si="3"/>
        <v>10.190000000000001</v>
      </c>
      <c r="O44" s="30">
        <f t="shared" si="4"/>
        <v>0</v>
      </c>
      <c r="P44" s="30">
        <f t="shared" si="5"/>
        <v>3.14</v>
      </c>
      <c r="Q44" s="30">
        <f t="shared" si="6"/>
        <v>4.23</v>
      </c>
      <c r="R44" s="30">
        <f t="shared" si="7"/>
        <v>2.82</v>
      </c>
      <c r="S44" s="30"/>
      <c r="T44" s="30"/>
      <c r="U44" s="30"/>
      <c r="V44" s="30"/>
      <c r="W44" s="30"/>
      <c r="X44" s="30"/>
      <c r="Y44" s="30"/>
      <c r="Z44" s="30"/>
      <c r="AA44" s="30"/>
      <c r="AB44" s="30">
        <v>3.14</v>
      </c>
      <c r="AC44" s="30">
        <v>4.23</v>
      </c>
      <c r="AD44" s="30">
        <v>2.82</v>
      </c>
      <c r="AE44" s="30"/>
      <c r="AF44" s="30"/>
      <c r="AG44" s="30"/>
      <c r="AH44" s="30"/>
      <c r="AI44" s="28">
        <v>0.75</v>
      </c>
      <c r="AJ44" s="28">
        <v>1.75</v>
      </c>
      <c r="AK44" s="30">
        <v>10.14</v>
      </c>
      <c r="AL44" s="30">
        <v>3.51</v>
      </c>
      <c r="AM44" s="30">
        <v>20</v>
      </c>
      <c r="AN44" s="30">
        <v>20</v>
      </c>
      <c r="AO44" s="28"/>
      <c r="AP44" s="28">
        <v>0</v>
      </c>
      <c r="AQ44" s="28">
        <f t="shared" si="9"/>
        <v>0</v>
      </c>
      <c r="AR44" s="30"/>
      <c r="AS44" s="30"/>
      <c r="AT44" s="30"/>
      <c r="AU44" s="30"/>
      <c r="AV44" s="30"/>
    </row>
    <row r="45" spans="1:48" s="3" customFormat="1" ht="11.25">
      <c r="A45" s="12" t="s">
        <v>102</v>
      </c>
      <c r="B45" s="24"/>
      <c r="C45" s="28">
        <f aca="true" t="shared" si="10" ref="C45:AV45">SUM(C6:C44)</f>
        <v>18808.17</v>
      </c>
      <c r="D45" s="28">
        <f t="shared" si="10"/>
        <v>0</v>
      </c>
      <c r="E45" s="28">
        <f t="shared" si="10"/>
        <v>0</v>
      </c>
      <c r="F45" s="28">
        <f t="shared" si="10"/>
        <v>1512.5</v>
      </c>
      <c r="G45" s="28">
        <f t="shared" si="10"/>
        <v>11854.17</v>
      </c>
      <c r="H45" s="28">
        <f t="shared" si="10"/>
        <v>5441.5</v>
      </c>
      <c r="I45" s="28">
        <f t="shared" si="10"/>
        <v>831.34</v>
      </c>
      <c r="J45" s="28">
        <f t="shared" si="10"/>
        <v>64.67</v>
      </c>
      <c r="K45" s="28">
        <f t="shared" si="10"/>
        <v>548.6700000000001</v>
      </c>
      <c r="L45" s="35">
        <f t="shared" si="10"/>
        <v>218</v>
      </c>
      <c r="M45" s="28">
        <f t="shared" si="10"/>
        <v>2892.422000000001</v>
      </c>
      <c r="N45" s="28">
        <f t="shared" si="10"/>
        <v>2049.392</v>
      </c>
      <c r="O45" s="28">
        <f t="shared" si="10"/>
        <v>58.248000000000005</v>
      </c>
      <c r="P45" s="28">
        <f t="shared" si="10"/>
        <v>358.066</v>
      </c>
      <c r="Q45" s="28">
        <f t="shared" si="10"/>
        <v>547.179</v>
      </c>
      <c r="R45" s="28">
        <f t="shared" si="10"/>
        <v>1085.899</v>
      </c>
      <c r="S45" s="28">
        <f t="shared" si="10"/>
        <v>2.22</v>
      </c>
      <c r="T45" s="28">
        <f t="shared" si="10"/>
        <v>23.604999999999997</v>
      </c>
      <c r="U45" s="28">
        <f t="shared" si="10"/>
        <v>20.921000000000003</v>
      </c>
      <c r="V45" s="28">
        <f t="shared" si="10"/>
        <v>37.156</v>
      </c>
      <c r="W45" s="28">
        <f t="shared" si="10"/>
        <v>21.774</v>
      </c>
      <c r="X45" s="28">
        <f t="shared" si="10"/>
        <v>153.732</v>
      </c>
      <c r="Y45" s="28">
        <f t="shared" si="10"/>
        <v>301.149</v>
      </c>
      <c r="Z45" s="28">
        <f t="shared" si="10"/>
        <v>642.64</v>
      </c>
      <c r="AA45" s="28">
        <f t="shared" si="10"/>
        <v>12.383999999999999</v>
      </c>
      <c r="AB45" s="28">
        <f t="shared" si="10"/>
        <v>111.16100000000002</v>
      </c>
      <c r="AC45" s="28">
        <f t="shared" si="10"/>
        <v>176.989</v>
      </c>
      <c r="AD45" s="28">
        <f t="shared" si="10"/>
        <v>359.49300000000005</v>
      </c>
      <c r="AE45" s="28">
        <f t="shared" si="10"/>
        <v>21.87</v>
      </c>
      <c r="AF45" s="28">
        <f t="shared" si="10"/>
        <v>69.56800000000001</v>
      </c>
      <c r="AG45" s="28">
        <f t="shared" si="10"/>
        <v>48.12</v>
      </c>
      <c r="AH45" s="28">
        <f t="shared" si="10"/>
        <v>46.60999999999999</v>
      </c>
      <c r="AI45" s="28">
        <f t="shared" si="10"/>
        <v>223.62</v>
      </c>
      <c r="AJ45" s="28">
        <f t="shared" si="10"/>
        <v>619.41</v>
      </c>
      <c r="AK45" s="28">
        <f t="shared" si="10"/>
        <v>1944.5300000000002</v>
      </c>
      <c r="AL45" s="28">
        <f t="shared" si="10"/>
        <v>303.42999999999995</v>
      </c>
      <c r="AM45" s="28">
        <f t="shared" si="10"/>
        <v>930</v>
      </c>
      <c r="AN45" s="28">
        <f t="shared" si="10"/>
        <v>410</v>
      </c>
      <c r="AO45" s="28">
        <f t="shared" si="10"/>
        <v>5290.5</v>
      </c>
      <c r="AP45" s="28">
        <f t="shared" si="10"/>
        <v>9113.59</v>
      </c>
      <c r="AQ45" s="28">
        <f t="shared" si="10"/>
        <v>8674.02</v>
      </c>
      <c r="AR45" s="28">
        <f t="shared" si="10"/>
        <v>802.05</v>
      </c>
      <c r="AS45" s="28">
        <f t="shared" si="10"/>
        <v>7059.41</v>
      </c>
      <c r="AT45" s="28">
        <f t="shared" si="10"/>
        <v>618</v>
      </c>
      <c r="AU45" s="28">
        <f t="shared" si="10"/>
        <v>194.56</v>
      </c>
      <c r="AV45" s="28">
        <f t="shared" si="10"/>
        <v>439.57</v>
      </c>
    </row>
    <row r="46" spans="1:48" ht="11.25">
      <c r="A46" s="12" t="s">
        <v>193</v>
      </c>
      <c r="B46" s="13" t="s">
        <v>80</v>
      </c>
      <c r="C46" s="28">
        <f>F46+G46+H46</f>
        <v>170</v>
      </c>
      <c r="D46" s="28"/>
      <c r="E46" s="28"/>
      <c r="F46" s="30"/>
      <c r="G46" s="30"/>
      <c r="H46" s="30">
        <v>170</v>
      </c>
      <c r="I46" s="28">
        <f>J46+K46+L46</f>
        <v>6</v>
      </c>
      <c r="J46" s="30"/>
      <c r="K46" s="30"/>
      <c r="L46" s="33">
        <v>6</v>
      </c>
      <c r="M46" s="28">
        <f>N46+AI46+AJ46</f>
        <v>20.509999999999998</v>
      </c>
      <c r="N46" s="30">
        <f>O46+P46+Q46+R46</f>
        <v>18.759999999999998</v>
      </c>
      <c r="O46" s="30">
        <f aca="true" t="shared" si="11" ref="O46:Q47">W46+AA46+AE46</f>
        <v>0.56</v>
      </c>
      <c r="P46" s="30">
        <f t="shared" si="11"/>
        <v>3.55</v>
      </c>
      <c r="Q46" s="30">
        <f t="shared" si="11"/>
        <v>4.67</v>
      </c>
      <c r="R46" s="30">
        <f>Z46+AD46</f>
        <v>9.98</v>
      </c>
      <c r="S46" s="30"/>
      <c r="T46" s="30"/>
      <c r="U46" s="30"/>
      <c r="V46" s="30"/>
      <c r="W46" s="30"/>
      <c r="X46" s="30"/>
      <c r="Y46" s="30"/>
      <c r="Z46" s="30"/>
      <c r="AA46" s="30">
        <v>0.56</v>
      </c>
      <c r="AB46" s="30">
        <v>3.55</v>
      </c>
      <c r="AC46" s="30">
        <v>4.67</v>
      </c>
      <c r="AD46" s="30">
        <v>9.98</v>
      </c>
      <c r="AE46" s="30"/>
      <c r="AF46" s="30"/>
      <c r="AG46" s="30"/>
      <c r="AH46" s="30"/>
      <c r="AI46" s="28">
        <v>0.25</v>
      </c>
      <c r="AJ46" s="28">
        <v>1.5</v>
      </c>
      <c r="AK46" s="30">
        <v>2</v>
      </c>
      <c r="AL46" s="30">
        <v>1</v>
      </c>
      <c r="AM46" s="30">
        <v>5</v>
      </c>
      <c r="AN46" s="30">
        <v>10</v>
      </c>
      <c r="AO46" s="30"/>
      <c r="AP46" s="28">
        <f>AR46+AU46+AV46</f>
        <v>0</v>
      </c>
      <c r="AQ46" s="28">
        <f>AP46-AV46</f>
        <v>0</v>
      </c>
      <c r="AR46" s="30"/>
      <c r="AS46" s="30"/>
      <c r="AT46" s="30"/>
      <c r="AU46" s="30"/>
      <c r="AV46" s="30"/>
    </row>
    <row r="47" spans="1:48" ht="11.25">
      <c r="A47" s="12" t="s">
        <v>194</v>
      </c>
      <c r="B47" s="13" t="s">
        <v>82</v>
      </c>
      <c r="C47" s="28">
        <f>F47+G47+H47</f>
        <v>229</v>
      </c>
      <c r="D47" s="28"/>
      <c r="E47" s="28"/>
      <c r="F47" s="30"/>
      <c r="G47" s="30"/>
      <c r="H47" s="30">
        <v>229</v>
      </c>
      <c r="I47" s="28">
        <f>J47+K47+L47</f>
        <v>9</v>
      </c>
      <c r="J47" s="30"/>
      <c r="K47" s="30"/>
      <c r="L47" s="33">
        <v>9</v>
      </c>
      <c r="M47" s="28">
        <f>N47+AI47+AJ47</f>
        <v>31.479999999999997</v>
      </c>
      <c r="N47" s="30">
        <f>O47+P47+Q47+R47</f>
        <v>27.599999999999998</v>
      </c>
      <c r="O47" s="30">
        <f t="shared" si="11"/>
        <v>0</v>
      </c>
      <c r="P47" s="30">
        <f t="shared" si="11"/>
        <v>2.8</v>
      </c>
      <c r="Q47" s="30">
        <f t="shared" si="11"/>
        <v>5.22</v>
      </c>
      <c r="R47" s="30">
        <f>Z47+AD47</f>
        <v>19.58</v>
      </c>
      <c r="S47" s="30"/>
      <c r="T47" s="30"/>
      <c r="U47" s="30"/>
      <c r="V47" s="30"/>
      <c r="W47" s="30"/>
      <c r="X47" s="30"/>
      <c r="Y47" s="30"/>
      <c r="Z47" s="30"/>
      <c r="AA47" s="30"/>
      <c r="AB47" s="30">
        <v>2.8</v>
      </c>
      <c r="AC47" s="30">
        <v>5.22</v>
      </c>
      <c r="AD47" s="30">
        <v>19.58</v>
      </c>
      <c r="AE47" s="30"/>
      <c r="AF47" s="30"/>
      <c r="AG47" s="30"/>
      <c r="AH47" s="30"/>
      <c r="AI47" s="28">
        <v>2</v>
      </c>
      <c r="AJ47" s="28">
        <v>1.88</v>
      </c>
      <c r="AK47" s="30">
        <v>10</v>
      </c>
      <c r="AL47" s="30">
        <v>1</v>
      </c>
      <c r="AM47" s="30"/>
      <c r="AN47" s="30"/>
      <c r="AO47" s="30"/>
      <c r="AP47" s="28">
        <f>AR47+AU47+AV47</f>
        <v>0</v>
      </c>
      <c r="AQ47" s="28">
        <f>AP47-AV47</f>
        <v>0</v>
      </c>
      <c r="AR47" s="30"/>
      <c r="AS47" s="30"/>
      <c r="AT47" s="30"/>
      <c r="AU47" s="30"/>
      <c r="AV47" s="30"/>
    </row>
    <row r="48" spans="1:48" ht="11.25">
      <c r="A48" s="24" t="s">
        <v>148</v>
      </c>
      <c r="B48" s="36"/>
      <c r="C48" s="28">
        <f aca="true" t="shared" si="12" ref="C48:AV48">SUM(C45:C47)</f>
        <v>19207.17</v>
      </c>
      <c r="D48" s="28">
        <f t="shared" si="12"/>
        <v>0</v>
      </c>
      <c r="E48" s="28">
        <f t="shared" si="12"/>
        <v>0</v>
      </c>
      <c r="F48" s="28">
        <f t="shared" si="12"/>
        <v>1512.5</v>
      </c>
      <c r="G48" s="28">
        <f t="shared" si="12"/>
        <v>11854.17</v>
      </c>
      <c r="H48" s="28">
        <f t="shared" si="12"/>
        <v>5840.5</v>
      </c>
      <c r="I48" s="28">
        <f t="shared" si="12"/>
        <v>846.34</v>
      </c>
      <c r="J48" s="28">
        <f t="shared" si="12"/>
        <v>64.67</v>
      </c>
      <c r="K48" s="28">
        <f t="shared" si="12"/>
        <v>548.6700000000001</v>
      </c>
      <c r="L48" s="35">
        <f t="shared" si="12"/>
        <v>233</v>
      </c>
      <c r="M48" s="28">
        <f t="shared" si="12"/>
        <v>2944.412000000001</v>
      </c>
      <c r="N48" s="28">
        <f t="shared" si="12"/>
        <v>2095.752</v>
      </c>
      <c r="O48" s="28">
        <f t="shared" si="12"/>
        <v>58.80800000000001</v>
      </c>
      <c r="P48" s="28">
        <f t="shared" si="12"/>
        <v>364.416</v>
      </c>
      <c r="Q48" s="28">
        <f t="shared" si="12"/>
        <v>557.069</v>
      </c>
      <c r="R48" s="28">
        <f t="shared" si="12"/>
        <v>1115.4589999999998</v>
      </c>
      <c r="S48" s="28">
        <f t="shared" si="12"/>
        <v>2.22</v>
      </c>
      <c r="T48" s="28">
        <f t="shared" si="12"/>
        <v>23.604999999999997</v>
      </c>
      <c r="U48" s="28">
        <f t="shared" si="12"/>
        <v>20.921000000000003</v>
      </c>
      <c r="V48" s="28">
        <f t="shared" si="12"/>
        <v>37.156</v>
      </c>
      <c r="W48" s="28">
        <f t="shared" si="12"/>
        <v>21.774</v>
      </c>
      <c r="X48" s="28">
        <f t="shared" si="12"/>
        <v>153.732</v>
      </c>
      <c r="Y48" s="28">
        <f t="shared" si="12"/>
        <v>301.149</v>
      </c>
      <c r="Z48" s="28">
        <f t="shared" si="12"/>
        <v>642.64</v>
      </c>
      <c r="AA48" s="28">
        <f t="shared" si="12"/>
        <v>12.943999999999999</v>
      </c>
      <c r="AB48" s="28">
        <f t="shared" si="12"/>
        <v>117.51100000000001</v>
      </c>
      <c r="AC48" s="28">
        <f t="shared" si="12"/>
        <v>186.879</v>
      </c>
      <c r="AD48" s="28">
        <f t="shared" si="12"/>
        <v>389.05300000000005</v>
      </c>
      <c r="AE48" s="28">
        <f t="shared" si="12"/>
        <v>21.87</v>
      </c>
      <c r="AF48" s="28">
        <f t="shared" si="12"/>
        <v>69.56800000000001</v>
      </c>
      <c r="AG48" s="28">
        <f t="shared" si="12"/>
        <v>48.12</v>
      </c>
      <c r="AH48" s="28">
        <f t="shared" si="12"/>
        <v>46.60999999999999</v>
      </c>
      <c r="AI48" s="28">
        <f t="shared" si="12"/>
        <v>225.87</v>
      </c>
      <c r="AJ48" s="28">
        <f t="shared" si="12"/>
        <v>622.79</v>
      </c>
      <c r="AK48" s="28">
        <f t="shared" si="12"/>
        <v>1956.5300000000002</v>
      </c>
      <c r="AL48" s="28">
        <f t="shared" si="12"/>
        <v>305.42999999999995</v>
      </c>
      <c r="AM48" s="28">
        <f t="shared" si="12"/>
        <v>935</v>
      </c>
      <c r="AN48" s="28">
        <f t="shared" si="12"/>
        <v>420</v>
      </c>
      <c r="AO48" s="28">
        <f t="shared" si="12"/>
        <v>5290.5</v>
      </c>
      <c r="AP48" s="28">
        <f t="shared" si="12"/>
        <v>9113.59</v>
      </c>
      <c r="AQ48" s="28">
        <f t="shared" si="12"/>
        <v>8674.02</v>
      </c>
      <c r="AR48" s="28">
        <f t="shared" si="12"/>
        <v>802.05</v>
      </c>
      <c r="AS48" s="28">
        <f t="shared" si="12"/>
        <v>7059.41</v>
      </c>
      <c r="AT48" s="28">
        <f t="shared" si="12"/>
        <v>618</v>
      </c>
      <c r="AU48" s="28">
        <f t="shared" si="12"/>
        <v>194.56</v>
      </c>
      <c r="AV48" s="28">
        <f t="shared" si="12"/>
        <v>439.57</v>
      </c>
    </row>
    <row r="49" spans="1:48" ht="11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3:35" ht="11.25" hidden="1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AI50" s="38">
        <f>AI48+AJ48</f>
        <v>848.66</v>
      </c>
    </row>
    <row r="51" spans="3:32" ht="11.25" hidden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T51" s="38">
        <f>S48+T48+U48+V48</f>
        <v>83.90199999999999</v>
      </c>
      <c r="W51" s="38">
        <f>W48+X48+Y48+Z48</f>
        <v>1119.295</v>
      </c>
      <c r="AB51" s="38">
        <f>AA48+AB48+AC48+AD48</f>
        <v>706.3870000000001</v>
      </c>
      <c r="AF51" s="38">
        <f>AE48+AF48+AG48+AH48</f>
        <v>186.168</v>
      </c>
    </row>
    <row r="52" spans="3:14" ht="11.25" hidden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3:14" ht="11.2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3:14" ht="11.2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3:14" ht="11.2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36" ht="11.25">
      <c r="A56" s="37"/>
      <c r="B56" s="3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6" ht="11.25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</row>
    <row r="58" spans="1:36" ht="11.25">
      <c r="A58" s="41"/>
      <c r="B58" s="4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</row>
    <row r="59" spans="1:36" ht="11.25">
      <c r="A59" s="41"/>
      <c r="B59" s="4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  <row r="60" spans="1:36" ht="11.25">
      <c r="A60" s="42"/>
      <c r="B60" s="41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ht="11.25">
      <c r="A61" s="42"/>
      <c r="B61" s="4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ht="11.25">
      <c r="A62" s="42"/>
      <c r="B62" s="41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ht="11.25">
      <c r="A63" s="42"/>
      <c r="B63" s="4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ht="11.25">
      <c r="A64" s="42"/>
      <c r="B64" s="4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ht="11.25">
      <c r="A65" s="42"/>
      <c r="B65" s="4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ht="11.25">
      <c r="A66" s="42"/>
      <c r="B66" s="41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ht="11.25">
      <c r="A67" s="42"/>
      <c r="B67" s="41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ht="11.25">
      <c r="A68" s="41"/>
      <c r="B68" s="41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ht="11.25">
      <c r="A69" s="41"/>
      <c r="B69" s="4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 ht="11.25">
      <c r="A70" s="41"/>
      <c r="B70" s="41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 ht="11.25">
      <c r="A71" s="41"/>
      <c r="B71" s="41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 spans="1:36" ht="11.25">
      <c r="A72" s="41"/>
      <c r="B72" s="41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ht="11.25">
      <c r="A73" s="41"/>
      <c r="B73" s="41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</row>
    <row r="74" spans="1:36" ht="11.25">
      <c r="A74" s="41"/>
      <c r="B74" s="41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</row>
    <row r="75" spans="1:36" ht="11.25">
      <c r="A75" s="41"/>
      <c r="B75" s="41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</row>
    <row r="76" spans="1:36" ht="11.25">
      <c r="A76" s="41"/>
      <c r="B76" s="41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</row>
    <row r="77" spans="1:36" ht="11.25">
      <c r="A77" s="41"/>
      <c r="B77" s="4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</row>
    <row r="78" spans="1:36" ht="11.25">
      <c r="A78" s="41"/>
      <c r="B78" s="41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</row>
    <row r="79" spans="1:36" ht="11.25">
      <c r="A79" s="41"/>
      <c r="B79" s="41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0" spans="1:36" ht="11.25">
      <c r="A80" s="3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</row>
    <row r="81" spans="1:36" ht="11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</row>
    <row r="82" spans="1:36" ht="11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</row>
  </sheetData>
  <mergeCells count="5">
    <mergeCell ref="AK4:AL4"/>
    <mergeCell ref="N4:AJ4"/>
    <mergeCell ref="AP4:AV4"/>
    <mergeCell ref="C4:H4"/>
    <mergeCell ref="I4:L4"/>
  </mergeCells>
  <printOptions/>
  <pageMargins left="0.37" right="0" top="0.5511811023622047" bottom="0.4724409448818898" header="0.5118110236220472" footer="0.3543307086614173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6"/>
  <sheetViews>
    <sheetView workbookViewId="0" topLeftCell="A1">
      <pane xSplit="3" ySplit="6" topLeftCell="D18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" sqref="C5:C6"/>
    </sheetView>
  </sheetViews>
  <sheetFormatPr defaultColWidth="9.00390625" defaultRowHeight="12.75"/>
  <cols>
    <col min="1" max="1" width="38.875" style="105" customWidth="1"/>
    <col min="2" max="2" width="7.75390625" style="105" customWidth="1"/>
    <col min="3" max="3" width="10.875" style="105" customWidth="1"/>
    <col min="4" max="4" width="10.25390625" style="105" customWidth="1"/>
    <col min="5" max="5" width="9.875" style="105" customWidth="1"/>
    <col min="6" max="6" width="8.625" style="105" customWidth="1"/>
    <col min="7" max="7" width="8.375" style="105" customWidth="1"/>
    <col min="8" max="8" width="8.125" style="105" customWidth="1"/>
    <col min="9" max="9" width="7.625" style="105" customWidth="1"/>
    <col min="10" max="10" width="8.75390625" style="105" customWidth="1"/>
    <col min="11" max="11" width="6.75390625" style="105" customWidth="1"/>
    <col min="12" max="12" width="8.25390625" style="105" customWidth="1"/>
    <col min="13" max="13" width="5.75390625" style="105" bestFit="1" customWidth="1"/>
    <col min="14" max="14" width="6.375" style="105" customWidth="1"/>
    <col min="15" max="15" width="9.375" style="105" hidden="1" customWidth="1"/>
    <col min="16" max="16" width="9.00390625" style="105" hidden="1" customWidth="1"/>
    <col min="17" max="17" width="9.75390625" style="105" hidden="1" customWidth="1"/>
    <col min="18" max="16384" width="9.125" style="105" customWidth="1"/>
  </cols>
  <sheetData>
    <row r="1" ht="11.25">
      <c r="N1" s="86" t="s">
        <v>291</v>
      </c>
    </row>
    <row r="2" spans="1:14" ht="21.75" customHeight="1">
      <c r="A2" s="144" t="s">
        <v>290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27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ht="11.25">
      <c r="A4" s="133"/>
    </row>
    <row r="5" spans="1:17" s="153" customFormat="1" ht="17.25" customHeight="1">
      <c r="A5" s="145" t="s">
        <v>200</v>
      </c>
      <c r="B5" s="147" t="s">
        <v>201</v>
      </c>
      <c r="C5" s="149" t="s">
        <v>202</v>
      </c>
      <c r="D5" s="106" t="s">
        <v>203</v>
      </c>
      <c r="E5" s="107"/>
      <c r="F5" s="151" t="s">
        <v>199</v>
      </c>
      <c r="G5" s="151"/>
      <c r="H5" s="151"/>
      <c r="I5" s="151"/>
      <c r="J5" s="151"/>
      <c r="K5" s="151"/>
      <c r="L5" s="151"/>
      <c r="M5" s="151"/>
      <c r="N5" s="151"/>
      <c r="O5" s="152" t="s">
        <v>205</v>
      </c>
      <c r="P5" s="152" t="s">
        <v>206</v>
      </c>
      <c r="Q5" s="152" t="s">
        <v>207</v>
      </c>
    </row>
    <row r="6" spans="1:17" s="153" customFormat="1" ht="11.25">
      <c r="A6" s="146"/>
      <c r="B6" s="148"/>
      <c r="C6" s="150"/>
      <c r="D6" s="154" t="s">
        <v>208</v>
      </c>
      <c r="E6" s="154" t="s">
        <v>209</v>
      </c>
      <c r="F6" s="155" t="s">
        <v>204</v>
      </c>
      <c r="G6" s="155" t="s">
        <v>7</v>
      </c>
      <c r="H6" s="155" t="s">
        <v>8</v>
      </c>
      <c r="I6" s="155" t="s">
        <v>9</v>
      </c>
      <c r="J6" s="155" t="s">
        <v>10</v>
      </c>
      <c r="K6" s="155" t="s">
        <v>11</v>
      </c>
      <c r="L6" s="155" t="s">
        <v>12</v>
      </c>
      <c r="M6" s="155" t="s">
        <v>13</v>
      </c>
      <c r="N6" s="156" t="s">
        <v>14</v>
      </c>
      <c r="O6" s="157"/>
      <c r="P6" s="157"/>
      <c r="Q6" s="157"/>
    </row>
    <row r="7" spans="1:17" s="134" customFormat="1" ht="11.25">
      <c r="A7" s="109" t="s">
        <v>210</v>
      </c>
      <c r="B7" s="110">
        <v>60</v>
      </c>
      <c r="C7" s="111">
        <f aca="true" t="shared" si="0" ref="C7:C18">E7/B7/6</f>
        <v>3929.28925</v>
      </c>
      <c r="D7" s="112">
        <v>2558166</v>
      </c>
      <c r="E7" s="112">
        <v>1414544.13</v>
      </c>
      <c r="F7" s="112">
        <v>955337.58</v>
      </c>
      <c r="G7" s="112">
        <v>143680.99</v>
      </c>
      <c r="H7" s="112">
        <v>186588.39</v>
      </c>
      <c r="I7" s="112">
        <v>20744.75</v>
      </c>
      <c r="J7" s="112">
        <v>15771.35</v>
      </c>
      <c r="K7" s="112">
        <v>0</v>
      </c>
      <c r="L7" s="112">
        <v>76417.5</v>
      </c>
      <c r="M7" s="112">
        <v>0</v>
      </c>
      <c r="N7" s="112">
        <v>0</v>
      </c>
      <c r="O7" s="113" t="e">
        <f>(F7+H7+I7+G7)/(#REF!+#REF!+#REF!+#REF!)*100</f>
        <v>#REF!</v>
      </c>
      <c r="P7" s="113"/>
      <c r="Q7" s="113" t="e">
        <f>J7/#REF!*100</f>
        <v>#REF!</v>
      </c>
    </row>
    <row r="8" spans="1:17" s="134" customFormat="1" ht="11.25">
      <c r="A8" s="110" t="s">
        <v>211</v>
      </c>
      <c r="B8" s="110">
        <v>18</v>
      </c>
      <c r="C8" s="111">
        <f t="shared" si="0"/>
        <v>3576.796481481482</v>
      </c>
      <c r="D8" s="112">
        <v>716681</v>
      </c>
      <c r="E8" s="112">
        <v>386294.02</v>
      </c>
      <c r="F8" s="112">
        <v>244019.86</v>
      </c>
      <c r="G8" s="112">
        <v>45154.97</v>
      </c>
      <c r="H8" s="112">
        <v>47942.59</v>
      </c>
      <c r="I8" s="112">
        <v>5830.29</v>
      </c>
      <c r="J8" s="112">
        <v>4738</v>
      </c>
      <c r="K8" s="112">
        <v>0</v>
      </c>
      <c r="L8" s="112">
        <v>19676.33</v>
      </c>
      <c r="M8" s="112">
        <v>0</v>
      </c>
      <c r="N8" s="112">
        <v>0</v>
      </c>
      <c r="O8" s="113" t="e">
        <f>(F8+H8+I8+G8)/(#REF!+#REF!+#REF!+#REF!)*100</f>
        <v>#REF!</v>
      </c>
      <c r="P8" s="113"/>
      <c r="Q8" s="113" t="e">
        <f>J8/#REF!*100</f>
        <v>#REF!</v>
      </c>
    </row>
    <row r="9" spans="1:17" s="134" customFormat="1" ht="11.25">
      <c r="A9" s="109" t="s">
        <v>212</v>
      </c>
      <c r="B9" s="110">
        <v>170</v>
      </c>
      <c r="C9" s="111">
        <f t="shared" si="0"/>
        <v>2006.1418823529411</v>
      </c>
      <c r="D9" s="112">
        <f>3696564+40000</f>
        <v>3736564</v>
      </c>
      <c r="E9" s="112">
        <v>2046264.72</v>
      </c>
      <c r="F9" s="112">
        <v>1344576.82</v>
      </c>
      <c r="G9" s="112">
        <v>216742.42</v>
      </c>
      <c r="H9" s="112">
        <v>260442.05</v>
      </c>
      <c r="I9" s="112">
        <v>29626.93</v>
      </c>
      <c r="J9" s="112">
        <v>60804.71</v>
      </c>
      <c r="K9" s="112">
        <v>0</v>
      </c>
      <c r="L9" s="112">
        <v>110519</v>
      </c>
      <c r="M9" s="112">
        <v>0</v>
      </c>
      <c r="N9" s="112">
        <v>0</v>
      </c>
      <c r="O9" s="113" t="e">
        <f>(F9+H9+I9+G9)/(#REF!+#REF!+#REF!+#REF!)*100</f>
        <v>#REF!</v>
      </c>
      <c r="P9" s="113"/>
      <c r="Q9" s="113" t="e">
        <f>J9/#REF!*100</f>
        <v>#REF!</v>
      </c>
    </row>
    <row r="10" spans="1:17" s="134" customFormat="1" ht="11.25">
      <c r="A10" s="114" t="s">
        <v>213</v>
      </c>
      <c r="B10" s="115">
        <f>SUM(B7:B9)</f>
        <v>248</v>
      </c>
      <c r="C10" s="116">
        <f t="shared" si="0"/>
        <v>2585.418595430108</v>
      </c>
      <c r="D10" s="115">
        <f aca="true" t="shared" si="1" ref="D10:N10">SUM(D7:D9)</f>
        <v>7011411</v>
      </c>
      <c r="E10" s="115">
        <f t="shared" si="1"/>
        <v>3847102.87</v>
      </c>
      <c r="F10" s="115">
        <f t="shared" si="1"/>
        <v>2543934.26</v>
      </c>
      <c r="G10" s="115">
        <f t="shared" si="1"/>
        <v>405578.38</v>
      </c>
      <c r="H10" s="115">
        <f t="shared" si="1"/>
        <v>494973.03</v>
      </c>
      <c r="I10" s="115">
        <f t="shared" si="1"/>
        <v>56201.97</v>
      </c>
      <c r="J10" s="115">
        <f t="shared" si="1"/>
        <v>81314.06</v>
      </c>
      <c r="K10" s="115">
        <f t="shared" si="1"/>
        <v>0</v>
      </c>
      <c r="L10" s="115">
        <f t="shared" si="1"/>
        <v>206612.83000000002</v>
      </c>
      <c r="M10" s="115">
        <f t="shared" si="1"/>
        <v>0</v>
      </c>
      <c r="N10" s="115">
        <f t="shared" si="1"/>
        <v>0</v>
      </c>
      <c r="O10" s="117" t="e">
        <f>(F10+H10+I10+G10)/(#REF!+#REF!+#REF!+#REF!)*100</f>
        <v>#REF!</v>
      </c>
      <c r="P10" s="117">
        <f>SUM(P7:P9)</f>
        <v>0</v>
      </c>
      <c r="Q10" s="117" t="e">
        <f>J10/#REF!*100</f>
        <v>#REF!</v>
      </c>
    </row>
    <row r="11" spans="1:17" s="134" customFormat="1" ht="11.25">
      <c r="A11" s="109" t="s">
        <v>210</v>
      </c>
      <c r="B11" s="112">
        <v>16</v>
      </c>
      <c r="C11" s="111">
        <f t="shared" si="0"/>
        <v>1664.9013541666666</v>
      </c>
      <c r="D11" s="112">
        <v>300686</v>
      </c>
      <c r="E11" s="112">
        <v>159830.53</v>
      </c>
      <c r="F11" s="112">
        <v>108339.55</v>
      </c>
      <c r="G11" s="112">
        <v>13333.46</v>
      </c>
      <c r="H11" s="112">
        <v>20025.02</v>
      </c>
      <c r="I11" s="112">
        <v>2411.85</v>
      </c>
      <c r="J11" s="112">
        <v>0</v>
      </c>
      <c r="K11" s="112">
        <v>0</v>
      </c>
      <c r="L11" s="112">
        <v>10380.75</v>
      </c>
      <c r="M11" s="112">
        <v>0</v>
      </c>
      <c r="N11" s="112">
        <v>0</v>
      </c>
      <c r="O11" s="113" t="e">
        <f>(F11+H11+I11+G11)/(#REF!+#REF!+#REF!+#REF!)*100</f>
        <v>#REF!</v>
      </c>
      <c r="P11" s="113"/>
      <c r="Q11" s="113"/>
    </row>
    <row r="12" spans="1:17" s="134" customFormat="1" ht="11.25">
      <c r="A12" s="116">
        <v>80105</v>
      </c>
      <c r="B12" s="115">
        <f>B11</f>
        <v>16</v>
      </c>
      <c r="C12" s="116">
        <f t="shared" si="0"/>
        <v>1664.9013541666666</v>
      </c>
      <c r="D12" s="115">
        <f aca="true" t="shared" si="2" ref="D12:N12">D11</f>
        <v>300686</v>
      </c>
      <c r="E12" s="115">
        <f t="shared" si="2"/>
        <v>159830.53</v>
      </c>
      <c r="F12" s="115">
        <f t="shared" si="2"/>
        <v>108339.55</v>
      </c>
      <c r="G12" s="115">
        <f t="shared" si="2"/>
        <v>13333.46</v>
      </c>
      <c r="H12" s="115">
        <f t="shared" si="2"/>
        <v>20025.02</v>
      </c>
      <c r="I12" s="115">
        <f t="shared" si="2"/>
        <v>2411.85</v>
      </c>
      <c r="J12" s="115">
        <f t="shared" si="2"/>
        <v>0</v>
      </c>
      <c r="K12" s="115">
        <f t="shared" si="2"/>
        <v>0</v>
      </c>
      <c r="L12" s="115">
        <f t="shared" si="2"/>
        <v>10380.75</v>
      </c>
      <c r="M12" s="115">
        <f t="shared" si="2"/>
        <v>0</v>
      </c>
      <c r="N12" s="115">
        <f t="shared" si="2"/>
        <v>0</v>
      </c>
      <c r="O12" s="117" t="e">
        <f>(F12+H12+I12+G12)/(#REF!+#REF!+#REF!+#REF!)*100</f>
        <v>#REF!</v>
      </c>
      <c r="P12" s="117">
        <f>P11</f>
        <v>0</v>
      </c>
      <c r="Q12" s="117">
        <f>Q11</f>
        <v>0</v>
      </c>
    </row>
    <row r="13" spans="1:17" s="134" customFormat="1" ht="11.25">
      <c r="A13" s="109" t="s">
        <v>212</v>
      </c>
      <c r="B13" s="112">
        <v>11</v>
      </c>
      <c r="C13" s="111">
        <f t="shared" si="0"/>
        <v>3955.9051515151514</v>
      </c>
      <c r="D13" s="112">
        <v>518691</v>
      </c>
      <c r="E13" s="112">
        <v>261089.74</v>
      </c>
      <c r="F13" s="112">
        <v>179652.79</v>
      </c>
      <c r="G13" s="112">
        <v>24699</v>
      </c>
      <c r="H13" s="112">
        <v>34310.43</v>
      </c>
      <c r="I13" s="112">
        <v>3603.17</v>
      </c>
      <c r="J13" s="115">
        <v>0</v>
      </c>
      <c r="K13" s="115">
        <v>0</v>
      </c>
      <c r="L13" s="112">
        <v>16751</v>
      </c>
      <c r="M13" s="115">
        <v>0</v>
      </c>
      <c r="N13" s="115">
        <v>0</v>
      </c>
      <c r="O13" s="117"/>
      <c r="P13" s="117"/>
      <c r="Q13" s="117"/>
    </row>
    <row r="14" spans="1:17" s="134" customFormat="1" ht="11.25">
      <c r="A14" s="116">
        <v>80106</v>
      </c>
      <c r="B14" s="115">
        <f>B13</f>
        <v>11</v>
      </c>
      <c r="C14" s="116">
        <f t="shared" si="0"/>
        <v>3955.9051515151514</v>
      </c>
      <c r="D14" s="115">
        <f aca="true" t="shared" si="3" ref="D14:Q14">D13</f>
        <v>518691</v>
      </c>
      <c r="E14" s="115">
        <f t="shared" si="3"/>
        <v>261089.74</v>
      </c>
      <c r="F14" s="115">
        <f t="shared" si="3"/>
        <v>179652.79</v>
      </c>
      <c r="G14" s="115">
        <f t="shared" si="3"/>
        <v>24699</v>
      </c>
      <c r="H14" s="115">
        <f t="shared" si="3"/>
        <v>34310.43</v>
      </c>
      <c r="I14" s="115">
        <f t="shared" si="3"/>
        <v>3603.17</v>
      </c>
      <c r="J14" s="115">
        <f t="shared" si="3"/>
        <v>0</v>
      </c>
      <c r="K14" s="115">
        <f t="shared" si="3"/>
        <v>0</v>
      </c>
      <c r="L14" s="115">
        <f t="shared" si="3"/>
        <v>16751</v>
      </c>
      <c r="M14" s="115">
        <f t="shared" si="3"/>
        <v>0</v>
      </c>
      <c r="N14" s="115">
        <f t="shared" si="3"/>
        <v>0</v>
      </c>
      <c r="O14" s="115">
        <f t="shared" si="3"/>
        <v>0</v>
      </c>
      <c r="P14" s="115">
        <f t="shared" si="3"/>
        <v>0</v>
      </c>
      <c r="Q14" s="115">
        <f t="shared" si="3"/>
        <v>0</v>
      </c>
    </row>
    <row r="15" spans="1:17" s="134" customFormat="1" ht="11.25">
      <c r="A15" s="109" t="s">
        <v>210</v>
      </c>
      <c r="B15" s="110">
        <v>29</v>
      </c>
      <c r="C15" s="111">
        <f t="shared" si="0"/>
        <v>3058.0448275862072</v>
      </c>
      <c r="D15" s="112">
        <v>985272</v>
      </c>
      <c r="E15" s="112">
        <v>532099.8</v>
      </c>
      <c r="F15" s="112">
        <v>361003.35</v>
      </c>
      <c r="G15" s="112">
        <v>60279.3</v>
      </c>
      <c r="H15" s="112">
        <v>70556.17</v>
      </c>
      <c r="I15" s="112">
        <v>8184.72</v>
      </c>
      <c r="J15" s="112">
        <v>342.85</v>
      </c>
      <c r="K15" s="112">
        <v>0</v>
      </c>
      <c r="L15" s="112">
        <v>29054.25</v>
      </c>
      <c r="M15" s="112">
        <v>0</v>
      </c>
      <c r="N15" s="112">
        <v>0</v>
      </c>
      <c r="O15" s="113" t="e">
        <f>(F15+H15+I15+G15)/(#REF!+#REF!+#REF!+#REF!)*100</f>
        <v>#REF!</v>
      </c>
      <c r="P15" s="113"/>
      <c r="Q15" s="113" t="e">
        <f>J15/#REF!*100</f>
        <v>#REF!</v>
      </c>
    </row>
    <row r="16" spans="1:17" s="134" customFormat="1" ht="11.25">
      <c r="A16" s="110" t="s">
        <v>211</v>
      </c>
      <c r="B16" s="110">
        <v>13</v>
      </c>
      <c r="C16" s="111">
        <f t="shared" si="0"/>
        <v>4302.679487179487</v>
      </c>
      <c r="D16" s="112">
        <v>637761</v>
      </c>
      <c r="E16" s="112">
        <v>335609</v>
      </c>
      <c r="F16" s="112">
        <v>228267.53</v>
      </c>
      <c r="G16" s="112">
        <v>28919.44</v>
      </c>
      <c r="H16" s="112">
        <v>43517.87</v>
      </c>
      <c r="I16" s="112">
        <v>4589.09</v>
      </c>
      <c r="J16" s="112">
        <v>2153</v>
      </c>
      <c r="K16" s="112">
        <v>0</v>
      </c>
      <c r="L16" s="112">
        <v>17959.27</v>
      </c>
      <c r="M16" s="112">
        <v>0</v>
      </c>
      <c r="N16" s="112">
        <v>0</v>
      </c>
      <c r="O16" s="113" t="e">
        <f>(F16+H16+I16+G16)/(#REF!+#REF!+#REF!+#REF!)*100</f>
        <v>#REF!</v>
      </c>
      <c r="P16" s="113"/>
      <c r="Q16" s="113" t="e">
        <f>J16/#REF!*100</f>
        <v>#REF!</v>
      </c>
    </row>
    <row r="17" spans="1:17" s="134" customFormat="1" ht="11.25">
      <c r="A17" s="109" t="s">
        <v>212</v>
      </c>
      <c r="B17" s="110">
        <v>73</v>
      </c>
      <c r="C17" s="111">
        <f t="shared" si="0"/>
        <v>2636.5494748858446</v>
      </c>
      <c r="D17" s="112">
        <v>2188584</v>
      </c>
      <c r="E17" s="112">
        <v>1154808.67</v>
      </c>
      <c r="F17" s="112">
        <v>776792.84</v>
      </c>
      <c r="G17" s="112">
        <v>126344.62</v>
      </c>
      <c r="H17" s="112">
        <v>150355.66</v>
      </c>
      <c r="I17" s="112">
        <v>13384.95</v>
      </c>
      <c r="J17" s="112">
        <v>20765.98</v>
      </c>
      <c r="K17" s="112">
        <v>2393.58</v>
      </c>
      <c r="L17" s="112">
        <v>56625</v>
      </c>
      <c r="M17" s="112">
        <v>0</v>
      </c>
      <c r="N17" s="112">
        <v>0</v>
      </c>
      <c r="O17" s="113" t="e">
        <f>(F17+H17+I17+G17)/(#REF!+#REF!+#REF!+#REF!)*100</f>
        <v>#REF!</v>
      </c>
      <c r="P17" s="113"/>
      <c r="Q17" s="113" t="e">
        <f>J17/#REF!*100</f>
        <v>#REF!</v>
      </c>
    </row>
    <row r="18" spans="1:17" s="134" customFormat="1" ht="11.25">
      <c r="A18" s="114" t="s">
        <v>214</v>
      </c>
      <c r="B18" s="115">
        <f>SUM(B15:B17)</f>
        <v>115</v>
      </c>
      <c r="C18" s="116">
        <f t="shared" si="0"/>
        <v>2931.1847391304345</v>
      </c>
      <c r="D18" s="115">
        <f aca="true" t="shared" si="4" ref="D18:N18">SUM(D15:D17)</f>
        <v>3811617</v>
      </c>
      <c r="E18" s="115">
        <f t="shared" si="4"/>
        <v>2022517.47</v>
      </c>
      <c r="F18" s="115">
        <f t="shared" si="4"/>
        <v>1366063.72</v>
      </c>
      <c r="G18" s="115">
        <f t="shared" si="4"/>
        <v>215543.36</v>
      </c>
      <c r="H18" s="115">
        <f t="shared" si="4"/>
        <v>264429.7</v>
      </c>
      <c r="I18" s="115">
        <f t="shared" si="4"/>
        <v>26158.760000000002</v>
      </c>
      <c r="J18" s="115">
        <f t="shared" si="4"/>
        <v>23261.829999999998</v>
      </c>
      <c r="K18" s="115">
        <f t="shared" si="4"/>
        <v>2393.58</v>
      </c>
      <c r="L18" s="115">
        <f t="shared" si="4"/>
        <v>103638.52</v>
      </c>
      <c r="M18" s="115">
        <f t="shared" si="4"/>
        <v>0</v>
      </c>
      <c r="N18" s="115">
        <f t="shared" si="4"/>
        <v>0</v>
      </c>
      <c r="O18" s="117" t="e">
        <f>(F18+H18+I18+G18)/(#REF!+#REF!+#REF!+#REF!)*100</f>
        <v>#REF!</v>
      </c>
      <c r="P18" s="117">
        <f>SUM(P15:P17)</f>
        <v>0</v>
      </c>
      <c r="Q18" s="117" t="e">
        <f>J18/#REF!*100</f>
        <v>#REF!</v>
      </c>
    </row>
    <row r="19" spans="1:17" s="134" customFormat="1" ht="11.25">
      <c r="A19" s="109" t="s">
        <v>212</v>
      </c>
      <c r="B19" s="115"/>
      <c r="C19" s="111"/>
      <c r="D19" s="112">
        <v>47000</v>
      </c>
      <c r="E19" s="112">
        <v>22742.71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7"/>
      <c r="P19" s="113"/>
      <c r="Q19" s="113"/>
    </row>
    <row r="20" spans="1:17" s="134" customFormat="1" ht="11.25">
      <c r="A20" s="109" t="s">
        <v>215</v>
      </c>
      <c r="B20" s="115"/>
      <c r="C20" s="111"/>
      <c r="D20" s="112">
        <v>25498</v>
      </c>
      <c r="E20" s="112">
        <v>11364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7"/>
      <c r="P20" s="113"/>
      <c r="Q20" s="113"/>
    </row>
    <row r="21" spans="1:17" s="134" customFormat="1" ht="11.25">
      <c r="A21" s="109" t="s">
        <v>216</v>
      </c>
      <c r="B21" s="115"/>
      <c r="C21" s="111"/>
      <c r="D21" s="112">
        <v>3000</v>
      </c>
      <c r="E21" s="112">
        <v>2212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7"/>
      <c r="P21" s="113"/>
      <c r="Q21" s="113"/>
    </row>
    <row r="22" spans="1:17" s="134" customFormat="1" ht="11.25">
      <c r="A22" s="109" t="s">
        <v>217</v>
      </c>
      <c r="B22" s="115"/>
      <c r="C22" s="111"/>
      <c r="D22" s="112">
        <v>176986</v>
      </c>
      <c r="E22" s="112">
        <v>96036.81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7"/>
      <c r="P22" s="113"/>
      <c r="Q22" s="113"/>
    </row>
    <row r="23" spans="1:17" s="134" customFormat="1" ht="11.25">
      <c r="A23" s="109" t="s">
        <v>218</v>
      </c>
      <c r="B23" s="115"/>
      <c r="C23" s="111"/>
      <c r="D23" s="112">
        <v>2688</v>
      </c>
      <c r="E23" s="112">
        <v>456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7"/>
      <c r="P23" s="113"/>
      <c r="Q23" s="113"/>
    </row>
    <row r="24" spans="1:17" s="134" customFormat="1" ht="11.25">
      <c r="A24" s="114" t="s">
        <v>219</v>
      </c>
      <c r="B24" s="115">
        <f aca="true" t="shared" si="5" ref="B24:Q24">SUM(B19:B23)</f>
        <v>0</v>
      </c>
      <c r="C24" s="115">
        <f t="shared" si="5"/>
        <v>0</v>
      </c>
      <c r="D24" s="115">
        <f t="shared" si="5"/>
        <v>255172</v>
      </c>
      <c r="E24" s="115">
        <f t="shared" si="5"/>
        <v>132811.52</v>
      </c>
      <c r="F24" s="115">
        <f t="shared" si="5"/>
        <v>0</v>
      </c>
      <c r="G24" s="115">
        <f t="shared" si="5"/>
        <v>0</v>
      </c>
      <c r="H24" s="115">
        <f t="shared" si="5"/>
        <v>0</v>
      </c>
      <c r="I24" s="115">
        <f t="shared" si="5"/>
        <v>0</v>
      </c>
      <c r="J24" s="115">
        <f t="shared" si="5"/>
        <v>0</v>
      </c>
      <c r="K24" s="115">
        <f t="shared" si="5"/>
        <v>0</v>
      </c>
      <c r="L24" s="115">
        <f t="shared" si="5"/>
        <v>0</v>
      </c>
      <c r="M24" s="115">
        <f t="shared" si="5"/>
        <v>0</v>
      </c>
      <c r="N24" s="115">
        <f t="shared" si="5"/>
        <v>0</v>
      </c>
      <c r="O24" s="115">
        <f t="shared" si="5"/>
        <v>0</v>
      </c>
      <c r="P24" s="115">
        <f t="shared" si="5"/>
        <v>0</v>
      </c>
      <c r="Q24" s="115">
        <f t="shared" si="5"/>
        <v>0</v>
      </c>
    </row>
    <row r="25" spans="1:17" s="134" customFormat="1" ht="11.25">
      <c r="A25" s="109" t="s">
        <v>220</v>
      </c>
      <c r="B25" s="110">
        <v>385</v>
      </c>
      <c r="C25" s="111">
        <f aca="true" t="shared" si="6" ref="C25:C60">E25/B25/6</f>
        <v>883.4111471861471</v>
      </c>
      <c r="D25" s="112">
        <v>3767995</v>
      </c>
      <c r="E25" s="112">
        <v>2040679.75</v>
      </c>
      <c r="F25" s="112">
        <v>1213476.85</v>
      </c>
      <c r="G25" s="112">
        <v>186232.92</v>
      </c>
      <c r="H25" s="112">
        <v>234666.83</v>
      </c>
      <c r="I25" s="112">
        <v>25239.16</v>
      </c>
      <c r="J25" s="112">
        <v>124564.02</v>
      </c>
      <c r="K25" s="112">
        <v>14057.71</v>
      </c>
      <c r="L25" s="112">
        <v>105669</v>
      </c>
      <c r="M25" s="112">
        <v>0</v>
      </c>
      <c r="N25" s="112">
        <v>0</v>
      </c>
      <c r="O25" s="117" t="e">
        <f>(F25+H25+I25+G25)/(#REF!+#REF!+#REF!+#REF!)*100</f>
        <v>#REF!</v>
      </c>
      <c r="P25" s="113"/>
      <c r="Q25" s="113" t="e">
        <f>J25/#REF!*100</f>
        <v>#REF!</v>
      </c>
    </row>
    <row r="26" spans="1:17" s="134" customFormat="1" ht="11.25">
      <c r="A26" s="109" t="s">
        <v>221</v>
      </c>
      <c r="B26" s="110">
        <v>590</v>
      </c>
      <c r="C26" s="111">
        <f t="shared" si="6"/>
        <v>588.0673079096046</v>
      </c>
      <c r="D26" s="112">
        <f>3874870+40000</f>
        <v>3914870</v>
      </c>
      <c r="E26" s="112">
        <v>2081758.27</v>
      </c>
      <c r="F26" s="112">
        <v>1305846.48</v>
      </c>
      <c r="G26" s="112">
        <v>213211.73</v>
      </c>
      <c r="H26" s="112">
        <v>258625.37</v>
      </c>
      <c r="I26" s="112">
        <v>22084.65</v>
      </c>
      <c r="J26" s="112">
        <v>143898.64</v>
      </c>
      <c r="K26" s="112">
        <v>0</v>
      </c>
      <c r="L26" s="112">
        <v>113000</v>
      </c>
      <c r="M26" s="112">
        <v>0</v>
      </c>
      <c r="N26" s="112">
        <v>0</v>
      </c>
      <c r="O26" s="117" t="e">
        <f>(F26+H26+I26+G26)/(#REF!+#REF!+#REF!+#REF!)*100</f>
        <v>#REF!</v>
      </c>
      <c r="P26" s="113"/>
      <c r="Q26" s="113" t="e">
        <f>J26/#REF!*100</f>
        <v>#REF!</v>
      </c>
    </row>
    <row r="27" spans="1:17" s="134" customFormat="1" ht="11.25">
      <c r="A27" s="109" t="s">
        <v>222</v>
      </c>
      <c r="B27" s="110">
        <v>580</v>
      </c>
      <c r="C27" s="111">
        <f t="shared" si="6"/>
        <v>876.871393678161</v>
      </c>
      <c r="D27" s="112">
        <f>5467116+80000</f>
        <v>5547116</v>
      </c>
      <c r="E27" s="112">
        <v>3051512.45</v>
      </c>
      <c r="F27" s="112">
        <v>1950748.24</v>
      </c>
      <c r="G27" s="112">
        <v>291247.71</v>
      </c>
      <c r="H27" s="112">
        <v>375033.39</v>
      </c>
      <c r="I27" s="112">
        <v>41685.58</v>
      </c>
      <c r="J27" s="112">
        <v>167386.76</v>
      </c>
      <c r="K27" s="112">
        <v>0</v>
      </c>
      <c r="L27" s="112">
        <v>162281</v>
      </c>
      <c r="M27" s="112">
        <v>0</v>
      </c>
      <c r="N27" s="112">
        <v>0</v>
      </c>
      <c r="O27" s="117" t="e">
        <f>(F27+H27+I27+G27)/(#REF!+#REF!+#REF!+#REF!)*100</f>
        <v>#REF!</v>
      </c>
      <c r="P27" s="113"/>
      <c r="Q27" s="113" t="e">
        <f>J27/#REF!*100</f>
        <v>#REF!</v>
      </c>
    </row>
    <row r="28" spans="1:17" s="134" customFormat="1" ht="11.25">
      <c r="A28" s="109" t="s">
        <v>223</v>
      </c>
      <c r="B28" s="110">
        <v>388</v>
      </c>
      <c r="C28" s="111">
        <f t="shared" si="6"/>
        <v>760.5434579037801</v>
      </c>
      <c r="D28" s="112">
        <f>3319499+20000</f>
        <v>3339499</v>
      </c>
      <c r="E28" s="112">
        <v>1770545.17</v>
      </c>
      <c r="F28" s="112">
        <v>1142904.22</v>
      </c>
      <c r="G28" s="112">
        <v>178884.73</v>
      </c>
      <c r="H28" s="112">
        <v>219883.55</v>
      </c>
      <c r="I28" s="112">
        <v>21762.7</v>
      </c>
      <c r="J28" s="112">
        <v>81029.11</v>
      </c>
      <c r="K28" s="112">
        <v>0</v>
      </c>
      <c r="L28" s="112">
        <v>96232.5</v>
      </c>
      <c r="M28" s="112">
        <v>0</v>
      </c>
      <c r="N28" s="112">
        <v>0</v>
      </c>
      <c r="O28" s="117" t="e">
        <f>(F28+H28+I28+G28)/(#REF!+#REF!+#REF!+#REF!)*100</f>
        <v>#REF!</v>
      </c>
      <c r="P28" s="113"/>
      <c r="Q28" s="113" t="e">
        <f>J28/#REF!*100</f>
        <v>#REF!</v>
      </c>
    </row>
    <row r="29" spans="1:17" s="134" customFormat="1" ht="11.25">
      <c r="A29" s="109" t="s">
        <v>224</v>
      </c>
      <c r="B29" s="110">
        <v>297</v>
      </c>
      <c r="C29" s="111">
        <f t="shared" si="6"/>
        <v>894.4892424242424</v>
      </c>
      <c r="D29" s="112">
        <v>2928607</v>
      </c>
      <c r="E29" s="112">
        <v>1593979.83</v>
      </c>
      <c r="F29" s="112">
        <v>1022210.92</v>
      </c>
      <c r="G29" s="112">
        <v>163296.1</v>
      </c>
      <c r="H29" s="112">
        <v>202192.65</v>
      </c>
      <c r="I29" s="112">
        <v>20367.48</v>
      </c>
      <c r="J29" s="112">
        <v>66346.3</v>
      </c>
      <c r="K29" s="112">
        <v>221.4</v>
      </c>
      <c r="L29" s="112">
        <v>91075</v>
      </c>
      <c r="M29" s="112">
        <v>0</v>
      </c>
      <c r="N29" s="112">
        <v>0</v>
      </c>
      <c r="O29" s="117" t="e">
        <f>(F29+H29+I29+G29)/(#REF!+#REF!+#REF!+#REF!)*100</f>
        <v>#REF!</v>
      </c>
      <c r="P29" s="113"/>
      <c r="Q29" s="113" t="e">
        <f>J29/#REF!*100</f>
        <v>#REF!</v>
      </c>
    </row>
    <row r="30" spans="1:17" s="134" customFormat="1" ht="11.25">
      <c r="A30" s="109" t="s">
        <v>225</v>
      </c>
      <c r="B30" s="110">
        <v>572</v>
      </c>
      <c r="C30" s="111">
        <f t="shared" si="6"/>
        <v>632.7370250582751</v>
      </c>
      <c r="D30" s="112">
        <f>3884192+20000</f>
        <v>3904192</v>
      </c>
      <c r="E30" s="112">
        <v>2171553.47</v>
      </c>
      <c r="F30" s="112">
        <v>1406545.87</v>
      </c>
      <c r="G30" s="112">
        <v>214926.74</v>
      </c>
      <c r="H30" s="112">
        <v>278534.14</v>
      </c>
      <c r="I30" s="112">
        <v>29663.28</v>
      </c>
      <c r="J30" s="112">
        <v>84966.3</v>
      </c>
      <c r="K30" s="112">
        <v>1081.17</v>
      </c>
      <c r="L30" s="112">
        <v>121000</v>
      </c>
      <c r="M30" s="112">
        <v>0</v>
      </c>
      <c r="N30" s="112">
        <v>0</v>
      </c>
      <c r="O30" s="117" t="e">
        <f>(F30+H30+I30+G30)/(#REF!+#REF!+#REF!+#REF!)*100</f>
        <v>#REF!</v>
      </c>
      <c r="P30" s="113"/>
      <c r="Q30" s="113" t="e">
        <f>J30/#REF!*100</f>
        <v>#REF!</v>
      </c>
    </row>
    <row r="31" spans="1:17" s="134" customFormat="1" ht="11.25">
      <c r="A31" s="109" t="s">
        <v>86</v>
      </c>
      <c r="B31" s="110">
        <v>117</v>
      </c>
      <c r="C31" s="111">
        <f t="shared" si="6"/>
        <v>1114.038361823362</v>
      </c>
      <c r="D31" s="112">
        <f>1390110+20000</f>
        <v>1410110</v>
      </c>
      <c r="E31" s="112">
        <v>782054.93</v>
      </c>
      <c r="F31" s="112">
        <v>471791.42</v>
      </c>
      <c r="G31" s="112">
        <v>75718.3</v>
      </c>
      <c r="H31" s="112">
        <v>99818.17</v>
      </c>
      <c r="I31" s="112">
        <v>10645.53</v>
      </c>
      <c r="J31" s="112">
        <v>34253.89</v>
      </c>
      <c r="K31" s="112">
        <v>19962.23</v>
      </c>
      <c r="L31" s="112">
        <v>43925</v>
      </c>
      <c r="M31" s="112">
        <v>0</v>
      </c>
      <c r="N31" s="112">
        <v>0</v>
      </c>
      <c r="O31" s="117" t="e">
        <f>(F31+H31+I31+G31)/(#REF!+#REF!+#REF!+#REF!)*100</f>
        <v>#REF!</v>
      </c>
      <c r="P31" s="113"/>
      <c r="Q31" s="113" t="e">
        <f>J31/#REF!*100</f>
        <v>#REF!</v>
      </c>
    </row>
    <row r="32" spans="1:17" s="134" customFormat="1" ht="11.25">
      <c r="A32" s="109" t="s">
        <v>226</v>
      </c>
      <c r="B32" s="110">
        <v>460</v>
      </c>
      <c r="C32" s="111">
        <f t="shared" si="6"/>
        <v>683.7625579710144</v>
      </c>
      <c r="D32" s="112">
        <v>3331914</v>
      </c>
      <c r="E32" s="112">
        <v>1887184.66</v>
      </c>
      <c r="F32" s="112">
        <v>1188016.31</v>
      </c>
      <c r="G32" s="112">
        <v>179321.36</v>
      </c>
      <c r="H32" s="112">
        <v>228228.25</v>
      </c>
      <c r="I32" s="112">
        <v>23050.05</v>
      </c>
      <c r="J32" s="112">
        <v>62984.64</v>
      </c>
      <c r="K32" s="112">
        <v>2001.21</v>
      </c>
      <c r="L32" s="112">
        <v>104397</v>
      </c>
      <c r="M32" s="112">
        <v>0</v>
      </c>
      <c r="N32" s="112">
        <v>0</v>
      </c>
      <c r="O32" s="117" t="e">
        <f>(F32+H32+I32+G32)/(#REF!+#REF!+#REF!+#REF!)*100</f>
        <v>#REF!</v>
      </c>
      <c r="P32" s="113"/>
      <c r="Q32" s="113" t="e">
        <f>J32/#REF!*100</f>
        <v>#REF!</v>
      </c>
    </row>
    <row r="33" spans="1:17" s="134" customFormat="1" ht="11.25">
      <c r="A33" s="109" t="s">
        <v>227</v>
      </c>
      <c r="B33" s="110">
        <v>371</v>
      </c>
      <c r="C33" s="111">
        <f t="shared" si="6"/>
        <v>642.5746720575022</v>
      </c>
      <c r="D33" s="112">
        <f>2643307+20000</f>
        <v>2663307</v>
      </c>
      <c r="E33" s="112">
        <v>1430371.22</v>
      </c>
      <c r="F33" s="112">
        <v>907499.68</v>
      </c>
      <c r="G33" s="112">
        <v>142892.87</v>
      </c>
      <c r="H33" s="112">
        <v>174668.19</v>
      </c>
      <c r="I33" s="112">
        <v>18432.7</v>
      </c>
      <c r="J33" s="112">
        <v>67017.1</v>
      </c>
      <c r="K33" s="112">
        <v>3287.2</v>
      </c>
      <c r="L33" s="112">
        <v>84044</v>
      </c>
      <c r="M33" s="112">
        <v>0</v>
      </c>
      <c r="N33" s="112">
        <v>0</v>
      </c>
      <c r="O33" s="117" t="e">
        <f>(F33+H33+I33+G33)/(#REF!+#REF!+#REF!+#REF!)*100</f>
        <v>#REF!</v>
      </c>
      <c r="P33" s="113"/>
      <c r="Q33" s="113" t="e">
        <f>J33/#REF!*100</f>
        <v>#REF!</v>
      </c>
    </row>
    <row r="34" spans="1:17" s="134" customFormat="1" ht="11.25">
      <c r="A34" s="109" t="s">
        <v>228</v>
      </c>
      <c r="B34" s="110">
        <v>161</v>
      </c>
      <c r="C34" s="111">
        <f t="shared" si="6"/>
        <v>969.004751552795</v>
      </c>
      <c r="D34" s="112">
        <v>1661944</v>
      </c>
      <c r="E34" s="112">
        <v>936058.59</v>
      </c>
      <c r="F34" s="112">
        <v>540212.34</v>
      </c>
      <c r="G34" s="112">
        <v>93665.68</v>
      </c>
      <c r="H34" s="112">
        <v>108930.07</v>
      </c>
      <c r="I34" s="112">
        <v>13035.38</v>
      </c>
      <c r="J34" s="112">
        <v>113013.67</v>
      </c>
      <c r="K34" s="112">
        <v>0</v>
      </c>
      <c r="L34" s="112">
        <v>43296</v>
      </c>
      <c r="M34" s="112">
        <v>0</v>
      </c>
      <c r="N34" s="112">
        <v>0</v>
      </c>
      <c r="O34" s="117" t="e">
        <f>(F34+H34+I34+G34)/(#REF!+#REF!+#REF!+#REF!)*100</f>
        <v>#REF!</v>
      </c>
      <c r="P34" s="113"/>
      <c r="Q34" s="113" t="e">
        <f>J34/#REF!*100</f>
        <v>#REF!</v>
      </c>
    </row>
    <row r="35" spans="1:17" s="134" customFormat="1" ht="11.25">
      <c r="A35" s="109" t="s">
        <v>88</v>
      </c>
      <c r="B35" s="110">
        <v>180</v>
      </c>
      <c r="C35" s="111">
        <f t="shared" si="6"/>
        <v>1542.3171203703705</v>
      </c>
      <c r="D35" s="112">
        <f>2622402+35000</f>
        <v>2657402</v>
      </c>
      <c r="E35" s="112">
        <v>1665702.49</v>
      </c>
      <c r="F35" s="112">
        <v>1051246.08</v>
      </c>
      <c r="G35" s="112">
        <v>152042.96</v>
      </c>
      <c r="H35" s="112">
        <v>203088.88</v>
      </c>
      <c r="I35" s="112">
        <v>23915.74</v>
      </c>
      <c r="J35" s="112">
        <v>95762.53</v>
      </c>
      <c r="K35" s="112">
        <v>33825</v>
      </c>
      <c r="L35" s="112">
        <v>92714</v>
      </c>
      <c r="M35" s="112">
        <v>0</v>
      </c>
      <c r="N35" s="112">
        <v>0</v>
      </c>
      <c r="O35" s="117" t="e">
        <f>(F35+H35+I35+G35)/(#REF!+#REF!+#REF!+#REF!)*100</f>
        <v>#REF!</v>
      </c>
      <c r="P35" s="113"/>
      <c r="Q35" s="113" t="e">
        <f>J35/#REF!*100</f>
        <v>#REF!</v>
      </c>
    </row>
    <row r="36" spans="1:17" s="134" customFormat="1" ht="11.25">
      <c r="A36" s="109" t="s">
        <v>87</v>
      </c>
      <c r="B36" s="110">
        <v>465</v>
      </c>
      <c r="C36" s="111">
        <f t="shared" si="6"/>
        <v>682.3400143369175</v>
      </c>
      <c r="D36" s="112">
        <f>3403275+65000</f>
        <v>3468275</v>
      </c>
      <c r="E36" s="112">
        <f>1902595.63+1133.01</f>
        <v>1903728.64</v>
      </c>
      <c r="F36" s="112">
        <v>1220340.33</v>
      </c>
      <c r="G36" s="112">
        <v>183436.47</v>
      </c>
      <c r="H36" s="112">
        <v>237854.74</v>
      </c>
      <c r="I36" s="112">
        <v>29908.58</v>
      </c>
      <c r="J36" s="112">
        <v>92435.46</v>
      </c>
      <c r="K36" s="112">
        <v>0</v>
      </c>
      <c r="L36" s="112">
        <v>105477</v>
      </c>
      <c r="M36" s="112">
        <v>0</v>
      </c>
      <c r="N36" s="112">
        <v>0</v>
      </c>
      <c r="O36" s="117" t="e">
        <f>(F36+H36+I36+G36)/(#REF!+#REF!+#REF!+#REF!)*100</f>
        <v>#REF!</v>
      </c>
      <c r="P36" s="113"/>
      <c r="Q36" s="113" t="e">
        <f>J36/#REF!*100</f>
        <v>#REF!</v>
      </c>
    </row>
    <row r="37" spans="1:17" s="134" customFormat="1" ht="11.25">
      <c r="A37" s="109" t="s">
        <v>229</v>
      </c>
      <c r="B37" s="110">
        <v>280</v>
      </c>
      <c r="C37" s="111">
        <f t="shared" si="6"/>
        <v>307.4292976190476</v>
      </c>
      <c r="D37" s="112">
        <v>1001437</v>
      </c>
      <c r="E37" s="112">
        <v>516481.22</v>
      </c>
      <c r="F37" s="112">
        <v>324566.31</v>
      </c>
      <c r="G37" s="112">
        <v>51789.7</v>
      </c>
      <c r="H37" s="112">
        <v>63506.61</v>
      </c>
      <c r="I37" s="112">
        <v>4185.4</v>
      </c>
      <c r="J37" s="112">
        <v>22175</v>
      </c>
      <c r="K37" s="112">
        <v>0</v>
      </c>
      <c r="L37" s="112">
        <v>28385</v>
      </c>
      <c r="M37" s="112">
        <v>0</v>
      </c>
      <c r="N37" s="112">
        <v>0</v>
      </c>
      <c r="O37" s="117" t="e">
        <f>(F37+H37+I37+G37)/(#REF!+#REF!+#REF!+#REF!)*100</f>
        <v>#REF!</v>
      </c>
      <c r="P37" s="113"/>
      <c r="Q37" s="113" t="e">
        <f>J37/#REF!*100</f>
        <v>#REF!</v>
      </c>
    </row>
    <row r="38" spans="1:17" s="134" customFormat="1" ht="11.25">
      <c r="A38" s="114" t="s">
        <v>230</v>
      </c>
      <c r="B38" s="115">
        <f>SUM(B25:B37)</f>
        <v>4846</v>
      </c>
      <c r="C38" s="116">
        <f t="shared" si="6"/>
        <v>750.8464262622093</v>
      </c>
      <c r="D38" s="115">
        <f aca="true" t="shared" si="7" ref="D38:N38">SUM(D25:D37)</f>
        <v>39596668</v>
      </c>
      <c r="E38" s="115">
        <f t="shared" si="7"/>
        <v>21831610.689999998</v>
      </c>
      <c r="F38" s="115">
        <f t="shared" si="7"/>
        <v>13745405.05</v>
      </c>
      <c r="G38" s="115">
        <f t="shared" si="7"/>
        <v>2126667.2700000005</v>
      </c>
      <c r="H38" s="115">
        <f t="shared" si="7"/>
        <v>2685030.8399999994</v>
      </c>
      <c r="I38" s="115">
        <f t="shared" si="7"/>
        <v>283976.23000000004</v>
      </c>
      <c r="J38" s="115">
        <f t="shared" si="7"/>
        <v>1155833.4200000002</v>
      </c>
      <c r="K38" s="115">
        <f t="shared" si="7"/>
        <v>74435.91999999998</v>
      </c>
      <c r="L38" s="115">
        <f t="shared" si="7"/>
        <v>1191495.5</v>
      </c>
      <c r="M38" s="115">
        <f t="shared" si="7"/>
        <v>0</v>
      </c>
      <c r="N38" s="115">
        <f t="shared" si="7"/>
        <v>0</v>
      </c>
      <c r="O38" s="117" t="e">
        <f>(F38+H38+I38+G38)/(#REF!+#REF!+#REF!+#REF!)*100</f>
        <v>#REF!</v>
      </c>
      <c r="P38" s="117">
        <f>SUM(P25:P37)</f>
        <v>0</v>
      </c>
      <c r="Q38" s="117" t="e">
        <f>J38/#REF!*100</f>
        <v>#REF!</v>
      </c>
    </row>
    <row r="39" spans="1:17" s="134" customFormat="1" ht="11.25">
      <c r="A39" s="109" t="s">
        <v>218</v>
      </c>
      <c r="B39" s="112">
        <v>22</v>
      </c>
      <c r="C39" s="111">
        <f t="shared" si="6"/>
        <v>3547.507575757576</v>
      </c>
      <c r="D39" s="112">
        <v>873742</v>
      </c>
      <c r="E39" s="112">
        <v>468271</v>
      </c>
      <c r="F39" s="112">
        <v>330494.81</v>
      </c>
      <c r="G39" s="112">
        <v>42932.66</v>
      </c>
      <c r="H39" s="112">
        <v>62822.49</v>
      </c>
      <c r="I39" s="112">
        <v>7297.33</v>
      </c>
      <c r="J39" s="112">
        <v>0</v>
      </c>
      <c r="K39" s="112">
        <v>0</v>
      </c>
      <c r="L39" s="112">
        <v>23833</v>
      </c>
      <c r="M39" s="112">
        <v>0</v>
      </c>
      <c r="N39" s="112">
        <v>0</v>
      </c>
      <c r="O39" s="117" t="e">
        <f>(F39+H39+I39+G39)/(#REF!+#REF!+#REF!+#REF!)*100</f>
        <v>#REF!</v>
      </c>
      <c r="P39" s="113"/>
      <c r="Q39" s="113"/>
    </row>
    <row r="40" spans="1:17" s="134" customFormat="1" ht="11.25">
      <c r="A40" s="109" t="s">
        <v>215</v>
      </c>
      <c r="B40" s="112">
        <v>6</v>
      </c>
      <c r="C40" s="111">
        <f t="shared" si="6"/>
        <v>4414.091944444444</v>
      </c>
      <c r="D40" s="112">
        <v>305527</v>
      </c>
      <c r="E40" s="112">
        <v>158907.31</v>
      </c>
      <c r="F40" s="112">
        <v>108208.92</v>
      </c>
      <c r="G40" s="112">
        <v>13330.69</v>
      </c>
      <c r="H40" s="112">
        <v>20813.97</v>
      </c>
      <c r="I40" s="112">
        <v>2606.83</v>
      </c>
      <c r="J40" s="112">
        <v>0</v>
      </c>
      <c r="K40" s="112">
        <v>0</v>
      </c>
      <c r="L40" s="112">
        <v>9590.1</v>
      </c>
      <c r="M40" s="112">
        <v>0</v>
      </c>
      <c r="N40" s="112">
        <v>0</v>
      </c>
      <c r="O40" s="117" t="e">
        <f>(F40+H40+I40+G40)/(#REF!+#REF!+#REF!+#REF!)*100</f>
        <v>#REF!</v>
      </c>
      <c r="P40" s="113"/>
      <c r="Q40" s="113"/>
    </row>
    <row r="41" spans="1:17" s="134" customFormat="1" ht="11.25">
      <c r="A41" s="114" t="s">
        <v>231</v>
      </c>
      <c r="B41" s="115">
        <f>B40+B39</f>
        <v>28</v>
      </c>
      <c r="C41" s="116">
        <f t="shared" si="6"/>
        <v>3733.2042261904767</v>
      </c>
      <c r="D41" s="115">
        <f aca="true" t="shared" si="8" ref="D41:N41">D40+D39</f>
        <v>1179269</v>
      </c>
      <c r="E41" s="115">
        <f t="shared" si="8"/>
        <v>627178.31</v>
      </c>
      <c r="F41" s="115">
        <f t="shared" si="8"/>
        <v>438703.73</v>
      </c>
      <c r="G41" s="115">
        <f t="shared" si="8"/>
        <v>56263.350000000006</v>
      </c>
      <c r="H41" s="115">
        <f t="shared" si="8"/>
        <v>83636.45999999999</v>
      </c>
      <c r="I41" s="115">
        <f t="shared" si="8"/>
        <v>9904.16</v>
      </c>
      <c r="J41" s="115">
        <f t="shared" si="8"/>
        <v>0</v>
      </c>
      <c r="K41" s="115">
        <f t="shared" si="8"/>
        <v>0</v>
      </c>
      <c r="L41" s="115">
        <f t="shared" si="8"/>
        <v>33423.1</v>
      </c>
      <c r="M41" s="115">
        <f t="shared" si="8"/>
        <v>0</v>
      </c>
      <c r="N41" s="115">
        <f t="shared" si="8"/>
        <v>0</v>
      </c>
      <c r="O41" s="117" t="e">
        <f>(F41+H41+I41+G41)/(#REF!+#REF!+#REF!+#REF!)*100</f>
        <v>#REF!</v>
      </c>
      <c r="P41" s="117">
        <f>P40+P39</f>
        <v>0</v>
      </c>
      <c r="Q41" s="113"/>
    </row>
    <row r="42" spans="1:17" s="134" customFormat="1" ht="11.25">
      <c r="A42" s="109" t="s">
        <v>232</v>
      </c>
      <c r="B42" s="110">
        <v>29</v>
      </c>
      <c r="C42" s="111">
        <f t="shared" si="6"/>
        <v>1402.422471264368</v>
      </c>
      <c r="D42" s="112">
        <v>339415</v>
      </c>
      <c r="E42" s="112">
        <v>244021.51</v>
      </c>
      <c r="F42" s="112">
        <v>141459.62</v>
      </c>
      <c r="G42" s="112">
        <v>40370</v>
      </c>
      <c r="H42" s="112">
        <v>25814.58</v>
      </c>
      <c r="I42" s="112">
        <v>2259.31</v>
      </c>
      <c r="J42" s="112">
        <v>21000</v>
      </c>
      <c r="K42" s="112">
        <v>0</v>
      </c>
      <c r="L42" s="112">
        <v>8698</v>
      </c>
      <c r="M42" s="112">
        <v>0</v>
      </c>
      <c r="N42" s="112">
        <v>0</v>
      </c>
      <c r="O42" s="117" t="e">
        <f>(F42+H42+I42+G42)/(#REF!+#REF!+#REF!+#REF!)*100</f>
        <v>#REF!</v>
      </c>
      <c r="P42" s="113"/>
      <c r="Q42" s="113" t="e">
        <f>J42/#REF!*100</f>
        <v>#REF!</v>
      </c>
    </row>
    <row r="43" spans="1:17" s="134" customFormat="1" ht="11.25">
      <c r="A43" s="114" t="s">
        <v>233</v>
      </c>
      <c r="B43" s="115">
        <f>B42</f>
        <v>29</v>
      </c>
      <c r="C43" s="116">
        <f t="shared" si="6"/>
        <v>1402.422471264368</v>
      </c>
      <c r="D43" s="115">
        <f aca="true" t="shared" si="9" ref="D43:N43">D42</f>
        <v>339415</v>
      </c>
      <c r="E43" s="115">
        <f t="shared" si="9"/>
        <v>244021.51</v>
      </c>
      <c r="F43" s="115">
        <f t="shared" si="9"/>
        <v>141459.62</v>
      </c>
      <c r="G43" s="115">
        <f t="shared" si="9"/>
        <v>40370</v>
      </c>
      <c r="H43" s="115">
        <f t="shared" si="9"/>
        <v>25814.58</v>
      </c>
      <c r="I43" s="115">
        <f t="shared" si="9"/>
        <v>2259.31</v>
      </c>
      <c r="J43" s="115">
        <f t="shared" si="9"/>
        <v>21000</v>
      </c>
      <c r="K43" s="115">
        <f t="shared" si="9"/>
        <v>0</v>
      </c>
      <c r="L43" s="115">
        <f t="shared" si="9"/>
        <v>8698</v>
      </c>
      <c r="M43" s="115">
        <f t="shared" si="9"/>
        <v>0</v>
      </c>
      <c r="N43" s="115">
        <f t="shared" si="9"/>
        <v>0</v>
      </c>
      <c r="O43" s="117" t="e">
        <f>(F43+H43+I43+G43)/(#REF!+#REF!+#REF!+#REF!)*100</f>
        <v>#REF!</v>
      </c>
      <c r="P43" s="117">
        <f>P42</f>
        <v>0</v>
      </c>
      <c r="Q43" s="113" t="e">
        <f>J43/#REF!*100</f>
        <v>#REF!</v>
      </c>
    </row>
    <row r="44" spans="1:17" s="134" customFormat="1" ht="13.5" customHeight="1">
      <c r="A44" s="109" t="s">
        <v>234</v>
      </c>
      <c r="B44" s="110">
        <v>379</v>
      </c>
      <c r="C44" s="111">
        <f t="shared" si="6"/>
        <v>1112.926530343008</v>
      </c>
      <c r="D44" s="112">
        <f>4050509+20000</f>
        <v>4070509</v>
      </c>
      <c r="E44" s="112">
        <v>2530794.93</v>
      </c>
      <c r="F44" s="112">
        <v>1612800.62</v>
      </c>
      <c r="G44" s="112">
        <v>226448.77</v>
      </c>
      <c r="H44" s="112">
        <v>290195.63</v>
      </c>
      <c r="I44" s="112">
        <v>29175.07</v>
      </c>
      <c r="J44" s="112">
        <v>194105.55</v>
      </c>
      <c r="K44" s="112">
        <v>2542.87</v>
      </c>
      <c r="L44" s="112">
        <v>128176.5</v>
      </c>
      <c r="M44" s="112">
        <v>0</v>
      </c>
      <c r="N44" s="112">
        <v>0</v>
      </c>
      <c r="O44" s="117" t="e">
        <f>(F44+H44+I44+G44)/(#REF!+#REF!+#REF!+#REF!)*100</f>
        <v>#REF!</v>
      </c>
      <c r="P44" s="113"/>
      <c r="Q44" s="113" t="e">
        <f>J44/#REF!*100</f>
        <v>#REF!</v>
      </c>
    </row>
    <row r="45" spans="1:17" s="134" customFormat="1" ht="11.25">
      <c r="A45" s="109" t="s">
        <v>235</v>
      </c>
      <c r="B45" s="110">
        <v>301</v>
      </c>
      <c r="C45" s="111">
        <f t="shared" si="6"/>
        <v>630.3553211517165</v>
      </c>
      <c r="D45" s="112">
        <v>2030438</v>
      </c>
      <c r="E45" s="112">
        <v>1138421.71</v>
      </c>
      <c r="F45" s="112">
        <v>716974.7</v>
      </c>
      <c r="G45" s="112">
        <v>114378.87</v>
      </c>
      <c r="H45" s="112">
        <v>138657.44</v>
      </c>
      <c r="I45" s="112">
        <v>14436.21</v>
      </c>
      <c r="J45" s="112">
        <v>59847.6</v>
      </c>
      <c r="K45" s="112">
        <v>0</v>
      </c>
      <c r="L45" s="112">
        <v>59005.5</v>
      </c>
      <c r="M45" s="112">
        <v>0</v>
      </c>
      <c r="N45" s="112">
        <v>0</v>
      </c>
      <c r="O45" s="117" t="e">
        <f>(F45+H45+I45+G45)/(#REF!+#REF!+#REF!+#REF!)*100</f>
        <v>#REF!</v>
      </c>
      <c r="P45" s="113"/>
      <c r="Q45" s="113" t="e">
        <f>J45/#REF!*100</f>
        <v>#REF!</v>
      </c>
    </row>
    <row r="46" spans="1:17" s="134" customFormat="1" ht="11.25">
      <c r="A46" s="109" t="s">
        <v>236</v>
      </c>
      <c r="B46" s="110">
        <v>606</v>
      </c>
      <c r="C46" s="111">
        <f t="shared" si="6"/>
        <v>846.4931985698571</v>
      </c>
      <c r="D46" s="112">
        <v>5724437</v>
      </c>
      <c r="E46" s="112">
        <v>3077849.27</v>
      </c>
      <c r="F46" s="112">
        <v>1910073.37</v>
      </c>
      <c r="G46" s="112">
        <v>291955.75</v>
      </c>
      <c r="H46" s="112">
        <v>371797.13</v>
      </c>
      <c r="I46" s="112">
        <v>38101.45</v>
      </c>
      <c r="J46" s="112">
        <v>238042.05</v>
      </c>
      <c r="K46" s="112">
        <v>0</v>
      </c>
      <c r="L46" s="112">
        <v>165100</v>
      </c>
      <c r="M46" s="112">
        <v>0</v>
      </c>
      <c r="N46" s="112">
        <v>0</v>
      </c>
      <c r="O46" s="117" t="e">
        <f>(F46+H46+I46+G46)/(#REF!+#REF!+#REF!+#REF!)*100</f>
        <v>#REF!</v>
      </c>
      <c r="P46" s="113"/>
      <c r="Q46" s="113" t="e">
        <f>J46/#REF!*100</f>
        <v>#REF!</v>
      </c>
    </row>
    <row r="47" spans="1:17" s="134" customFormat="1" ht="11.25">
      <c r="A47" s="109" t="s">
        <v>237</v>
      </c>
      <c r="B47" s="110">
        <v>589</v>
      </c>
      <c r="C47" s="111">
        <f t="shared" si="6"/>
        <v>764.3905942275042</v>
      </c>
      <c r="D47" s="112">
        <f>5113480+50000</f>
        <v>5163480</v>
      </c>
      <c r="E47" s="112">
        <f>2697356.36+4000</f>
        <v>2701356.36</v>
      </c>
      <c r="F47" s="112">
        <v>1731783.16</v>
      </c>
      <c r="G47" s="112">
        <v>271833.68</v>
      </c>
      <c r="H47" s="112">
        <v>332443.41</v>
      </c>
      <c r="I47" s="112">
        <v>31822.38</v>
      </c>
      <c r="J47" s="112">
        <v>80048.51</v>
      </c>
      <c r="K47" s="112">
        <v>0</v>
      </c>
      <c r="L47" s="112">
        <v>168899</v>
      </c>
      <c r="M47" s="112">
        <v>0</v>
      </c>
      <c r="N47" s="112">
        <v>0</v>
      </c>
      <c r="O47" s="117" t="e">
        <f>(F47+H47+I47+G47)/(#REF!+#REF!+#REF!+#REF!)*100</f>
        <v>#REF!</v>
      </c>
      <c r="P47" s="113"/>
      <c r="Q47" s="113" t="e">
        <f>J47/#REF!*100</f>
        <v>#REF!</v>
      </c>
    </row>
    <row r="48" spans="1:17" s="134" customFormat="1" ht="11.25">
      <c r="A48" s="109" t="s">
        <v>238</v>
      </c>
      <c r="B48" s="110">
        <v>407</v>
      </c>
      <c r="C48" s="111">
        <f t="shared" si="6"/>
        <v>859.3937592137592</v>
      </c>
      <c r="D48" s="112">
        <f>3809045+75000</f>
        <v>3884045</v>
      </c>
      <c r="E48" s="112">
        <v>2098639.56</v>
      </c>
      <c r="F48" s="112">
        <v>1279403.34</v>
      </c>
      <c r="G48" s="112">
        <v>186806.9</v>
      </c>
      <c r="H48" s="112">
        <v>241110.6</v>
      </c>
      <c r="I48" s="112">
        <v>27357.14</v>
      </c>
      <c r="J48" s="112">
        <v>192067.7</v>
      </c>
      <c r="K48" s="112">
        <v>999.99</v>
      </c>
      <c r="L48" s="112">
        <v>120215.25</v>
      </c>
      <c r="M48" s="112">
        <v>0</v>
      </c>
      <c r="N48" s="112">
        <v>0</v>
      </c>
      <c r="O48" s="117" t="e">
        <f>(F48+H48+I48+G48)/(#REF!+#REF!+#REF!+#REF!)*100</f>
        <v>#REF!</v>
      </c>
      <c r="P48" s="113"/>
      <c r="Q48" s="113" t="e">
        <f>J48/#REF!*100</f>
        <v>#REF!</v>
      </c>
    </row>
    <row r="49" spans="1:17" s="134" customFormat="1" ht="11.25">
      <c r="A49" s="109" t="s">
        <v>232</v>
      </c>
      <c r="B49" s="110">
        <v>246</v>
      </c>
      <c r="C49" s="111">
        <f t="shared" si="6"/>
        <v>822.3308130081301</v>
      </c>
      <c r="D49" s="112">
        <f>2422248+20000</f>
        <v>2442248</v>
      </c>
      <c r="E49" s="112">
        <v>1213760.28</v>
      </c>
      <c r="F49" s="112">
        <v>812653.42</v>
      </c>
      <c r="G49" s="112">
        <v>111400.04</v>
      </c>
      <c r="H49" s="112">
        <v>158064.42</v>
      </c>
      <c r="I49" s="112">
        <v>13344.7</v>
      </c>
      <c r="J49" s="112">
        <v>21233.09</v>
      </c>
      <c r="K49" s="112">
        <v>234.93</v>
      </c>
      <c r="L49" s="112">
        <v>71756</v>
      </c>
      <c r="M49" s="112">
        <v>0</v>
      </c>
      <c r="N49" s="112">
        <v>0</v>
      </c>
      <c r="O49" s="117" t="e">
        <f>(F49+H49+I49+G49)/(#REF!+#REF!+#REF!+#REF!)*100</f>
        <v>#REF!</v>
      </c>
      <c r="P49" s="113"/>
      <c r="Q49" s="113" t="e">
        <f>J49/#REF!*100</f>
        <v>#REF!</v>
      </c>
    </row>
    <row r="50" spans="1:17" s="134" customFormat="1" ht="11.25">
      <c r="A50" s="109" t="s">
        <v>239</v>
      </c>
      <c r="B50" s="110">
        <v>240</v>
      </c>
      <c r="C50" s="111">
        <f t="shared" si="6"/>
        <v>879.3506666666667</v>
      </c>
      <c r="D50" s="112">
        <f>2471077+60000</f>
        <v>2531077</v>
      </c>
      <c r="E50" s="112">
        <v>1266264.96</v>
      </c>
      <c r="F50" s="112">
        <v>776762.95</v>
      </c>
      <c r="G50" s="112">
        <v>119823.27</v>
      </c>
      <c r="H50" s="112">
        <v>143798.81</v>
      </c>
      <c r="I50" s="112">
        <v>11121.43</v>
      </c>
      <c r="J50" s="112">
        <v>106183.31</v>
      </c>
      <c r="K50" s="112">
        <v>999</v>
      </c>
      <c r="L50" s="112">
        <v>74364</v>
      </c>
      <c r="M50" s="112">
        <v>0</v>
      </c>
      <c r="N50" s="112">
        <v>0</v>
      </c>
      <c r="O50" s="117" t="e">
        <f>(F50+H50+I50+G50)/(#REF!+#REF!+#REF!+#REF!)*100</f>
        <v>#REF!</v>
      </c>
      <c r="P50" s="113"/>
      <c r="Q50" s="113" t="e">
        <f>J50/#REF!*100</f>
        <v>#REF!</v>
      </c>
    </row>
    <row r="51" spans="1:17" s="134" customFormat="1" ht="11.25">
      <c r="A51" s="109" t="s">
        <v>240</v>
      </c>
      <c r="B51" s="110">
        <v>187</v>
      </c>
      <c r="C51" s="111">
        <f t="shared" si="6"/>
        <v>879.2558734402852</v>
      </c>
      <c r="D51" s="112">
        <f>1751087+50000</f>
        <v>1801087</v>
      </c>
      <c r="E51" s="112">
        <v>986525.09</v>
      </c>
      <c r="F51" s="112">
        <v>555541.66</v>
      </c>
      <c r="G51" s="112">
        <v>100154.09</v>
      </c>
      <c r="H51" s="112">
        <v>112476.79</v>
      </c>
      <c r="I51" s="112">
        <v>11098.28</v>
      </c>
      <c r="J51" s="112">
        <v>107164.84</v>
      </c>
      <c r="K51" s="112">
        <v>0</v>
      </c>
      <c r="L51" s="112">
        <v>72657</v>
      </c>
      <c r="M51" s="112">
        <v>0</v>
      </c>
      <c r="N51" s="112">
        <v>0</v>
      </c>
      <c r="O51" s="117" t="e">
        <f>(F51+H51+I51+G51)/(#REF!+#REF!+#REF!+#REF!)*100</f>
        <v>#REF!</v>
      </c>
      <c r="P51" s="113"/>
      <c r="Q51" s="113" t="e">
        <f>J51/#REF!*100</f>
        <v>#REF!</v>
      </c>
    </row>
    <row r="52" spans="1:17" s="134" customFormat="1" ht="11.25">
      <c r="A52" s="109" t="s">
        <v>241</v>
      </c>
      <c r="B52" s="110">
        <v>314</v>
      </c>
      <c r="C52" s="111">
        <f t="shared" si="6"/>
        <v>845.5789171974521</v>
      </c>
      <c r="D52" s="112">
        <f>2906009+50000</f>
        <v>2956009</v>
      </c>
      <c r="E52" s="112">
        <v>1593070.68</v>
      </c>
      <c r="F52" s="112">
        <v>980236.17</v>
      </c>
      <c r="G52" s="112">
        <v>148575.75</v>
      </c>
      <c r="H52" s="112">
        <v>186651.54</v>
      </c>
      <c r="I52" s="112">
        <v>19432.05</v>
      </c>
      <c r="J52" s="112">
        <v>80067.63</v>
      </c>
      <c r="K52" s="112">
        <v>37741.3</v>
      </c>
      <c r="L52" s="112">
        <v>116750</v>
      </c>
      <c r="M52" s="112">
        <v>0</v>
      </c>
      <c r="N52" s="112">
        <v>0</v>
      </c>
      <c r="O52" s="117" t="e">
        <f>(F52+H52+I52+G52)/(#REF!+#REF!+#REF!+#REF!)*100</f>
        <v>#REF!</v>
      </c>
      <c r="P52" s="113"/>
      <c r="Q52" s="113" t="e">
        <f>J52/#REF!*100</f>
        <v>#REF!</v>
      </c>
    </row>
    <row r="53" spans="1:17" s="134" customFormat="1" ht="11.25">
      <c r="A53" s="109" t="s">
        <v>242</v>
      </c>
      <c r="B53" s="110">
        <v>451</v>
      </c>
      <c r="C53" s="111">
        <f t="shared" si="6"/>
        <v>676.8766407982262</v>
      </c>
      <c r="D53" s="112">
        <f>3418389+20000</f>
        <v>3438389</v>
      </c>
      <c r="E53" s="112">
        <v>1831628.19</v>
      </c>
      <c r="F53" s="112">
        <v>1188326.79</v>
      </c>
      <c r="G53" s="112">
        <v>182234.65</v>
      </c>
      <c r="H53" s="112">
        <v>236187.68</v>
      </c>
      <c r="I53" s="112">
        <v>22064.86</v>
      </c>
      <c r="J53" s="112">
        <v>62090.63</v>
      </c>
      <c r="K53" s="112">
        <v>7185.01</v>
      </c>
      <c r="L53" s="112">
        <v>114835</v>
      </c>
      <c r="M53" s="112">
        <v>0</v>
      </c>
      <c r="N53" s="112">
        <v>0</v>
      </c>
      <c r="O53" s="117" t="e">
        <f>(F53+H53+I53+G53)/(#REF!+#REF!+#REF!+#REF!)*100</f>
        <v>#REF!</v>
      </c>
      <c r="P53" s="113"/>
      <c r="Q53" s="113" t="e">
        <f>J53/#REF!*100</f>
        <v>#REF!</v>
      </c>
    </row>
    <row r="54" spans="1:17" s="134" customFormat="1" ht="11.25">
      <c r="A54" s="110" t="s">
        <v>229</v>
      </c>
      <c r="B54" s="110">
        <v>61</v>
      </c>
      <c r="C54" s="111">
        <f t="shared" si="6"/>
        <v>698.9757377049181</v>
      </c>
      <c r="D54" s="112">
        <v>459823</v>
      </c>
      <c r="E54" s="112">
        <v>255825.12</v>
      </c>
      <c r="F54" s="112">
        <v>168659.87</v>
      </c>
      <c r="G54" s="112">
        <v>27681.1</v>
      </c>
      <c r="H54" s="112">
        <v>32382.39</v>
      </c>
      <c r="I54" s="112">
        <v>1923.93</v>
      </c>
      <c r="J54" s="112">
        <v>13313.83</v>
      </c>
      <c r="K54" s="112">
        <v>0</v>
      </c>
      <c r="L54" s="112">
        <v>11864</v>
      </c>
      <c r="M54" s="112">
        <v>0</v>
      </c>
      <c r="N54" s="112">
        <v>0</v>
      </c>
      <c r="O54" s="117" t="e">
        <f>(F54+H54+I54+G54)/(#REF!+#REF!+#REF!+#REF!)*100</f>
        <v>#REF!</v>
      </c>
      <c r="P54" s="113"/>
      <c r="Q54" s="113" t="e">
        <f>J54/#REF!*100</f>
        <v>#REF!</v>
      </c>
    </row>
    <row r="55" spans="1:17" s="134" customFormat="1" ht="11.25">
      <c r="A55" s="114" t="s">
        <v>243</v>
      </c>
      <c r="B55" s="115">
        <f>SUM(B44:B54)</f>
        <v>3781</v>
      </c>
      <c r="C55" s="116">
        <f t="shared" si="6"/>
        <v>824.0384444150578</v>
      </c>
      <c r="D55" s="115">
        <f aca="true" t="shared" si="10" ref="D55:N55">SUM(D44:D54)</f>
        <v>34501542</v>
      </c>
      <c r="E55" s="115">
        <f t="shared" si="10"/>
        <v>18694136.150000002</v>
      </c>
      <c r="F55" s="115">
        <f t="shared" si="10"/>
        <v>11733216.049999999</v>
      </c>
      <c r="G55" s="115">
        <f t="shared" si="10"/>
        <v>1781292.87</v>
      </c>
      <c r="H55" s="115">
        <f t="shared" si="10"/>
        <v>2243765.8400000003</v>
      </c>
      <c r="I55" s="115">
        <f t="shared" si="10"/>
        <v>219877.5</v>
      </c>
      <c r="J55" s="115">
        <f t="shared" si="10"/>
        <v>1154164.7399999998</v>
      </c>
      <c r="K55" s="115">
        <f t="shared" si="10"/>
        <v>49703.100000000006</v>
      </c>
      <c r="L55" s="115">
        <f t="shared" si="10"/>
        <v>1103622.25</v>
      </c>
      <c r="M55" s="115">
        <f t="shared" si="10"/>
        <v>0</v>
      </c>
      <c r="N55" s="115">
        <f t="shared" si="10"/>
        <v>0</v>
      </c>
      <c r="O55" s="117" t="e">
        <f>(F55+H55+I55+G55)/(#REF!+#REF!+#REF!+#REF!)*100</f>
        <v>#REF!</v>
      </c>
      <c r="P55" s="117">
        <f>SUM(P44:P54)</f>
        <v>0</v>
      </c>
      <c r="Q55" s="113" t="e">
        <f>J55/#REF!*100</f>
        <v>#REF!</v>
      </c>
    </row>
    <row r="56" spans="1:17" s="134" customFormat="1" ht="11.25">
      <c r="A56" s="114" t="s">
        <v>244</v>
      </c>
      <c r="B56" s="118">
        <v>342</v>
      </c>
      <c r="C56" s="116">
        <f t="shared" si="6"/>
        <v>1113.377529239766</v>
      </c>
      <c r="D56" s="115">
        <v>4188361</v>
      </c>
      <c r="E56" s="115">
        <v>2284650.69</v>
      </c>
      <c r="F56" s="115">
        <v>1522259.02</v>
      </c>
      <c r="G56" s="115">
        <v>231798.76</v>
      </c>
      <c r="H56" s="115">
        <v>282687.68</v>
      </c>
      <c r="I56" s="115">
        <v>26127.85</v>
      </c>
      <c r="J56" s="115">
        <v>49960.84</v>
      </c>
      <c r="K56" s="115">
        <v>1666.85</v>
      </c>
      <c r="L56" s="115">
        <v>140203</v>
      </c>
      <c r="M56" s="115">
        <v>0</v>
      </c>
      <c r="N56" s="115">
        <v>0</v>
      </c>
      <c r="O56" s="117" t="e">
        <f>(F56+H56+I56+G56)/(#REF!+#REF!+#REF!+#REF!)*100</f>
        <v>#REF!</v>
      </c>
      <c r="P56" s="113"/>
      <c r="Q56" s="113" t="e">
        <f>J56/#REF!*100</f>
        <v>#REF!</v>
      </c>
    </row>
    <row r="57" spans="1:17" s="134" customFormat="1" ht="11.25">
      <c r="A57" s="109" t="s">
        <v>245</v>
      </c>
      <c r="B57" s="110">
        <v>18</v>
      </c>
      <c r="C57" s="111">
        <f t="shared" si="6"/>
        <v>4272.716388888889</v>
      </c>
      <c r="D57" s="112">
        <v>903288</v>
      </c>
      <c r="E57" s="112">
        <v>461453.37</v>
      </c>
      <c r="F57" s="112">
        <v>306547.04</v>
      </c>
      <c r="G57" s="112">
        <v>61622.58</v>
      </c>
      <c r="H57" s="112">
        <v>63386.6</v>
      </c>
      <c r="I57" s="112">
        <v>4802.31</v>
      </c>
      <c r="J57" s="112">
        <v>342.85</v>
      </c>
      <c r="K57" s="112">
        <v>0</v>
      </c>
      <c r="L57" s="112">
        <v>23907</v>
      </c>
      <c r="M57" s="112">
        <v>0</v>
      </c>
      <c r="N57" s="112">
        <v>0</v>
      </c>
      <c r="O57" s="117" t="e">
        <f>(F57+H57+I57+G57)/(#REF!+#REF!+#REF!+#REF!)*100</f>
        <v>#REF!</v>
      </c>
      <c r="P57" s="113"/>
      <c r="Q57" s="113" t="e">
        <f>J57/#REF!*100</f>
        <v>#REF!</v>
      </c>
    </row>
    <row r="58" spans="1:17" s="134" customFormat="1" ht="11.25">
      <c r="A58" s="109" t="s">
        <v>246</v>
      </c>
      <c r="B58" s="110">
        <v>40</v>
      </c>
      <c r="C58" s="111">
        <f t="shared" si="6"/>
        <v>2556.7956666666664</v>
      </c>
      <c r="D58" s="112">
        <v>1149327</v>
      </c>
      <c r="E58" s="112">
        <v>613630.96</v>
      </c>
      <c r="F58" s="112">
        <v>411465.99</v>
      </c>
      <c r="G58" s="112">
        <v>63396.99</v>
      </c>
      <c r="H58" s="112">
        <v>77377.79</v>
      </c>
      <c r="I58" s="112">
        <v>7051.45</v>
      </c>
      <c r="J58" s="112">
        <v>18878.36</v>
      </c>
      <c r="K58" s="112">
        <v>0</v>
      </c>
      <c r="L58" s="112">
        <v>31902</v>
      </c>
      <c r="M58" s="112">
        <v>0</v>
      </c>
      <c r="N58" s="112">
        <v>0</v>
      </c>
      <c r="O58" s="117" t="e">
        <f>(F58+H58+I58+G58)/(#REF!+#REF!+#REF!+#REF!)*100</f>
        <v>#REF!</v>
      </c>
      <c r="P58" s="113"/>
      <c r="Q58" s="113" t="e">
        <f>J58/#REF!*100</f>
        <v>#REF!</v>
      </c>
    </row>
    <row r="59" spans="1:17" s="134" customFormat="1" ht="11.25">
      <c r="A59" s="109" t="s">
        <v>212</v>
      </c>
      <c r="B59" s="110">
        <v>28</v>
      </c>
      <c r="C59" s="111">
        <f t="shared" si="6"/>
        <v>3288.5689880952377</v>
      </c>
      <c r="D59" s="112">
        <v>1035103</v>
      </c>
      <c r="E59" s="112">
        <v>552479.59</v>
      </c>
      <c r="F59" s="112">
        <v>380816.8</v>
      </c>
      <c r="G59" s="112">
        <v>51342.28</v>
      </c>
      <c r="H59" s="112">
        <v>72881.91</v>
      </c>
      <c r="I59" s="112">
        <v>8043.97</v>
      </c>
      <c r="J59" s="112">
        <v>6118.43</v>
      </c>
      <c r="K59" s="112">
        <v>0</v>
      </c>
      <c r="L59" s="112">
        <v>28996</v>
      </c>
      <c r="M59" s="112">
        <v>0</v>
      </c>
      <c r="N59" s="112">
        <v>0</v>
      </c>
      <c r="O59" s="117" t="e">
        <f>(F59+H59+I59+G59)/(#REF!+#REF!+#REF!+#REF!)*100</f>
        <v>#REF!</v>
      </c>
      <c r="P59" s="113"/>
      <c r="Q59" s="113" t="e">
        <f>J59/#REF!*100</f>
        <v>#REF!</v>
      </c>
    </row>
    <row r="60" spans="1:17" s="134" customFormat="1" ht="11.25">
      <c r="A60" s="114" t="s">
        <v>247</v>
      </c>
      <c r="B60" s="115">
        <f>SUM(B57:B59)</f>
        <v>86</v>
      </c>
      <c r="C60" s="116">
        <f t="shared" si="6"/>
        <v>3154.1936434108525</v>
      </c>
      <c r="D60" s="115">
        <f aca="true" t="shared" si="11" ref="D60:N60">SUM(D57:D59)</f>
        <v>3087718</v>
      </c>
      <c r="E60" s="115">
        <f t="shared" si="11"/>
        <v>1627563.92</v>
      </c>
      <c r="F60" s="115">
        <f t="shared" si="11"/>
        <v>1098829.83</v>
      </c>
      <c r="G60" s="115">
        <f t="shared" si="11"/>
        <v>176361.85</v>
      </c>
      <c r="H60" s="115">
        <f t="shared" si="11"/>
        <v>213646.3</v>
      </c>
      <c r="I60" s="115">
        <f t="shared" si="11"/>
        <v>19897.73</v>
      </c>
      <c r="J60" s="115">
        <f t="shared" si="11"/>
        <v>25339.64</v>
      </c>
      <c r="K60" s="115">
        <f t="shared" si="11"/>
        <v>0</v>
      </c>
      <c r="L60" s="115">
        <f t="shared" si="11"/>
        <v>84805</v>
      </c>
      <c r="M60" s="115">
        <f t="shared" si="11"/>
        <v>0</v>
      </c>
      <c r="N60" s="115">
        <f t="shared" si="11"/>
        <v>0</v>
      </c>
      <c r="O60" s="117" t="e">
        <f>(F60+H60+I60+G60)/(#REF!+#REF!+#REF!+#REF!)*100</f>
        <v>#REF!</v>
      </c>
      <c r="P60" s="117">
        <f>SUM(P57:P59)</f>
        <v>0</v>
      </c>
      <c r="Q60" s="113" t="e">
        <f>J60/#REF!*100</f>
        <v>#REF!</v>
      </c>
    </row>
    <row r="61" spans="1:17" s="134" customFormat="1" ht="11.25">
      <c r="A61" s="114" t="s">
        <v>248</v>
      </c>
      <c r="B61" s="118"/>
      <c r="C61" s="116"/>
      <c r="D61" s="115">
        <v>147695</v>
      </c>
      <c r="E61" s="115">
        <v>87192.61</v>
      </c>
      <c r="F61" s="115">
        <v>46102.68</v>
      </c>
      <c r="G61" s="115">
        <v>0</v>
      </c>
      <c r="H61" s="115">
        <v>8604.27</v>
      </c>
      <c r="I61" s="115">
        <v>1171.66</v>
      </c>
      <c r="J61" s="115">
        <v>23841</v>
      </c>
      <c r="K61" s="115">
        <v>0</v>
      </c>
      <c r="L61" s="115">
        <v>5697</v>
      </c>
      <c r="M61" s="115">
        <v>0</v>
      </c>
      <c r="N61" s="115">
        <v>0</v>
      </c>
      <c r="O61" s="117" t="e">
        <f>(F61+H61+I61+G61)/(#REF!+#REF!+#REF!+#REF!)*100</f>
        <v>#REF!</v>
      </c>
      <c r="P61" s="113"/>
      <c r="Q61" s="113" t="e">
        <f>J61/#REF!*100</f>
        <v>#REF!</v>
      </c>
    </row>
    <row r="62" spans="1:17" s="134" customFormat="1" ht="21.75">
      <c r="A62" s="114" t="s">
        <v>249</v>
      </c>
      <c r="B62" s="118"/>
      <c r="C62" s="116"/>
      <c r="D62" s="115">
        <v>818830</v>
      </c>
      <c r="E62" s="115">
        <v>368276.92</v>
      </c>
      <c r="F62" s="115">
        <v>231245.75</v>
      </c>
      <c r="G62" s="115">
        <v>38774.2</v>
      </c>
      <c r="H62" s="115">
        <v>43141.74</v>
      </c>
      <c r="I62" s="115">
        <v>4421.19</v>
      </c>
      <c r="J62" s="115">
        <v>2729.64</v>
      </c>
      <c r="K62" s="115">
        <v>153.75</v>
      </c>
      <c r="L62" s="115">
        <v>23702</v>
      </c>
      <c r="M62" s="115">
        <v>0</v>
      </c>
      <c r="N62" s="115">
        <v>0</v>
      </c>
      <c r="O62" s="117" t="e">
        <f>(F62+H62+I62+G62)/(#REF!+#REF!+#REF!+#REF!)*100</f>
        <v>#REF!</v>
      </c>
      <c r="P62" s="113"/>
      <c r="Q62" s="113" t="e">
        <f>J62/#REF!*100</f>
        <v>#REF!</v>
      </c>
    </row>
    <row r="63" spans="1:17" s="134" customFormat="1" ht="11.25">
      <c r="A63" s="109" t="s">
        <v>220</v>
      </c>
      <c r="B63" s="118"/>
      <c r="C63" s="116"/>
      <c r="D63" s="112">
        <v>2868</v>
      </c>
      <c r="E63" s="112">
        <v>1250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7"/>
      <c r="P63" s="113"/>
      <c r="Q63" s="113"/>
    </row>
    <row r="64" spans="1:17" s="134" customFormat="1" ht="11.25">
      <c r="A64" s="109" t="s">
        <v>221</v>
      </c>
      <c r="B64" s="118"/>
      <c r="C64" s="116"/>
      <c r="D64" s="112">
        <v>3001</v>
      </c>
      <c r="E64" s="112">
        <v>1590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7"/>
      <c r="P64" s="113"/>
      <c r="Q64" s="113"/>
    </row>
    <row r="65" spans="1:17" s="134" customFormat="1" ht="11.25">
      <c r="A65" s="109" t="s">
        <v>222</v>
      </c>
      <c r="B65" s="118"/>
      <c r="C65" s="116"/>
      <c r="D65" s="112">
        <v>23519</v>
      </c>
      <c r="E65" s="112">
        <v>5599.9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7"/>
      <c r="P65" s="113"/>
      <c r="Q65" s="113"/>
    </row>
    <row r="66" spans="1:17" s="134" customFormat="1" ht="11.25">
      <c r="A66" s="109" t="s">
        <v>223</v>
      </c>
      <c r="B66" s="118"/>
      <c r="C66" s="116"/>
      <c r="D66" s="112">
        <v>3089</v>
      </c>
      <c r="E66" s="112">
        <v>1764</v>
      </c>
      <c r="F66" s="115"/>
      <c r="G66" s="115"/>
      <c r="H66" s="115"/>
      <c r="I66" s="115"/>
      <c r="J66" s="115"/>
      <c r="K66" s="115"/>
      <c r="L66" s="115"/>
      <c r="M66" s="115"/>
      <c r="N66" s="115"/>
      <c r="O66" s="117"/>
      <c r="P66" s="113"/>
      <c r="Q66" s="113"/>
    </row>
    <row r="67" spans="1:17" s="134" customFormat="1" ht="11.25">
      <c r="A67" s="109" t="s">
        <v>224</v>
      </c>
      <c r="B67" s="118"/>
      <c r="C67" s="116"/>
      <c r="D67" s="112">
        <v>3439</v>
      </c>
      <c r="E67" s="112">
        <v>1700</v>
      </c>
      <c r="F67" s="115"/>
      <c r="G67" s="115"/>
      <c r="H67" s="115"/>
      <c r="I67" s="115"/>
      <c r="J67" s="115"/>
      <c r="K67" s="115"/>
      <c r="L67" s="115"/>
      <c r="M67" s="115"/>
      <c r="N67" s="115"/>
      <c r="O67" s="117"/>
      <c r="P67" s="113"/>
      <c r="Q67" s="113"/>
    </row>
    <row r="68" spans="1:17" s="134" customFormat="1" ht="11.25">
      <c r="A68" s="109" t="s">
        <v>225</v>
      </c>
      <c r="B68" s="118"/>
      <c r="C68" s="116"/>
      <c r="D68" s="112">
        <v>5253</v>
      </c>
      <c r="E68" s="112">
        <v>4200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7"/>
      <c r="P68" s="113"/>
      <c r="Q68" s="113"/>
    </row>
    <row r="69" spans="1:17" s="134" customFormat="1" ht="11.25">
      <c r="A69" s="109" t="s">
        <v>226</v>
      </c>
      <c r="B69" s="118"/>
      <c r="C69" s="116"/>
      <c r="D69" s="112">
        <v>4879</v>
      </c>
      <c r="E69" s="112">
        <v>3213.16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7"/>
      <c r="P69" s="113"/>
      <c r="Q69" s="113"/>
    </row>
    <row r="70" spans="1:17" s="134" customFormat="1" ht="11.25">
      <c r="A70" s="109" t="s">
        <v>227</v>
      </c>
      <c r="B70" s="118"/>
      <c r="C70" s="116"/>
      <c r="D70" s="112">
        <v>5102</v>
      </c>
      <c r="E70" s="112">
        <v>4000</v>
      </c>
      <c r="F70" s="115"/>
      <c r="G70" s="115"/>
      <c r="H70" s="115"/>
      <c r="I70" s="115"/>
      <c r="J70" s="115"/>
      <c r="K70" s="115"/>
      <c r="L70" s="115"/>
      <c r="M70" s="115"/>
      <c r="N70" s="115"/>
      <c r="O70" s="117"/>
      <c r="P70" s="113"/>
      <c r="Q70" s="113"/>
    </row>
    <row r="71" spans="1:17" s="134" customFormat="1" ht="11.25">
      <c r="A71" s="109" t="s">
        <v>229</v>
      </c>
      <c r="B71" s="118"/>
      <c r="C71" s="116"/>
      <c r="D71" s="112">
        <v>6059</v>
      </c>
      <c r="E71" s="112">
        <v>369</v>
      </c>
      <c r="F71" s="115"/>
      <c r="G71" s="115"/>
      <c r="H71" s="115"/>
      <c r="I71" s="115"/>
      <c r="J71" s="115"/>
      <c r="K71" s="115"/>
      <c r="L71" s="115"/>
      <c r="M71" s="115"/>
      <c r="N71" s="115"/>
      <c r="O71" s="117"/>
      <c r="P71" s="113"/>
      <c r="Q71" s="113"/>
    </row>
    <row r="72" spans="1:17" s="134" customFormat="1" ht="13.5" customHeight="1">
      <c r="A72" s="109" t="s">
        <v>234</v>
      </c>
      <c r="B72" s="118"/>
      <c r="C72" s="116"/>
      <c r="D72" s="112">
        <v>2782</v>
      </c>
      <c r="E72" s="112">
        <v>1100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7"/>
      <c r="P72" s="113"/>
      <c r="Q72" s="113"/>
    </row>
    <row r="73" spans="1:17" s="134" customFormat="1" ht="11.25">
      <c r="A73" s="109" t="s">
        <v>235</v>
      </c>
      <c r="B73" s="118"/>
      <c r="C73" s="116"/>
      <c r="D73" s="112">
        <v>1728</v>
      </c>
      <c r="E73" s="112">
        <v>800</v>
      </c>
      <c r="F73" s="115"/>
      <c r="G73" s="115"/>
      <c r="H73" s="115"/>
      <c r="I73" s="115"/>
      <c r="J73" s="115"/>
      <c r="K73" s="115"/>
      <c r="L73" s="115"/>
      <c r="M73" s="115"/>
      <c r="N73" s="115"/>
      <c r="O73" s="117"/>
      <c r="P73" s="113"/>
      <c r="Q73" s="113"/>
    </row>
    <row r="74" spans="1:17" s="134" customFormat="1" ht="11.25">
      <c r="A74" s="109" t="s">
        <v>236</v>
      </c>
      <c r="B74" s="118"/>
      <c r="C74" s="116"/>
      <c r="D74" s="112">
        <v>8609</v>
      </c>
      <c r="E74" s="112">
        <v>6330.61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7"/>
      <c r="P74" s="113"/>
      <c r="Q74" s="113"/>
    </row>
    <row r="75" spans="1:17" s="134" customFormat="1" ht="11.25">
      <c r="A75" s="109" t="s">
        <v>237</v>
      </c>
      <c r="B75" s="118"/>
      <c r="C75" s="116"/>
      <c r="D75" s="112">
        <v>4567</v>
      </c>
      <c r="E75" s="112">
        <v>2770</v>
      </c>
      <c r="F75" s="115"/>
      <c r="G75" s="115"/>
      <c r="H75" s="115"/>
      <c r="I75" s="115"/>
      <c r="J75" s="115"/>
      <c r="K75" s="115"/>
      <c r="L75" s="115"/>
      <c r="M75" s="115"/>
      <c r="N75" s="115"/>
      <c r="O75" s="117"/>
      <c r="P75" s="113"/>
      <c r="Q75" s="113"/>
    </row>
    <row r="76" spans="1:17" s="134" customFormat="1" ht="11.25">
      <c r="A76" s="109" t="s">
        <v>238</v>
      </c>
      <c r="B76" s="118"/>
      <c r="C76" s="116"/>
      <c r="D76" s="112">
        <v>3696</v>
      </c>
      <c r="E76" s="112">
        <v>3596</v>
      </c>
      <c r="F76" s="115"/>
      <c r="G76" s="115"/>
      <c r="H76" s="115"/>
      <c r="I76" s="115"/>
      <c r="J76" s="115"/>
      <c r="K76" s="115"/>
      <c r="L76" s="115"/>
      <c r="M76" s="115"/>
      <c r="N76" s="115"/>
      <c r="O76" s="117"/>
      <c r="P76" s="113"/>
      <c r="Q76" s="113"/>
    </row>
    <row r="77" spans="1:17" s="134" customFormat="1" ht="11.25">
      <c r="A77" s="109" t="s">
        <v>232</v>
      </c>
      <c r="B77" s="118"/>
      <c r="C77" s="116"/>
      <c r="D77" s="112">
        <v>1102</v>
      </c>
      <c r="E77" s="112">
        <v>0</v>
      </c>
      <c r="F77" s="115"/>
      <c r="G77" s="115"/>
      <c r="H77" s="115"/>
      <c r="I77" s="115"/>
      <c r="J77" s="115"/>
      <c r="K77" s="115"/>
      <c r="L77" s="115"/>
      <c r="M77" s="115"/>
      <c r="N77" s="115"/>
      <c r="O77" s="117"/>
      <c r="P77" s="113"/>
      <c r="Q77" s="113"/>
    </row>
    <row r="78" spans="1:17" s="134" customFormat="1" ht="11.25">
      <c r="A78" s="109" t="s">
        <v>239</v>
      </c>
      <c r="B78" s="118"/>
      <c r="C78" s="116"/>
      <c r="D78" s="112">
        <v>3586</v>
      </c>
      <c r="E78" s="112">
        <v>0</v>
      </c>
      <c r="F78" s="115"/>
      <c r="G78" s="115"/>
      <c r="H78" s="115"/>
      <c r="I78" s="115"/>
      <c r="J78" s="115"/>
      <c r="K78" s="115"/>
      <c r="L78" s="115"/>
      <c r="M78" s="115"/>
      <c r="N78" s="115"/>
      <c r="O78" s="117"/>
      <c r="P78" s="113"/>
      <c r="Q78" s="113"/>
    </row>
    <row r="79" spans="1:17" s="134" customFormat="1" ht="11.25">
      <c r="A79" s="109" t="s">
        <v>240</v>
      </c>
      <c r="B79" s="118"/>
      <c r="C79" s="116"/>
      <c r="D79" s="112">
        <v>5302</v>
      </c>
      <c r="E79" s="112">
        <v>4540</v>
      </c>
      <c r="F79" s="115"/>
      <c r="G79" s="115"/>
      <c r="H79" s="115"/>
      <c r="I79" s="115"/>
      <c r="J79" s="115"/>
      <c r="K79" s="115"/>
      <c r="L79" s="115"/>
      <c r="M79" s="115"/>
      <c r="N79" s="115"/>
      <c r="O79" s="117"/>
      <c r="P79" s="113"/>
      <c r="Q79" s="113"/>
    </row>
    <row r="80" spans="1:17" s="134" customFormat="1" ht="11.25">
      <c r="A80" s="109" t="s">
        <v>241</v>
      </c>
      <c r="B80" s="118"/>
      <c r="C80" s="116"/>
      <c r="D80" s="112">
        <v>3210</v>
      </c>
      <c r="E80" s="112">
        <v>2050</v>
      </c>
      <c r="F80" s="115"/>
      <c r="G80" s="115"/>
      <c r="H80" s="115"/>
      <c r="I80" s="115"/>
      <c r="J80" s="115"/>
      <c r="K80" s="115"/>
      <c r="L80" s="115"/>
      <c r="M80" s="115"/>
      <c r="N80" s="115"/>
      <c r="O80" s="117"/>
      <c r="P80" s="113"/>
      <c r="Q80" s="113"/>
    </row>
    <row r="81" spans="1:17" s="134" customFormat="1" ht="11.25">
      <c r="A81" s="109" t="s">
        <v>242</v>
      </c>
      <c r="B81" s="118"/>
      <c r="C81" s="116"/>
      <c r="D81" s="112">
        <v>4074</v>
      </c>
      <c r="E81" s="112">
        <v>1645</v>
      </c>
      <c r="F81" s="115"/>
      <c r="G81" s="115"/>
      <c r="H81" s="115"/>
      <c r="I81" s="115"/>
      <c r="J81" s="115"/>
      <c r="K81" s="115"/>
      <c r="L81" s="115"/>
      <c r="M81" s="115"/>
      <c r="N81" s="115"/>
      <c r="O81" s="117"/>
      <c r="P81" s="113"/>
      <c r="Q81" s="113"/>
    </row>
    <row r="82" spans="1:17" s="134" customFormat="1" ht="11.25">
      <c r="A82" s="110" t="s">
        <v>250</v>
      </c>
      <c r="B82" s="118"/>
      <c r="C82" s="116"/>
      <c r="D82" s="112">
        <v>1943</v>
      </c>
      <c r="E82" s="112">
        <v>600</v>
      </c>
      <c r="F82" s="115"/>
      <c r="G82" s="115"/>
      <c r="H82" s="115"/>
      <c r="I82" s="115"/>
      <c r="J82" s="115"/>
      <c r="K82" s="115"/>
      <c r="L82" s="115"/>
      <c r="M82" s="115"/>
      <c r="N82" s="115"/>
      <c r="O82" s="117"/>
      <c r="P82" s="113"/>
      <c r="Q82" s="113"/>
    </row>
    <row r="83" spans="1:17" s="134" customFormat="1" ht="11.25">
      <c r="A83" s="110" t="s">
        <v>251</v>
      </c>
      <c r="B83" s="118"/>
      <c r="C83" s="116"/>
      <c r="D83" s="112">
        <v>7569</v>
      </c>
      <c r="E83" s="112">
        <v>4531.79</v>
      </c>
      <c r="F83" s="115"/>
      <c r="G83" s="115"/>
      <c r="H83" s="115"/>
      <c r="I83" s="115"/>
      <c r="J83" s="115"/>
      <c r="K83" s="115"/>
      <c r="L83" s="115"/>
      <c r="M83" s="115"/>
      <c r="N83" s="115"/>
      <c r="O83" s="117"/>
      <c r="P83" s="113"/>
      <c r="Q83" s="113"/>
    </row>
    <row r="84" spans="1:17" s="134" customFormat="1" ht="11.25">
      <c r="A84" s="110" t="s">
        <v>211</v>
      </c>
      <c r="B84" s="118"/>
      <c r="C84" s="116"/>
      <c r="D84" s="112">
        <v>2234</v>
      </c>
      <c r="E84" s="112">
        <v>540</v>
      </c>
      <c r="F84" s="115"/>
      <c r="G84" s="115"/>
      <c r="H84" s="115"/>
      <c r="I84" s="115"/>
      <c r="J84" s="115"/>
      <c r="K84" s="115"/>
      <c r="L84" s="115"/>
      <c r="M84" s="115"/>
      <c r="N84" s="115"/>
      <c r="O84" s="117"/>
      <c r="P84" s="113"/>
      <c r="Q84" s="113"/>
    </row>
    <row r="85" spans="1:17" s="134" customFormat="1" ht="11.25">
      <c r="A85" s="109" t="s">
        <v>212</v>
      </c>
      <c r="B85" s="118"/>
      <c r="C85" s="116"/>
      <c r="D85" s="112">
        <v>7155</v>
      </c>
      <c r="E85" s="112">
        <v>3340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7"/>
      <c r="P85" s="113"/>
      <c r="Q85" s="113"/>
    </row>
    <row r="86" spans="1:17" s="135" customFormat="1" ht="11.25">
      <c r="A86" s="114" t="s">
        <v>252</v>
      </c>
      <c r="B86" s="118"/>
      <c r="C86" s="116"/>
      <c r="D86" s="115">
        <f aca="true" t="shared" si="12" ref="D86:N86">SUM(D63:D85)</f>
        <v>114766</v>
      </c>
      <c r="E86" s="115">
        <f t="shared" si="12"/>
        <v>55529.46</v>
      </c>
      <c r="F86" s="115">
        <f t="shared" si="12"/>
        <v>0</v>
      </c>
      <c r="G86" s="115">
        <f t="shared" si="12"/>
        <v>0</v>
      </c>
      <c r="H86" s="115">
        <f t="shared" si="12"/>
        <v>0</v>
      </c>
      <c r="I86" s="115">
        <f t="shared" si="12"/>
        <v>0</v>
      </c>
      <c r="J86" s="115">
        <f t="shared" si="12"/>
        <v>0</v>
      </c>
      <c r="K86" s="115">
        <f t="shared" si="12"/>
        <v>0</v>
      </c>
      <c r="L86" s="115">
        <f t="shared" si="12"/>
        <v>0</v>
      </c>
      <c r="M86" s="115">
        <f t="shared" si="12"/>
        <v>0</v>
      </c>
      <c r="N86" s="115">
        <f t="shared" si="12"/>
        <v>0</v>
      </c>
      <c r="O86" s="117"/>
      <c r="P86" s="117"/>
      <c r="Q86" s="113"/>
    </row>
    <row r="87" spans="1:17" s="134" customFormat="1" ht="11.25">
      <c r="A87" s="109" t="s">
        <v>253</v>
      </c>
      <c r="B87" s="110"/>
      <c r="C87" s="116"/>
      <c r="D87" s="112">
        <v>106877</v>
      </c>
      <c r="E87" s="112">
        <v>54443.85</v>
      </c>
      <c r="F87" s="112">
        <v>38113.14</v>
      </c>
      <c r="G87" s="112">
        <v>6212.93</v>
      </c>
      <c r="H87" s="112">
        <v>7251.23</v>
      </c>
      <c r="I87" s="112">
        <v>278.55</v>
      </c>
      <c r="J87" s="112">
        <v>0</v>
      </c>
      <c r="K87" s="112">
        <v>0</v>
      </c>
      <c r="L87" s="112">
        <v>2588</v>
      </c>
      <c r="M87" s="112">
        <v>0</v>
      </c>
      <c r="N87" s="112">
        <v>0</v>
      </c>
      <c r="O87" s="117" t="e">
        <f>(F87+H87+I87+G87)/(#REF!+#REF!+#REF!+#REF!)*100</f>
        <v>#REF!</v>
      </c>
      <c r="P87" s="113"/>
      <c r="Q87" s="113" t="e">
        <f>J87/#REF!*100</f>
        <v>#REF!</v>
      </c>
    </row>
    <row r="88" spans="1:17" s="134" customFormat="1" ht="11.25">
      <c r="A88" s="116" t="s">
        <v>254</v>
      </c>
      <c r="B88" s="118">
        <f>B87</f>
        <v>0</v>
      </c>
      <c r="C88" s="116"/>
      <c r="D88" s="118">
        <f aca="true" t="shared" si="13" ref="D88:N88">D87</f>
        <v>106877</v>
      </c>
      <c r="E88" s="118">
        <f t="shared" si="13"/>
        <v>54443.85</v>
      </c>
      <c r="F88" s="118">
        <f t="shared" si="13"/>
        <v>38113.14</v>
      </c>
      <c r="G88" s="118">
        <f t="shared" si="13"/>
        <v>6212.93</v>
      </c>
      <c r="H88" s="118">
        <f t="shared" si="13"/>
        <v>7251.23</v>
      </c>
      <c r="I88" s="118">
        <f t="shared" si="13"/>
        <v>278.55</v>
      </c>
      <c r="J88" s="118">
        <f t="shared" si="13"/>
        <v>0</v>
      </c>
      <c r="K88" s="118">
        <f t="shared" si="13"/>
        <v>0</v>
      </c>
      <c r="L88" s="118">
        <f t="shared" si="13"/>
        <v>2588</v>
      </c>
      <c r="M88" s="118">
        <f t="shared" si="13"/>
        <v>0</v>
      </c>
      <c r="N88" s="118">
        <f t="shared" si="13"/>
        <v>0</v>
      </c>
      <c r="O88" s="117" t="e">
        <f>(F88+H88+I88+G88)/(#REF!+#REF!+#REF!+#REF!)*100</f>
        <v>#REF!</v>
      </c>
      <c r="P88" s="119">
        <f>P87</f>
        <v>0</v>
      </c>
      <c r="Q88" s="119" t="e">
        <f>Q87</f>
        <v>#REF!</v>
      </c>
    </row>
    <row r="89" spans="1:17" s="134" customFormat="1" ht="11.25">
      <c r="A89" s="109" t="s">
        <v>215</v>
      </c>
      <c r="B89" s="112"/>
      <c r="C89" s="116"/>
      <c r="D89" s="112">
        <v>24697</v>
      </c>
      <c r="E89" s="110">
        <v>22572.2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7"/>
      <c r="P89" s="113"/>
      <c r="Q89" s="113"/>
    </row>
    <row r="90" spans="1:17" s="134" customFormat="1" ht="11.25">
      <c r="A90" s="109" t="s">
        <v>212</v>
      </c>
      <c r="B90" s="115"/>
      <c r="C90" s="116"/>
      <c r="D90" s="112">
        <v>5500</v>
      </c>
      <c r="E90" s="112">
        <v>4460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7" t="e">
        <f>(F90+H90+I90+G90)/(#REF!+#REF!+#REF!+#REF!)*100</f>
        <v>#REF!</v>
      </c>
      <c r="P90" s="113"/>
      <c r="Q90" s="113" t="e">
        <f>J90/#REF!*100</f>
        <v>#REF!</v>
      </c>
    </row>
    <row r="91" spans="1:17" s="134" customFormat="1" ht="11.25">
      <c r="A91" s="109" t="s">
        <v>216</v>
      </c>
      <c r="B91" s="115"/>
      <c r="C91" s="116"/>
      <c r="D91" s="112">
        <f>3600+4800</f>
        <v>8400</v>
      </c>
      <c r="E91" s="112">
        <v>3696.42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7"/>
      <c r="P91" s="113"/>
      <c r="Q91" s="113"/>
    </row>
    <row r="92" spans="1:17" s="134" customFormat="1" ht="11.25">
      <c r="A92" s="109" t="s">
        <v>221</v>
      </c>
      <c r="B92" s="115"/>
      <c r="C92" s="116"/>
      <c r="D92" s="112">
        <v>18600</v>
      </c>
      <c r="E92" s="112">
        <v>15600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7"/>
      <c r="P92" s="113"/>
      <c r="Q92" s="113"/>
    </row>
    <row r="93" spans="1:17" s="134" customFormat="1" ht="11.25">
      <c r="A93" s="109" t="s">
        <v>222</v>
      </c>
      <c r="B93" s="115"/>
      <c r="C93" s="116"/>
      <c r="D93" s="112">
        <v>25600</v>
      </c>
      <c r="E93" s="112">
        <v>22887.48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7"/>
      <c r="P93" s="113"/>
      <c r="Q93" s="113"/>
    </row>
    <row r="94" spans="1:17" s="134" customFormat="1" ht="11.25">
      <c r="A94" s="109" t="s">
        <v>223</v>
      </c>
      <c r="B94" s="115"/>
      <c r="C94" s="116"/>
      <c r="D94" s="112">
        <f>9000+4800</f>
        <v>13800</v>
      </c>
      <c r="E94" s="112">
        <v>2123.14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7"/>
      <c r="P94" s="113"/>
      <c r="Q94" s="113"/>
    </row>
    <row r="95" spans="1:17" s="134" customFormat="1" ht="11.25">
      <c r="A95" s="109" t="s">
        <v>225</v>
      </c>
      <c r="B95" s="115"/>
      <c r="C95" s="116"/>
      <c r="D95" s="112">
        <v>10800</v>
      </c>
      <c r="E95" s="112">
        <v>10800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7"/>
      <c r="P95" s="113"/>
      <c r="Q95" s="113"/>
    </row>
    <row r="96" spans="1:17" s="134" customFormat="1" ht="11.25">
      <c r="A96" s="109" t="s">
        <v>255</v>
      </c>
      <c r="B96" s="115"/>
      <c r="C96" s="116"/>
      <c r="D96" s="112">
        <v>17500</v>
      </c>
      <c r="E96" s="112">
        <v>17418.64</v>
      </c>
      <c r="F96" s="112"/>
      <c r="G96" s="112"/>
      <c r="H96" s="112"/>
      <c r="I96" s="112"/>
      <c r="J96" s="112"/>
      <c r="K96" s="112"/>
      <c r="L96" s="112"/>
      <c r="M96" s="112"/>
      <c r="N96" s="112"/>
      <c r="O96" s="117"/>
      <c r="P96" s="113"/>
      <c r="Q96" s="113"/>
    </row>
    <row r="97" spans="1:17" s="134" customFormat="1" ht="11.25">
      <c r="A97" s="109" t="s">
        <v>226</v>
      </c>
      <c r="B97" s="115"/>
      <c r="C97" s="116"/>
      <c r="D97" s="112">
        <v>11000</v>
      </c>
      <c r="E97" s="112">
        <v>10737.74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7"/>
      <c r="P97" s="113"/>
      <c r="Q97" s="113"/>
    </row>
    <row r="98" spans="1:17" s="134" customFormat="1" ht="11.25">
      <c r="A98" s="109" t="s">
        <v>227</v>
      </c>
      <c r="B98" s="115"/>
      <c r="C98" s="116"/>
      <c r="D98" s="112">
        <v>6000</v>
      </c>
      <c r="E98" s="112">
        <v>4199.99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7"/>
      <c r="P98" s="113"/>
      <c r="Q98" s="113"/>
    </row>
    <row r="99" spans="1:17" s="134" customFormat="1" ht="11.25">
      <c r="A99" s="109" t="s">
        <v>256</v>
      </c>
      <c r="B99" s="115"/>
      <c r="C99" s="116"/>
      <c r="D99" s="112">
        <v>40240</v>
      </c>
      <c r="E99" s="112">
        <f>9730.14+13013</f>
        <v>22743.14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7"/>
      <c r="P99" s="113"/>
      <c r="Q99" s="113"/>
    </row>
    <row r="100" spans="1:17" s="134" customFormat="1" ht="15" customHeight="1">
      <c r="A100" s="109" t="s">
        <v>234</v>
      </c>
      <c r="B100" s="115"/>
      <c r="C100" s="116"/>
      <c r="D100" s="112">
        <v>2500</v>
      </c>
      <c r="E100" s="112">
        <v>2435.72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7"/>
      <c r="P100" s="113"/>
      <c r="Q100" s="113"/>
    </row>
    <row r="101" spans="1:17" s="134" customFormat="1" ht="11.25">
      <c r="A101" s="109" t="s">
        <v>236</v>
      </c>
      <c r="B101" s="115"/>
      <c r="C101" s="116"/>
      <c r="D101" s="112">
        <v>10500</v>
      </c>
      <c r="E101" s="112">
        <v>10496.13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7"/>
      <c r="P101" s="113"/>
      <c r="Q101" s="113"/>
    </row>
    <row r="102" spans="1:17" s="134" customFormat="1" ht="11.25">
      <c r="A102" s="109" t="s">
        <v>240</v>
      </c>
      <c r="B102" s="115"/>
      <c r="C102" s="116"/>
      <c r="D102" s="112">
        <v>4000</v>
      </c>
      <c r="E102" s="112">
        <v>3999.99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7"/>
      <c r="P102" s="113"/>
      <c r="Q102" s="113"/>
    </row>
    <row r="103" spans="1:17" s="134" customFormat="1" ht="11.25">
      <c r="A103" s="109" t="s">
        <v>241</v>
      </c>
      <c r="B103" s="115"/>
      <c r="C103" s="116"/>
      <c r="D103" s="112">
        <v>9000</v>
      </c>
      <c r="E103" s="112">
        <f>1100+7506.19</f>
        <v>8606.189999999999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7"/>
      <c r="P103" s="113"/>
      <c r="Q103" s="113"/>
    </row>
    <row r="104" spans="1:17" s="134" customFormat="1" ht="11.25">
      <c r="A104" s="109" t="s">
        <v>237</v>
      </c>
      <c r="B104" s="115"/>
      <c r="C104" s="116"/>
      <c r="D104" s="112">
        <v>18706</v>
      </c>
      <c r="E104" s="112">
        <v>12718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7"/>
      <c r="P104" s="113"/>
      <c r="Q104" s="113"/>
    </row>
    <row r="105" spans="1:17" s="134" customFormat="1" ht="11.25">
      <c r="A105" s="109" t="s">
        <v>238</v>
      </c>
      <c r="B105" s="115"/>
      <c r="C105" s="116"/>
      <c r="D105" s="112">
        <v>11600</v>
      </c>
      <c r="E105" s="112">
        <v>9477.56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7"/>
      <c r="P105" s="113"/>
      <c r="Q105" s="113"/>
    </row>
    <row r="106" spans="1:17" s="134" customFormat="1" ht="11.25">
      <c r="A106" s="109" t="s">
        <v>257</v>
      </c>
      <c r="B106" s="115"/>
      <c r="C106" s="116"/>
      <c r="D106" s="112">
        <v>7800</v>
      </c>
      <c r="E106" s="112">
        <v>7000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7"/>
      <c r="P106" s="113"/>
      <c r="Q106" s="113"/>
    </row>
    <row r="107" spans="1:17" s="134" customFormat="1" ht="11.25">
      <c r="A107" s="109" t="s">
        <v>258</v>
      </c>
      <c r="B107" s="115"/>
      <c r="C107" s="116"/>
      <c r="D107" s="112">
        <v>9000</v>
      </c>
      <c r="E107" s="112">
        <v>8999.41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7"/>
      <c r="P107" s="113"/>
      <c r="Q107" s="113"/>
    </row>
    <row r="108" spans="1:17" s="134" customFormat="1" ht="11.25">
      <c r="A108" s="114" t="s">
        <v>259</v>
      </c>
      <c r="B108" s="115">
        <f>SUM(B89:B107)</f>
        <v>0</v>
      </c>
      <c r="C108" s="116"/>
      <c r="D108" s="115">
        <f aca="true" t="shared" si="14" ref="D108:N108">SUM(D89:D107)</f>
        <v>255243</v>
      </c>
      <c r="E108" s="115">
        <f t="shared" si="14"/>
        <v>200971.75</v>
      </c>
      <c r="F108" s="115">
        <f t="shared" si="14"/>
        <v>0</v>
      </c>
      <c r="G108" s="115">
        <f t="shared" si="14"/>
        <v>0</v>
      </c>
      <c r="H108" s="115">
        <f t="shared" si="14"/>
        <v>0</v>
      </c>
      <c r="I108" s="115">
        <f t="shared" si="14"/>
        <v>0</v>
      </c>
      <c r="J108" s="115">
        <f t="shared" si="14"/>
        <v>0</v>
      </c>
      <c r="K108" s="115">
        <f t="shared" si="14"/>
        <v>0</v>
      </c>
      <c r="L108" s="115">
        <f t="shared" si="14"/>
        <v>0</v>
      </c>
      <c r="M108" s="115">
        <f t="shared" si="14"/>
        <v>0</v>
      </c>
      <c r="N108" s="115">
        <f t="shared" si="14"/>
        <v>0</v>
      </c>
      <c r="O108" s="117" t="e">
        <f>(F108+H108+I108+G108)/(#REF!+#REF!+#REF!+#REF!)*100</f>
        <v>#REF!</v>
      </c>
      <c r="P108" s="117">
        <f>SUM(P89:P107)</f>
        <v>0</v>
      </c>
      <c r="Q108" s="113" t="e">
        <f>J108/#REF!*100</f>
        <v>#REF!</v>
      </c>
    </row>
    <row r="109" spans="1:17" s="134" customFormat="1" ht="11.25">
      <c r="A109" s="114" t="s">
        <v>260</v>
      </c>
      <c r="B109" s="115">
        <f>B10+B12+B18+B24+B38+B41+B43+B55+B60+B61+B62+B86+B88+B108+B56+B14</f>
        <v>9502</v>
      </c>
      <c r="C109" s="116">
        <f>E109/B109/6</f>
        <v>920.839963341051</v>
      </c>
      <c r="D109" s="115">
        <f aca="true" t="shared" si="15" ref="D109:Q109">D10+D12+D18+D24+D38+D41+D43+D55+D60+D61+D62+D86+D88+D108+D56+D14</f>
        <v>96233961</v>
      </c>
      <c r="E109" s="115">
        <f t="shared" si="15"/>
        <v>52498927.99</v>
      </c>
      <c r="F109" s="115">
        <f t="shared" si="15"/>
        <v>33193325.189999994</v>
      </c>
      <c r="G109" s="115">
        <f t="shared" si="15"/>
        <v>5116895.430000001</v>
      </c>
      <c r="H109" s="115">
        <f t="shared" si="15"/>
        <v>6407317.119999999</v>
      </c>
      <c r="I109" s="115">
        <f t="shared" si="15"/>
        <v>656289.93</v>
      </c>
      <c r="J109" s="115">
        <f t="shared" si="15"/>
        <v>2537445.17</v>
      </c>
      <c r="K109" s="115">
        <f t="shared" si="15"/>
        <v>128353.2</v>
      </c>
      <c r="L109" s="115">
        <f t="shared" si="15"/>
        <v>2931616.95</v>
      </c>
      <c r="M109" s="115">
        <f t="shared" si="15"/>
        <v>0</v>
      </c>
      <c r="N109" s="115">
        <f t="shared" si="15"/>
        <v>0</v>
      </c>
      <c r="O109" s="115" t="e">
        <f t="shared" si="15"/>
        <v>#REF!</v>
      </c>
      <c r="P109" s="115">
        <f t="shared" si="15"/>
        <v>0</v>
      </c>
      <c r="Q109" s="115" t="e">
        <f t="shared" si="15"/>
        <v>#REF!</v>
      </c>
    </row>
    <row r="110" spans="1:17" s="134" customFormat="1" ht="11.25">
      <c r="A110" s="109" t="s">
        <v>220</v>
      </c>
      <c r="B110" s="123"/>
      <c r="C110" s="116"/>
      <c r="D110" s="112">
        <v>1900</v>
      </c>
      <c r="E110" s="112">
        <v>0</v>
      </c>
      <c r="F110" s="115"/>
      <c r="G110" s="115"/>
      <c r="H110" s="115"/>
      <c r="I110" s="115"/>
      <c r="J110" s="115"/>
      <c r="K110" s="115"/>
      <c r="L110" s="115"/>
      <c r="M110" s="115"/>
      <c r="N110" s="115"/>
      <c r="O110" s="117"/>
      <c r="P110" s="117"/>
      <c r="Q110" s="113"/>
    </row>
    <row r="111" spans="1:17" s="134" customFormat="1" ht="11.25">
      <c r="A111" s="109" t="s">
        <v>221</v>
      </c>
      <c r="B111" s="123"/>
      <c r="C111" s="116"/>
      <c r="D111" s="112">
        <v>4300</v>
      </c>
      <c r="E111" s="112">
        <v>1850</v>
      </c>
      <c r="F111" s="115"/>
      <c r="G111" s="115"/>
      <c r="H111" s="115"/>
      <c r="I111" s="115"/>
      <c r="J111" s="115"/>
      <c r="K111" s="115"/>
      <c r="L111" s="115"/>
      <c r="M111" s="115"/>
      <c r="N111" s="115"/>
      <c r="O111" s="117"/>
      <c r="P111" s="117"/>
      <c r="Q111" s="113"/>
    </row>
    <row r="112" spans="1:17" s="134" customFormat="1" ht="11.25">
      <c r="A112" s="109" t="s">
        <v>222</v>
      </c>
      <c r="B112" s="123"/>
      <c r="C112" s="116"/>
      <c r="D112" s="112">
        <v>4300</v>
      </c>
      <c r="E112" s="112">
        <v>0</v>
      </c>
      <c r="F112" s="115"/>
      <c r="G112" s="115"/>
      <c r="H112" s="115"/>
      <c r="I112" s="115"/>
      <c r="J112" s="115"/>
      <c r="K112" s="115"/>
      <c r="L112" s="115"/>
      <c r="M112" s="115"/>
      <c r="N112" s="115"/>
      <c r="O112" s="117"/>
      <c r="P112" s="117"/>
      <c r="Q112" s="113"/>
    </row>
    <row r="113" spans="1:17" s="134" customFormat="1" ht="11.25">
      <c r="A113" s="109" t="s">
        <v>223</v>
      </c>
      <c r="B113" s="123"/>
      <c r="C113" s="116"/>
      <c r="D113" s="112">
        <v>1900</v>
      </c>
      <c r="E113" s="112">
        <v>0</v>
      </c>
      <c r="F113" s="115"/>
      <c r="G113" s="115"/>
      <c r="H113" s="115"/>
      <c r="I113" s="115"/>
      <c r="J113" s="115"/>
      <c r="K113" s="115"/>
      <c r="L113" s="115"/>
      <c r="M113" s="115"/>
      <c r="N113" s="115"/>
      <c r="O113" s="117"/>
      <c r="P113" s="117"/>
      <c r="Q113" s="113"/>
    </row>
    <row r="114" spans="1:17" s="134" customFormat="1" ht="11.25">
      <c r="A114" s="109" t="s">
        <v>224</v>
      </c>
      <c r="B114" s="123"/>
      <c r="C114" s="116"/>
      <c r="D114" s="112">
        <v>1900</v>
      </c>
      <c r="E114" s="112">
        <v>0</v>
      </c>
      <c r="F114" s="115"/>
      <c r="G114" s="115"/>
      <c r="H114" s="115"/>
      <c r="I114" s="115"/>
      <c r="J114" s="115"/>
      <c r="K114" s="115"/>
      <c r="L114" s="115"/>
      <c r="M114" s="115"/>
      <c r="N114" s="115"/>
      <c r="O114" s="117"/>
      <c r="P114" s="117"/>
      <c r="Q114" s="113"/>
    </row>
    <row r="115" spans="1:17" s="134" customFormat="1" ht="11.25">
      <c r="A115" s="109" t="s">
        <v>225</v>
      </c>
      <c r="B115" s="123"/>
      <c r="C115" s="116"/>
      <c r="D115" s="112">
        <v>2900</v>
      </c>
      <c r="E115" s="112">
        <v>0</v>
      </c>
      <c r="F115" s="115"/>
      <c r="G115" s="115"/>
      <c r="H115" s="115"/>
      <c r="I115" s="115"/>
      <c r="J115" s="115"/>
      <c r="K115" s="115"/>
      <c r="L115" s="115"/>
      <c r="M115" s="115"/>
      <c r="N115" s="115"/>
      <c r="O115" s="117"/>
      <c r="P115" s="117"/>
      <c r="Q115" s="113"/>
    </row>
    <row r="116" spans="1:17" s="134" customFormat="1" ht="11.25">
      <c r="A116" s="109" t="s">
        <v>226</v>
      </c>
      <c r="B116" s="123"/>
      <c r="C116" s="116"/>
      <c r="D116" s="112">
        <v>1900</v>
      </c>
      <c r="E116" s="112">
        <v>1100</v>
      </c>
      <c r="F116" s="115"/>
      <c r="G116" s="115"/>
      <c r="H116" s="115"/>
      <c r="I116" s="115"/>
      <c r="J116" s="115"/>
      <c r="K116" s="115"/>
      <c r="L116" s="115"/>
      <c r="M116" s="115"/>
      <c r="N116" s="115"/>
      <c r="O116" s="117"/>
      <c r="P116" s="117"/>
      <c r="Q116" s="113"/>
    </row>
    <row r="117" spans="1:17" s="134" customFormat="1" ht="11.25">
      <c r="A117" s="109" t="s">
        <v>227</v>
      </c>
      <c r="B117" s="123"/>
      <c r="C117" s="116"/>
      <c r="D117" s="112">
        <v>1900</v>
      </c>
      <c r="E117" s="112">
        <v>260</v>
      </c>
      <c r="F117" s="115"/>
      <c r="G117" s="115"/>
      <c r="H117" s="115"/>
      <c r="I117" s="115"/>
      <c r="J117" s="115"/>
      <c r="K117" s="115"/>
      <c r="L117" s="115"/>
      <c r="M117" s="115"/>
      <c r="N117" s="115"/>
      <c r="O117" s="117"/>
      <c r="P117" s="117"/>
      <c r="Q117" s="113"/>
    </row>
    <row r="118" spans="1:17" s="134" customFormat="1" ht="15" customHeight="1">
      <c r="A118" s="109" t="s">
        <v>234</v>
      </c>
      <c r="B118" s="123"/>
      <c r="C118" s="116"/>
      <c r="D118" s="112">
        <v>2400</v>
      </c>
      <c r="E118" s="112">
        <v>0</v>
      </c>
      <c r="F118" s="115"/>
      <c r="G118" s="115"/>
      <c r="H118" s="115"/>
      <c r="I118" s="115"/>
      <c r="J118" s="115"/>
      <c r="K118" s="115"/>
      <c r="L118" s="115"/>
      <c r="M118" s="115"/>
      <c r="N118" s="115"/>
      <c r="O118" s="117"/>
      <c r="P118" s="117"/>
      <c r="Q118" s="113"/>
    </row>
    <row r="119" spans="1:17" s="134" customFormat="1" ht="11.25">
      <c r="A119" s="109" t="s">
        <v>235</v>
      </c>
      <c r="B119" s="123"/>
      <c r="C119" s="116"/>
      <c r="D119" s="112">
        <v>2400</v>
      </c>
      <c r="E119" s="112">
        <v>0</v>
      </c>
      <c r="F119" s="115"/>
      <c r="G119" s="115"/>
      <c r="H119" s="115"/>
      <c r="I119" s="115"/>
      <c r="J119" s="115"/>
      <c r="K119" s="115"/>
      <c r="L119" s="115"/>
      <c r="M119" s="115"/>
      <c r="N119" s="115"/>
      <c r="O119" s="117"/>
      <c r="P119" s="117"/>
      <c r="Q119" s="113"/>
    </row>
    <row r="120" spans="1:17" s="134" customFormat="1" ht="11.25">
      <c r="A120" s="109" t="s">
        <v>236</v>
      </c>
      <c r="B120" s="123"/>
      <c r="C120" s="116"/>
      <c r="D120" s="112">
        <v>2900</v>
      </c>
      <c r="E120" s="112">
        <v>199</v>
      </c>
      <c r="F120" s="115"/>
      <c r="G120" s="115"/>
      <c r="H120" s="115"/>
      <c r="I120" s="115"/>
      <c r="J120" s="115"/>
      <c r="K120" s="115"/>
      <c r="L120" s="115"/>
      <c r="M120" s="115"/>
      <c r="N120" s="115"/>
      <c r="O120" s="117"/>
      <c r="P120" s="117"/>
      <c r="Q120" s="113"/>
    </row>
    <row r="121" spans="1:17" s="134" customFormat="1" ht="11.25">
      <c r="A121" s="109" t="s">
        <v>237</v>
      </c>
      <c r="B121" s="123"/>
      <c r="C121" s="116"/>
      <c r="D121" s="112">
        <v>2900</v>
      </c>
      <c r="E121" s="112">
        <v>0</v>
      </c>
      <c r="F121" s="115"/>
      <c r="G121" s="115"/>
      <c r="H121" s="115"/>
      <c r="I121" s="115"/>
      <c r="J121" s="115"/>
      <c r="K121" s="115"/>
      <c r="L121" s="115"/>
      <c r="M121" s="115"/>
      <c r="N121" s="115"/>
      <c r="O121" s="117"/>
      <c r="P121" s="117"/>
      <c r="Q121" s="113"/>
    </row>
    <row r="122" spans="1:17" s="134" customFormat="1" ht="11.25">
      <c r="A122" s="109" t="s">
        <v>238</v>
      </c>
      <c r="B122" s="123"/>
      <c r="C122" s="116"/>
      <c r="D122" s="112">
        <v>2900</v>
      </c>
      <c r="E122" s="112">
        <v>0</v>
      </c>
      <c r="F122" s="115"/>
      <c r="G122" s="115"/>
      <c r="H122" s="115"/>
      <c r="I122" s="115"/>
      <c r="J122" s="115"/>
      <c r="K122" s="115"/>
      <c r="L122" s="115"/>
      <c r="M122" s="115"/>
      <c r="N122" s="115"/>
      <c r="O122" s="117"/>
      <c r="P122" s="117"/>
      <c r="Q122" s="113"/>
    </row>
    <row r="123" spans="1:17" s="134" customFormat="1" ht="11.25">
      <c r="A123" s="109" t="s">
        <v>232</v>
      </c>
      <c r="B123" s="123"/>
      <c r="C123" s="116"/>
      <c r="D123" s="112">
        <v>2400</v>
      </c>
      <c r="E123" s="112">
        <v>0</v>
      </c>
      <c r="F123" s="115"/>
      <c r="G123" s="115"/>
      <c r="H123" s="115"/>
      <c r="I123" s="115"/>
      <c r="J123" s="115"/>
      <c r="K123" s="115"/>
      <c r="L123" s="115"/>
      <c r="M123" s="115"/>
      <c r="N123" s="115"/>
      <c r="O123" s="117"/>
      <c r="P123" s="117"/>
      <c r="Q123" s="113"/>
    </row>
    <row r="124" spans="1:17" s="134" customFormat="1" ht="11.25">
      <c r="A124" s="109" t="s">
        <v>239</v>
      </c>
      <c r="B124" s="123"/>
      <c r="C124" s="116"/>
      <c r="D124" s="112">
        <v>2400</v>
      </c>
      <c r="E124" s="112">
        <v>0</v>
      </c>
      <c r="F124" s="115"/>
      <c r="G124" s="115"/>
      <c r="H124" s="115"/>
      <c r="I124" s="115"/>
      <c r="J124" s="115"/>
      <c r="K124" s="115"/>
      <c r="L124" s="115"/>
      <c r="M124" s="115"/>
      <c r="N124" s="115"/>
      <c r="O124" s="117"/>
      <c r="P124" s="117"/>
      <c r="Q124" s="113"/>
    </row>
    <row r="125" spans="1:17" s="134" customFormat="1" ht="11.25">
      <c r="A125" s="109" t="s">
        <v>240</v>
      </c>
      <c r="B125" s="123"/>
      <c r="C125" s="116"/>
      <c r="D125" s="112">
        <v>2400</v>
      </c>
      <c r="E125" s="112">
        <v>0</v>
      </c>
      <c r="F125" s="115"/>
      <c r="G125" s="115"/>
      <c r="H125" s="115"/>
      <c r="I125" s="115"/>
      <c r="J125" s="115"/>
      <c r="K125" s="115"/>
      <c r="L125" s="115"/>
      <c r="M125" s="115"/>
      <c r="N125" s="115"/>
      <c r="O125" s="117"/>
      <c r="P125" s="117"/>
      <c r="Q125" s="113"/>
    </row>
    <row r="126" spans="1:17" s="134" customFormat="1" ht="11.25">
      <c r="A126" s="109" t="s">
        <v>241</v>
      </c>
      <c r="B126" s="123"/>
      <c r="C126" s="116"/>
      <c r="D126" s="112">
        <v>2400</v>
      </c>
      <c r="E126" s="112">
        <v>0</v>
      </c>
      <c r="F126" s="115"/>
      <c r="G126" s="115"/>
      <c r="H126" s="115"/>
      <c r="I126" s="115"/>
      <c r="J126" s="115"/>
      <c r="K126" s="115"/>
      <c r="L126" s="115"/>
      <c r="M126" s="115"/>
      <c r="N126" s="115"/>
      <c r="O126" s="117"/>
      <c r="P126" s="117"/>
      <c r="Q126" s="113"/>
    </row>
    <row r="127" spans="1:17" s="134" customFormat="1" ht="11.25">
      <c r="A127" s="109" t="s">
        <v>242</v>
      </c>
      <c r="B127" s="123"/>
      <c r="C127" s="116"/>
      <c r="D127" s="112">
        <v>2400</v>
      </c>
      <c r="E127" s="112">
        <v>0</v>
      </c>
      <c r="F127" s="115"/>
      <c r="G127" s="115"/>
      <c r="H127" s="115"/>
      <c r="I127" s="115"/>
      <c r="J127" s="115"/>
      <c r="K127" s="115"/>
      <c r="L127" s="115"/>
      <c r="M127" s="115"/>
      <c r="N127" s="115"/>
      <c r="O127" s="117"/>
      <c r="P127" s="117"/>
      <c r="Q127" s="113"/>
    </row>
    <row r="128" spans="1:17" s="134" customFormat="1" ht="11.25">
      <c r="A128" s="110" t="s">
        <v>257</v>
      </c>
      <c r="B128" s="123"/>
      <c r="C128" s="116"/>
      <c r="D128" s="112">
        <v>8000</v>
      </c>
      <c r="E128" s="112">
        <v>2129.29</v>
      </c>
      <c r="F128" s="115"/>
      <c r="G128" s="115"/>
      <c r="H128" s="115"/>
      <c r="I128" s="115"/>
      <c r="J128" s="115"/>
      <c r="K128" s="115"/>
      <c r="L128" s="115"/>
      <c r="M128" s="115"/>
      <c r="N128" s="115"/>
      <c r="O128" s="117"/>
      <c r="P128" s="117"/>
      <c r="Q128" s="113"/>
    </row>
    <row r="129" spans="1:17" s="134" customFormat="1" ht="11.25">
      <c r="A129" s="109" t="s">
        <v>258</v>
      </c>
      <c r="B129" s="123"/>
      <c r="C129" s="116"/>
      <c r="D129" s="112">
        <v>11716</v>
      </c>
      <c r="E129" s="112">
        <v>7015.8</v>
      </c>
      <c r="F129" s="115"/>
      <c r="G129" s="115"/>
      <c r="H129" s="115"/>
      <c r="I129" s="115"/>
      <c r="J129" s="115"/>
      <c r="K129" s="115"/>
      <c r="L129" s="115"/>
      <c r="M129" s="115"/>
      <c r="N129" s="115"/>
      <c r="O129" s="117"/>
      <c r="P129" s="117"/>
      <c r="Q129" s="113"/>
    </row>
    <row r="130" spans="1:17" s="134" customFormat="1" ht="11.25">
      <c r="A130" s="109" t="s">
        <v>261</v>
      </c>
      <c r="B130" s="123"/>
      <c r="C130" s="116"/>
      <c r="D130" s="112">
        <v>6338</v>
      </c>
      <c r="E130" s="112">
        <v>4033.97</v>
      </c>
      <c r="F130" s="115"/>
      <c r="G130" s="115"/>
      <c r="H130" s="115"/>
      <c r="I130" s="115"/>
      <c r="J130" s="115"/>
      <c r="K130" s="115"/>
      <c r="L130" s="115"/>
      <c r="M130" s="115"/>
      <c r="N130" s="115"/>
      <c r="O130" s="117"/>
      <c r="P130" s="117"/>
      <c r="Q130" s="113"/>
    </row>
    <row r="131" spans="1:17" s="134" customFormat="1" ht="11.25">
      <c r="A131" s="109" t="s">
        <v>212</v>
      </c>
      <c r="B131" s="123"/>
      <c r="C131" s="116"/>
      <c r="D131" s="112">
        <v>49420</v>
      </c>
      <c r="E131" s="112">
        <v>43211.9</v>
      </c>
      <c r="F131" s="115"/>
      <c r="G131" s="115"/>
      <c r="H131" s="115"/>
      <c r="I131" s="115"/>
      <c r="J131" s="115"/>
      <c r="K131" s="115"/>
      <c r="L131" s="115"/>
      <c r="M131" s="115"/>
      <c r="N131" s="115"/>
      <c r="O131" s="117"/>
      <c r="P131" s="117"/>
      <c r="Q131" s="113"/>
    </row>
    <row r="132" spans="1:17" s="134" customFormat="1" ht="11.25">
      <c r="A132" s="116">
        <v>85154</v>
      </c>
      <c r="B132" s="123"/>
      <c r="C132" s="116"/>
      <c r="D132" s="115">
        <f aca="true" t="shared" si="16" ref="D132:Q132">SUM(D110:D131)</f>
        <v>121974</v>
      </c>
      <c r="E132" s="115">
        <f t="shared" si="16"/>
        <v>59799.96000000001</v>
      </c>
      <c r="F132" s="115">
        <f t="shared" si="16"/>
        <v>0</v>
      </c>
      <c r="G132" s="115">
        <f t="shared" si="16"/>
        <v>0</v>
      </c>
      <c r="H132" s="115">
        <f t="shared" si="16"/>
        <v>0</v>
      </c>
      <c r="I132" s="115">
        <f t="shared" si="16"/>
        <v>0</v>
      </c>
      <c r="J132" s="115">
        <f t="shared" si="16"/>
        <v>0</v>
      </c>
      <c r="K132" s="115">
        <f t="shared" si="16"/>
        <v>0</v>
      </c>
      <c r="L132" s="115">
        <f t="shared" si="16"/>
        <v>0</v>
      </c>
      <c r="M132" s="115">
        <f t="shared" si="16"/>
        <v>0</v>
      </c>
      <c r="N132" s="115">
        <f t="shared" si="16"/>
        <v>0</v>
      </c>
      <c r="O132" s="115">
        <f t="shared" si="16"/>
        <v>0</v>
      </c>
      <c r="P132" s="115">
        <f t="shared" si="16"/>
        <v>0</v>
      </c>
      <c r="Q132" s="115">
        <f t="shared" si="16"/>
        <v>0</v>
      </c>
    </row>
    <row r="133" spans="1:17" s="134" customFormat="1" ht="11.25">
      <c r="A133" s="109" t="s">
        <v>261</v>
      </c>
      <c r="B133" s="123"/>
      <c r="C133" s="116"/>
      <c r="D133" s="112">
        <v>188</v>
      </c>
      <c r="E133" s="112">
        <v>187.2</v>
      </c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1:17" s="134" customFormat="1" ht="11.25">
      <c r="A134" s="109" t="s">
        <v>234</v>
      </c>
      <c r="B134" s="123"/>
      <c r="C134" s="116"/>
      <c r="D134" s="112">
        <v>562</v>
      </c>
      <c r="E134" s="112">
        <v>280.8</v>
      </c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1:17" s="134" customFormat="1" ht="11.25">
      <c r="A135" s="109" t="s">
        <v>237</v>
      </c>
      <c r="B135" s="123"/>
      <c r="C135" s="116"/>
      <c r="D135" s="112">
        <v>562</v>
      </c>
      <c r="E135" s="112">
        <v>327.6</v>
      </c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1:17" s="134" customFormat="1" ht="11.25">
      <c r="A136" s="109" t="s">
        <v>232</v>
      </c>
      <c r="B136" s="123"/>
      <c r="C136" s="116"/>
      <c r="D136" s="112">
        <v>562</v>
      </c>
      <c r="E136" s="112">
        <v>187.2</v>
      </c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1:17" s="134" customFormat="1" ht="11.25">
      <c r="A137" s="116">
        <v>85156</v>
      </c>
      <c r="B137" s="123">
        <f>SUM(B133:B136)</f>
        <v>0</v>
      </c>
      <c r="C137" s="116"/>
      <c r="D137" s="123">
        <f aca="true" t="shared" si="17" ref="D137:Q137">SUM(D133:D136)</f>
        <v>1874</v>
      </c>
      <c r="E137" s="123">
        <f t="shared" si="17"/>
        <v>982.8</v>
      </c>
      <c r="F137" s="123">
        <f t="shared" si="17"/>
        <v>0</v>
      </c>
      <c r="G137" s="123">
        <f t="shared" si="17"/>
        <v>0</v>
      </c>
      <c r="H137" s="123">
        <f t="shared" si="17"/>
        <v>0</v>
      </c>
      <c r="I137" s="123">
        <f t="shared" si="17"/>
        <v>0</v>
      </c>
      <c r="J137" s="123">
        <f t="shared" si="17"/>
        <v>0</v>
      </c>
      <c r="K137" s="123">
        <f t="shared" si="17"/>
        <v>0</v>
      </c>
      <c r="L137" s="123">
        <f t="shared" si="17"/>
        <v>0</v>
      </c>
      <c r="M137" s="123">
        <f t="shared" si="17"/>
        <v>0</v>
      </c>
      <c r="N137" s="123">
        <f t="shared" si="17"/>
        <v>0</v>
      </c>
      <c r="O137" s="123">
        <f t="shared" si="17"/>
        <v>0</v>
      </c>
      <c r="P137" s="123">
        <f t="shared" si="17"/>
        <v>0</v>
      </c>
      <c r="Q137" s="123">
        <f t="shared" si="17"/>
        <v>0</v>
      </c>
    </row>
    <row r="138" spans="1:17" s="134" customFormat="1" ht="11.25">
      <c r="A138" s="114" t="s">
        <v>262</v>
      </c>
      <c r="B138" s="120">
        <v>122</v>
      </c>
      <c r="C138" s="116">
        <f aca="true" t="shared" si="18" ref="C138:C152">E138/B138/6</f>
        <v>165.97209016393444</v>
      </c>
      <c r="D138" s="115">
        <v>233270</v>
      </c>
      <c r="E138" s="115">
        <v>121491.57</v>
      </c>
      <c r="F138" s="115">
        <v>88145.16</v>
      </c>
      <c r="G138" s="115">
        <v>10050</v>
      </c>
      <c r="H138" s="115">
        <v>16347.59</v>
      </c>
      <c r="I138" s="115">
        <v>2187.82</v>
      </c>
      <c r="J138" s="115">
        <v>0</v>
      </c>
      <c r="K138" s="115">
        <v>0</v>
      </c>
      <c r="L138" s="115">
        <v>4485</v>
      </c>
      <c r="M138" s="115">
        <v>0</v>
      </c>
      <c r="N138" s="115">
        <v>0</v>
      </c>
      <c r="O138" s="117" t="e">
        <f>(F138+H138+I138+G138)/(#REF!+#REF!+#REF!+#REF!)*100</f>
        <v>#REF!</v>
      </c>
      <c r="P138" s="113"/>
      <c r="Q138" s="113" t="e">
        <f>J138/#REF!*100</f>
        <v>#REF!</v>
      </c>
    </row>
    <row r="139" spans="1:17" s="134" customFormat="1" ht="11.25">
      <c r="A139" s="109" t="s">
        <v>263</v>
      </c>
      <c r="B139" s="121">
        <v>10</v>
      </c>
      <c r="C139" s="111">
        <f t="shared" si="18"/>
        <v>5152.904166666666</v>
      </c>
      <c r="D139" s="112">
        <f>589344+50000</f>
        <v>639344</v>
      </c>
      <c r="E139" s="112">
        <v>309174.25</v>
      </c>
      <c r="F139" s="112">
        <v>160526.03</v>
      </c>
      <c r="G139" s="112">
        <v>26414.4</v>
      </c>
      <c r="H139" s="112">
        <v>31786.88</v>
      </c>
      <c r="I139" s="112">
        <v>2519.37</v>
      </c>
      <c r="J139" s="112">
        <v>52114.14</v>
      </c>
      <c r="K139" s="112">
        <v>0</v>
      </c>
      <c r="L139" s="112">
        <v>13623.75</v>
      </c>
      <c r="M139" s="112">
        <v>0</v>
      </c>
      <c r="N139" s="112">
        <v>0</v>
      </c>
      <c r="O139" s="117" t="e">
        <f>(F139+H139+I139+G139)/(#REF!+#REF!+#REF!+#REF!)*100</f>
        <v>#REF!</v>
      </c>
      <c r="P139" s="113"/>
      <c r="Q139" s="113" t="e">
        <f>J139/#REF!*100</f>
        <v>#REF!</v>
      </c>
    </row>
    <row r="140" spans="1:17" s="134" customFormat="1" ht="11.25">
      <c r="A140" s="109" t="s">
        <v>264</v>
      </c>
      <c r="B140" s="121">
        <v>9</v>
      </c>
      <c r="C140" s="111">
        <f t="shared" si="18"/>
        <v>6422.553888888889</v>
      </c>
      <c r="D140" s="112">
        <f>664314+60000</f>
        <v>724314</v>
      </c>
      <c r="E140" s="112">
        <v>346817.91</v>
      </c>
      <c r="F140" s="112">
        <v>147098.77</v>
      </c>
      <c r="G140" s="112">
        <v>33652</v>
      </c>
      <c r="H140" s="112">
        <v>29032.85</v>
      </c>
      <c r="I140" s="112">
        <v>3964.63</v>
      </c>
      <c r="J140" s="112">
        <v>88040.81</v>
      </c>
      <c r="K140" s="112">
        <v>10000</v>
      </c>
      <c r="L140" s="112">
        <v>12287</v>
      </c>
      <c r="M140" s="112">
        <v>0</v>
      </c>
      <c r="N140" s="112">
        <v>0</v>
      </c>
      <c r="O140" s="117" t="e">
        <f>(F140+H140+I140+G140)/(#REF!+#REF!+#REF!+#REF!)*100</f>
        <v>#REF!</v>
      </c>
      <c r="P140" s="113"/>
      <c r="Q140" s="113" t="e">
        <f>J140/#REF!*100</f>
        <v>#REF!</v>
      </c>
    </row>
    <row r="141" spans="1:17" s="134" customFormat="1" ht="21.75">
      <c r="A141" s="114" t="s">
        <v>265</v>
      </c>
      <c r="B141" s="115">
        <f>B139+B140</f>
        <v>19</v>
      </c>
      <c r="C141" s="116">
        <f t="shared" si="18"/>
        <v>5754.317192982456</v>
      </c>
      <c r="D141" s="115">
        <f aca="true" t="shared" si="19" ref="D141:N141">D139+D140</f>
        <v>1363658</v>
      </c>
      <c r="E141" s="115">
        <f t="shared" si="19"/>
        <v>655992.1599999999</v>
      </c>
      <c r="F141" s="115">
        <f t="shared" si="19"/>
        <v>307624.8</v>
      </c>
      <c r="G141" s="115">
        <f t="shared" si="19"/>
        <v>60066.4</v>
      </c>
      <c r="H141" s="115">
        <f t="shared" si="19"/>
        <v>60819.729999999996</v>
      </c>
      <c r="I141" s="115">
        <f t="shared" si="19"/>
        <v>6484</v>
      </c>
      <c r="J141" s="115">
        <f t="shared" si="19"/>
        <v>140154.95</v>
      </c>
      <c r="K141" s="115">
        <f t="shared" si="19"/>
        <v>10000</v>
      </c>
      <c r="L141" s="115">
        <f t="shared" si="19"/>
        <v>25910.75</v>
      </c>
      <c r="M141" s="115">
        <f t="shared" si="19"/>
        <v>0</v>
      </c>
      <c r="N141" s="115">
        <f t="shared" si="19"/>
        <v>0</v>
      </c>
      <c r="O141" s="117" t="e">
        <f>(F141+H141+I141+G141)/(#REF!+#REF!+#REF!+#REF!)*100</f>
        <v>#REF!</v>
      </c>
      <c r="P141" s="117">
        <f>P139+P140</f>
        <v>0</v>
      </c>
      <c r="Q141" s="113" t="e">
        <f>J141/#REF!*100</f>
        <v>#REF!</v>
      </c>
    </row>
    <row r="142" spans="1:17" s="134" customFormat="1" ht="11.25">
      <c r="A142" s="109" t="s">
        <v>263</v>
      </c>
      <c r="B142" s="122">
        <v>16</v>
      </c>
      <c r="C142" s="111">
        <f t="shared" si="18"/>
        <v>230.90447916666668</v>
      </c>
      <c r="D142" s="112">
        <v>51694</v>
      </c>
      <c r="E142" s="115">
        <v>22166.83</v>
      </c>
      <c r="F142" s="112">
        <v>18312.61</v>
      </c>
      <c r="G142" s="112">
        <v>355.67</v>
      </c>
      <c r="H142" s="112">
        <v>3062.09</v>
      </c>
      <c r="I142" s="115">
        <v>436.46</v>
      </c>
      <c r="J142" s="115">
        <v>0</v>
      </c>
      <c r="K142" s="115">
        <v>0</v>
      </c>
      <c r="L142" s="115">
        <v>0</v>
      </c>
      <c r="M142" s="115">
        <v>0</v>
      </c>
      <c r="N142" s="115">
        <v>0</v>
      </c>
      <c r="O142" s="117" t="e">
        <f>(F142+H142+I142+G142)/(#REF!+#REF!+#REF!+#REF!)*100</f>
        <v>#REF!</v>
      </c>
      <c r="P142" s="117">
        <v>0</v>
      </c>
      <c r="Q142" s="113"/>
    </row>
    <row r="143" spans="1:17" s="134" customFormat="1" ht="11.25">
      <c r="A143" s="109" t="s">
        <v>212</v>
      </c>
      <c r="B143" s="122">
        <v>6</v>
      </c>
      <c r="C143" s="111">
        <f t="shared" si="18"/>
        <v>229.18027777777777</v>
      </c>
      <c r="D143" s="112">
        <v>15309</v>
      </c>
      <c r="E143" s="115">
        <v>8250.49</v>
      </c>
      <c r="F143" s="112">
        <v>5956.61</v>
      </c>
      <c r="G143" s="112">
        <v>1001</v>
      </c>
      <c r="H143" s="112">
        <v>1131.6</v>
      </c>
      <c r="I143" s="115">
        <v>161.28</v>
      </c>
      <c r="J143" s="115"/>
      <c r="K143" s="115"/>
      <c r="L143" s="115"/>
      <c r="M143" s="115"/>
      <c r="N143" s="115"/>
      <c r="O143" s="117" t="e">
        <f>(F143+H143+I143+G143)/(#REF!+#REF!+#REF!+#REF!)*100</f>
        <v>#REF!</v>
      </c>
      <c r="P143" s="117">
        <v>0</v>
      </c>
      <c r="Q143" s="113"/>
    </row>
    <row r="144" spans="1:17" s="134" customFormat="1" ht="11.25">
      <c r="A144" s="116">
        <v>85404</v>
      </c>
      <c r="B144" s="123">
        <f>B142+B143</f>
        <v>22</v>
      </c>
      <c r="C144" s="116">
        <f t="shared" si="18"/>
        <v>230.4342424242424</v>
      </c>
      <c r="D144" s="123">
        <f aca="true" t="shared" si="20" ref="D144:N144">D142+D143</f>
        <v>67003</v>
      </c>
      <c r="E144" s="123">
        <f t="shared" si="20"/>
        <v>30417.32</v>
      </c>
      <c r="F144" s="123">
        <f t="shared" si="20"/>
        <v>24269.22</v>
      </c>
      <c r="G144" s="123">
        <f t="shared" si="20"/>
        <v>1356.67</v>
      </c>
      <c r="H144" s="123">
        <f t="shared" si="20"/>
        <v>4193.6900000000005</v>
      </c>
      <c r="I144" s="123">
        <f t="shared" si="20"/>
        <v>597.74</v>
      </c>
      <c r="J144" s="123">
        <f t="shared" si="20"/>
        <v>0</v>
      </c>
      <c r="K144" s="123">
        <f t="shared" si="20"/>
        <v>0</v>
      </c>
      <c r="L144" s="123">
        <f t="shared" si="20"/>
        <v>0</v>
      </c>
      <c r="M144" s="123">
        <f t="shared" si="20"/>
        <v>0</v>
      </c>
      <c r="N144" s="123">
        <f t="shared" si="20"/>
        <v>0</v>
      </c>
      <c r="O144" s="117" t="e">
        <f>(F144+H144+I144+G144)/(#REF!+#REF!+#REF!+#REF!)*100</f>
        <v>#REF!</v>
      </c>
      <c r="P144" s="124">
        <f>P142+P143</f>
        <v>0</v>
      </c>
      <c r="Q144" s="124">
        <f>Q142+Q143</f>
        <v>0</v>
      </c>
    </row>
    <row r="145" spans="1:17" s="134" customFormat="1" ht="11.25">
      <c r="A145" s="109" t="s">
        <v>266</v>
      </c>
      <c r="B145" s="121">
        <v>5742</v>
      </c>
      <c r="C145" s="111">
        <f t="shared" si="18"/>
        <v>27.061065540462092</v>
      </c>
      <c r="D145" s="112">
        <v>1702512</v>
      </c>
      <c r="E145" s="112">
        <v>932307.83</v>
      </c>
      <c r="F145" s="112">
        <v>587432.05</v>
      </c>
      <c r="G145" s="112">
        <v>88768.87</v>
      </c>
      <c r="H145" s="112">
        <v>112607.78</v>
      </c>
      <c r="I145" s="112">
        <v>10480.3</v>
      </c>
      <c r="J145" s="112">
        <v>31365.77</v>
      </c>
      <c r="K145" s="112">
        <v>750</v>
      </c>
      <c r="L145" s="112">
        <v>54751</v>
      </c>
      <c r="M145" s="112">
        <v>0</v>
      </c>
      <c r="N145" s="112">
        <v>5828.97</v>
      </c>
      <c r="O145" s="117" t="e">
        <f>(F145+H145+I145+G145)/(#REF!+#REF!+#REF!+#REF!)*100</f>
        <v>#REF!</v>
      </c>
      <c r="P145" s="113"/>
      <c r="Q145" s="113" t="e">
        <f>J145/#REF!*100</f>
        <v>#REF!</v>
      </c>
    </row>
    <row r="146" spans="1:17" s="134" customFormat="1" ht="11.25">
      <c r="A146" s="109" t="s">
        <v>267</v>
      </c>
      <c r="B146" s="121">
        <v>6690</v>
      </c>
      <c r="C146" s="111">
        <f t="shared" si="18"/>
        <v>21.40626980568012</v>
      </c>
      <c r="D146" s="112">
        <v>1659742</v>
      </c>
      <c r="E146" s="112">
        <v>859247.67</v>
      </c>
      <c r="F146" s="112">
        <v>553949.97</v>
      </c>
      <c r="G146" s="112">
        <v>83198.53</v>
      </c>
      <c r="H146" s="112">
        <v>105620.05</v>
      </c>
      <c r="I146" s="112">
        <v>11655.91</v>
      </c>
      <c r="J146" s="112">
        <v>19994.43</v>
      </c>
      <c r="K146" s="112">
        <v>3869.85</v>
      </c>
      <c r="L146" s="112">
        <v>50069</v>
      </c>
      <c r="M146" s="112">
        <v>0</v>
      </c>
      <c r="N146" s="112">
        <v>0</v>
      </c>
      <c r="O146" s="117" t="e">
        <f>(F146+H146+I146+G146)/(#REF!+#REF!+#REF!+#REF!)*100</f>
        <v>#REF!</v>
      </c>
      <c r="P146" s="113"/>
      <c r="Q146" s="113" t="e">
        <f>J146/#REF!*100</f>
        <v>#REF!</v>
      </c>
    </row>
    <row r="147" spans="1:17" s="134" customFormat="1" ht="11.25">
      <c r="A147" s="109" t="s">
        <v>268</v>
      </c>
      <c r="B147" s="121">
        <v>2538</v>
      </c>
      <c r="C147" s="111">
        <f t="shared" si="18"/>
        <v>44.00281652219596</v>
      </c>
      <c r="D147" s="112">
        <v>1301653</v>
      </c>
      <c r="E147" s="112">
        <v>670074.89</v>
      </c>
      <c r="F147" s="112">
        <v>443115.88</v>
      </c>
      <c r="G147" s="112">
        <v>69129.57</v>
      </c>
      <c r="H147" s="112">
        <v>84608.89</v>
      </c>
      <c r="I147" s="112">
        <v>7936.81</v>
      </c>
      <c r="J147" s="112">
        <v>4081.78</v>
      </c>
      <c r="K147" s="112">
        <v>2952</v>
      </c>
      <c r="L147" s="112">
        <v>43703</v>
      </c>
      <c r="M147" s="112">
        <v>0</v>
      </c>
      <c r="N147" s="112">
        <v>0</v>
      </c>
      <c r="O147" s="117" t="e">
        <f>(F147+H147+I147+G147)/(#REF!+#REF!+#REF!+#REF!)*100</f>
        <v>#REF!</v>
      </c>
      <c r="P147" s="113"/>
      <c r="Q147" s="113" t="e">
        <f>J147/#REF!*100</f>
        <v>#REF!</v>
      </c>
    </row>
    <row r="148" spans="1:17" s="134" customFormat="1" ht="21.75">
      <c r="A148" s="114" t="s">
        <v>269</v>
      </c>
      <c r="B148" s="115">
        <f>SUM(B145:B147)</f>
        <v>14970</v>
      </c>
      <c r="C148" s="116">
        <f t="shared" si="18"/>
        <v>27.406261300378535</v>
      </c>
      <c r="D148" s="115">
        <f aca="true" t="shared" si="21" ref="D148:N148">SUM(D145:D147)</f>
        <v>4663907</v>
      </c>
      <c r="E148" s="115">
        <f t="shared" si="21"/>
        <v>2461630.39</v>
      </c>
      <c r="F148" s="115">
        <f t="shared" si="21"/>
        <v>1584497.9</v>
      </c>
      <c r="G148" s="115">
        <f t="shared" si="21"/>
        <v>241096.97</v>
      </c>
      <c r="H148" s="115">
        <f t="shared" si="21"/>
        <v>302836.72000000003</v>
      </c>
      <c r="I148" s="115">
        <f t="shared" si="21"/>
        <v>30073.02</v>
      </c>
      <c r="J148" s="115">
        <f t="shared" si="21"/>
        <v>55441.979999999996</v>
      </c>
      <c r="K148" s="115">
        <f t="shared" si="21"/>
        <v>7571.85</v>
      </c>
      <c r="L148" s="115">
        <f t="shared" si="21"/>
        <v>148523</v>
      </c>
      <c r="M148" s="115">
        <f t="shared" si="21"/>
        <v>0</v>
      </c>
      <c r="N148" s="115">
        <f t="shared" si="21"/>
        <v>5828.97</v>
      </c>
      <c r="O148" s="117" t="e">
        <f>(F148+H148+I148+G148)/(#REF!+#REF!+#REF!+#REF!)*100</f>
        <v>#REF!</v>
      </c>
      <c r="P148" s="117">
        <f>SUM(P145:P147)</f>
        <v>0</v>
      </c>
      <c r="Q148" s="113" t="e">
        <f>J148/#REF!*100</f>
        <v>#REF!</v>
      </c>
    </row>
    <row r="149" spans="1:17" s="134" customFormat="1" ht="11.25">
      <c r="A149" s="114" t="s">
        <v>270</v>
      </c>
      <c r="B149" s="120">
        <v>1359</v>
      </c>
      <c r="C149" s="116">
        <f t="shared" si="18"/>
        <v>150.95013122393917</v>
      </c>
      <c r="D149" s="115">
        <v>2223104</v>
      </c>
      <c r="E149" s="115">
        <v>1230847.37</v>
      </c>
      <c r="F149" s="115">
        <v>700799.94</v>
      </c>
      <c r="G149" s="115">
        <v>101827.89</v>
      </c>
      <c r="H149" s="115">
        <v>131728.15</v>
      </c>
      <c r="I149" s="115">
        <v>130602.83</v>
      </c>
      <c r="J149" s="115">
        <v>70109.31</v>
      </c>
      <c r="K149" s="115">
        <v>3043.34</v>
      </c>
      <c r="L149" s="115">
        <v>70692</v>
      </c>
      <c r="M149" s="115">
        <v>0</v>
      </c>
      <c r="N149" s="115">
        <v>0</v>
      </c>
      <c r="O149" s="117" t="e">
        <f>(F149+H149+I149+G149)/(#REF!+#REF!+#REF!+#REF!)*100</f>
        <v>#REF!</v>
      </c>
      <c r="P149" s="113">
        <v>0</v>
      </c>
      <c r="Q149" s="113" t="e">
        <f>J149/#REF!*100</f>
        <v>#REF!</v>
      </c>
    </row>
    <row r="150" spans="1:17" s="134" customFormat="1" ht="11.25">
      <c r="A150" s="109" t="s">
        <v>235</v>
      </c>
      <c r="B150" s="121">
        <v>110</v>
      </c>
      <c r="C150" s="111">
        <f t="shared" si="18"/>
        <v>928.5131212121213</v>
      </c>
      <c r="D150" s="112">
        <v>1018166</v>
      </c>
      <c r="E150" s="112">
        <v>612818.66</v>
      </c>
      <c r="F150" s="112">
        <v>307283.3</v>
      </c>
      <c r="G150" s="112">
        <v>47629.84</v>
      </c>
      <c r="H150" s="112">
        <v>60206.6</v>
      </c>
      <c r="I150" s="112">
        <v>5243.06</v>
      </c>
      <c r="J150" s="112">
        <v>150818.09</v>
      </c>
      <c r="K150" s="112">
        <v>0</v>
      </c>
      <c r="L150" s="112">
        <v>25530</v>
      </c>
      <c r="M150" s="112">
        <v>0</v>
      </c>
      <c r="N150" s="112">
        <v>0</v>
      </c>
      <c r="O150" s="117" t="e">
        <f>(F150+H150+I150+G150)/(#REF!+#REF!+#REF!+#REF!)*100</f>
        <v>#REF!</v>
      </c>
      <c r="P150" s="113"/>
      <c r="Q150" s="113" t="e">
        <f>J150/#REF!*100</f>
        <v>#REF!</v>
      </c>
    </row>
    <row r="151" spans="1:17" s="134" customFormat="1" ht="11.25">
      <c r="A151" s="109" t="s">
        <v>222</v>
      </c>
      <c r="B151" s="121">
        <v>142</v>
      </c>
      <c r="C151" s="111">
        <f t="shared" si="18"/>
        <v>756.9970774647887</v>
      </c>
      <c r="D151" s="112">
        <v>1318451</v>
      </c>
      <c r="E151" s="112">
        <v>644961.51</v>
      </c>
      <c r="F151" s="112">
        <v>352861.34</v>
      </c>
      <c r="G151" s="112">
        <v>55551.04</v>
      </c>
      <c r="H151" s="112">
        <v>71544.08</v>
      </c>
      <c r="I151" s="112">
        <v>6563.48</v>
      </c>
      <c r="J151" s="112">
        <v>107175.29</v>
      </c>
      <c r="K151" s="112">
        <v>0</v>
      </c>
      <c r="L151" s="112">
        <v>33315</v>
      </c>
      <c r="M151" s="112">
        <v>0</v>
      </c>
      <c r="N151" s="112">
        <v>0</v>
      </c>
      <c r="O151" s="117" t="e">
        <f>(F151+H151+I151+G151)/(#REF!+#REF!+#REF!+#REF!)*100</f>
        <v>#REF!</v>
      </c>
      <c r="P151" s="113"/>
      <c r="Q151" s="113" t="e">
        <f>J151/#REF!*100</f>
        <v>#REF!</v>
      </c>
    </row>
    <row r="152" spans="1:17" s="134" customFormat="1" ht="11.25">
      <c r="A152" s="114" t="s">
        <v>271</v>
      </c>
      <c r="B152" s="115">
        <f>B150+B151</f>
        <v>252</v>
      </c>
      <c r="C152" s="116">
        <f t="shared" si="18"/>
        <v>831.8651917989417</v>
      </c>
      <c r="D152" s="115">
        <f aca="true" t="shared" si="22" ref="D152:N152">D150+D151</f>
        <v>2336617</v>
      </c>
      <c r="E152" s="115">
        <f t="shared" si="22"/>
        <v>1257780.17</v>
      </c>
      <c r="F152" s="115">
        <f t="shared" si="22"/>
        <v>660144.64</v>
      </c>
      <c r="G152" s="115">
        <f t="shared" si="22"/>
        <v>103180.88</v>
      </c>
      <c r="H152" s="115">
        <f t="shared" si="22"/>
        <v>131750.68</v>
      </c>
      <c r="I152" s="115">
        <f t="shared" si="22"/>
        <v>11806.54</v>
      </c>
      <c r="J152" s="115">
        <f t="shared" si="22"/>
        <v>257993.38</v>
      </c>
      <c r="K152" s="115">
        <f t="shared" si="22"/>
        <v>0</v>
      </c>
      <c r="L152" s="115">
        <f t="shared" si="22"/>
        <v>58845</v>
      </c>
      <c r="M152" s="115">
        <f t="shared" si="22"/>
        <v>0</v>
      </c>
      <c r="N152" s="115">
        <f t="shared" si="22"/>
        <v>0</v>
      </c>
      <c r="O152" s="117" t="e">
        <f>(F152+H152+I152+G152)/(#REF!+#REF!+#REF!+#REF!)*100</f>
        <v>#REF!</v>
      </c>
      <c r="P152" s="117">
        <f>P150+P151</f>
        <v>0</v>
      </c>
      <c r="Q152" s="113" t="e">
        <f>J152/#REF!*100</f>
        <v>#REF!</v>
      </c>
    </row>
    <row r="153" spans="1:17" s="134" customFormat="1" ht="11.25">
      <c r="A153" s="109" t="s">
        <v>216</v>
      </c>
      <c r="B153" s="115"/>
      <c r="C153" s="116"/>
      <c r="D153" s="112">
        <v>1050</v>
      </c>
      <c r="E153" s="112">
        <v>1049.24</v>
      </c>
      <c r="F153" s="115"/>
      <c r="G153" s="115"/>
      <c r="H153" s="115"/>
      <c r="I153" s="115"/>
      <c r="J153" s="115"/>
      <c r="K153" s="115"/>
      <c r="L153" s="115"/>
      <c r="M153" s="115"/>
      <c r="N153" s="115"/>
      <c r="O153" s="117"/>
      <c r="P153" s="117"/>
      <c r="Q153" s="113"/>
    </row>
    <row r="154" spans="1:17" s="134" customFormat="1" ht="11.25">
      <c r="A154" s="109" t="s">
        <v>272</v>
      </c>
      <c r="B154" s="115"/>
      <c r="C154" s="116"/>
      <c r="D154" s="112">
        <v>2461</v>
      </c>
      <c r="E154" s="112">
        <v>2461</v>
      </c>
      <c r="F154" s="112"/>
      <c r="G154" s="115"/>
      <c r="H154" s="112"/>
      <c r="I154" s="112"/>
      <c r="J154" s="115"/>
      <c r="K154" s="115"/>
      <c r="L154" s="115"/>
      <c r="M154" s="115"/>
      <c r="N154" s="115"/>
      <c r="O154" s="117"/>
      <c r="P154" s="113"/>
      <c r="Q154" s="113"/>
    </row>
    <row r="155" spans="1:17" s="134" customFormat="1" ht="11.25">
      <c r="A155" s="109" t="s">
        <v>222</v>
      </c>
      <c r="B155" s="115"/>
      <c r="C155" s="116"/>
      <c r="D155" s="112">
        <v>5600</v>
      </c>
      <c r="E155" s="112">
        <v>2797.49</v>
      </c>
      <c r="F155" s="112"/>
      <c r="G155" s="115"/>
      <c r="H155" s="112"/>
      <c r="I155" s="112"/>
      <c r="J155" s="115"/>
      <c r="K155" s="115"/>
      <c r="L155" s="115"/>
      <c r="M155" s="115"/>
      <c r="N155" s="115"/>
      <c r="O155" s="117"/>
      <c r="P155" s="113"/>
      <c r="Q155" s="113"/>
    </row>
    <row r="156" spans="1:17" s="134" customFormat="1" ht="11.25">
      <c r="A156" s="109" t="s">
        <v>223</v>
      </c>
      <c r="B156" s="115"/>
      <c r="C156" s="116"/>
      <c r="D156" s="112">
        <v>2800</v>
      </c>
      <c r="E156" s="112">
        <v>2770</v>
      </c>
      <c r="F156" s="112"/>
      <c r="G156" s="115"/>
      <c r="H156" s="112"/>
      <c r="I156" s="112"/>
      <c r="J156" s="115"/>
      <c r="K156" s="115"/>
      <c r="L156" s="115"/>
      <c r="M156" s="115"/>
      <c r="N156" s="115"/>
      <c r="O156" s="117"/>
      <c r="P156" s="113"/>
      <c r="Q156" s="113"/>
    </row>
    <row r="157" spans="1:17" s="134" customFormat="1" ht="11.25">
      <c r="A157" s="109" t="s">
        <v>225</v>
      </c>
      <c r="B157" s="115"/>
      <c r="C157" s="116"/>
      <c r="D157" s="112">
        <v>14771</v>
      </c>
      <c r="E157" s="112">
        <v>8766.17</v>
      </c>
      <c r="F157" s="112"/>
      <c r="G157" s="115"/>
      <c r="H157" s="112"/>
      <c r="I157" s="112"/>
      <c r="J157" s="115"/>
      <c r="K157" s="115"/>
      <c r="L157" s="115"/>
      <c r="M157" s="115"/>
      <c r="N157" s="115"/>
      <c r="O157" s="117"/>
      <c r="P157" s="113"/>
      <c r="Q157" s="113"/>
    </row>
    <row r="158" spans="1:17" s="134" customFormat="1" ht="11.25">
      <c r="A158" s="109" t="s">
        <v>226</v>
      </c>
      <c r="B158" s="115"/>
      <c r="C158" s="116"/>
      <c r="D158" s="112">
        <v>4545</v>
      </c>
      <c r="E158" s="112">
        <v>4543.94</v>
      </c>
      <c r="F158" s="112"/>
      <c r="G158" s="115"/>
      <c r="H158" s="112"/>
      <c r="I158" s="112"/>
      <c r="J158" s="115"/>
      <c r="K158" s="115"/>
      <c r="L158" s="115"/>
      <c r="M158" s="115"/>
      <c r="N158" s="115"/>
      <c r="O158" s="117"/>
      <c r="P158" s="113"/>
      <c r="Q158" s="113"/>
    </row>
    <row r="159" spans="1:17" s="134" customFormat="1" ht="11.25">
      <c r="A159" s="109" t="s">
        <v>227</v>
      </c>
      <c r="B159" s="115"/>
      <c r="C159" s="116"/>
      <c r="D159" s="112">
        <v>1398</v>
      </c>
      <c r="E159" s="112">
        <v>1397.39</v>
      </c>
      <c r="F159" s="112"/>
      <c r="G159" s="115"/>
      <c r="H159" s="112"/>
      <c r="I159" s="112"/>
      <c r="J159" s="115"/>
      <c r="K159" s="115"/>
      <c r="L159" s="115"/>
      <c r="M159" s="115"/>
      <c r="N159" s="115"/>
      <c r="O159" s="117"/>
      <c r="P159" s="113"/>
      <c r="Q159" s="113"/>
    </row>
    <row r="160" spans="1:17" s="134" customFormat="1" ht="11.25">
      <c r="A160" s="109" t="s">
        <v>235</v>
      </c>
      <c r="B160" s="115"/>
      <c r="C160" s="116"/>
      <c r="D160" s="112">
        <v>963</v>
      </c>
      <c r="E160" s="112">
        <v>962.84</v>
      </c>
      <c r="F160" s="112"/>
      <c r="G160" s="115"/>
      <c r="H160" s="112"/>
      <c r="I160" s="112"/>
      <c r="J160" s="115"/>
      <c r="K160" s="115"/>
      <c r="L160" s="115"/>
      <c r="M160" s="115"/>
      <c r="N160" s="115"/>
      <c r="O160" s="117"/>
      <c r="P160" s="113"/>
      <c r="Q160" s="113"/>
    </row>
    <row r="161" spans="1:17" s="134" customFormat="1" ht="11.25">
      <c r="A161" s="109" t="s">
        <v>236</v>
      </c>
      <c r="B161" s="115"/>
      <c r="C161" s="116"/>
      <c r="D161" s="112">
        <v>3489</v>
      </c>
      <c r="E161" s="112">
        <v>3488.01</v>
      </c>
      <c r="F161" s="112"/>
      <c r="G161" s="115"/>
      <c r="H161" s="112"/>
      <c r="I161" s="112"/>
      <c r="J161" s="115"/>
      <c r="K161" s="115"/>
      <c r="L161" s="115"/>
      <c r="M161" s="115"/>
      <c r="N161" s="115"/>
      <c r="O161" s="117"/>
      <c r="P161" s="113"/>
      <c r="Q161" s="113"/>
    </row>
    <row r="162" spans="1:17" s="134" customFormat="1" ht="11.25">
      <c r="A162" s="109" t="s">
        <v>273</v>
      </c>
      <c r="B162" s="115"/>
      <c r="C162" s="116"/>
      <c r="D162" s="112">
        <v>7390</v>
      </c>
      <c r="E162" s="112">
        <v>7389.92</v>
      </c>
      <c r="F162" s="112"/>
      <c r="G162" s="115"/>
      <c r="H162" s="112"/>
      <c r="I162" s="112"/>
      <c r="J162" s="115"/>
      <c r="K162" s="115"/>
      <c r="L162" s="115"/>
      <c r="M162" s="115"/>
      <c r="N162" s="115"/>
      <c r="O162" s="117"/>
      <c r="P162" s="113"/>
      <c r="Q162" s="113"/>
    </row>
    <row r="163" spans="1:17" s="134" customFormat="1" ht="11.25">
      <c r="A163" s="109" t="s">
        <v>212</v>
      </c>
      <c r="B163" s="115"/>
      <c r="C163" s="116"/>
      <c r="D163" s="112">
        <v>22329</v>
      </c>
      <c r="E163" s="112">
        <v>14347.86</v>
      </c>
      <c r="F163" s="112"/>
      <c r="G163" s="115"/>
      <c r="H163" s="112"/>
      <c r="I163" s="112"/>
      <c r="J163" s="115"/>
      <c r="K163" s="115"/>
      <c r="L163" s="115"/>
      <c r="M163" s="115"/>
      <c r="N163" s="115"/>
      <c r="O163" s="117"/>
      <c r="P163" s="113"/>
      <c r="Q163" s="113"/>
    </row>
    <row r="164" spans="1:17" s="134" customFormat="1" ht="11.25">
      <c r="A164" s="109" t="s">
        <v>242</v>
      </c>
      <c r="B164" s="115"/>
      <c r="C164" s="116"/>
      <c r="D164" s="112">
        <v>5982</v>
      </c>
      <c r="E164" s="112">
        <v>5980.19</v>
      </c>
      <c r="F164" s="112"/>
      <c r="G164" s="115"/>
      <c r="H164" s="112"/>
      <c r="I164" s="112"/>
      <c r="J164" s="115"/>
      <c r="K164" s="115"/>
      <c r="L164" s="115"/>
      <c r="M164" s="115"/>
      <c r="N164" s="115"/>
      <c r="O164" s="117"/>
      <c r="P164" s="113"/>
      <c r="Q164" s="113"/>
    </row>
    <row r="165" spans="1:17" s="134" customFormat="1" ht="11.25">
      <c r="A165" s="109" t="s">
        <v>274</v>
      </c>
      <c r="B165" s="115"/>
      <c r="C165" s="116"/>
      <c r="D165" s="112">
        <v>10230</v>
      </c>
      <c r="E165" s="112">
        <v>5229.55</v>
      </c>
      <c r="F165" s="112"/>
      <c r="G165" s="115"/>
      <c r="H165" s="112"/>
      <c r="I165" s="112"/>
      <c r="J165" s="115"/>
      <c r="K165" s="115"/>
      <c r="L165" s="115"/>
      <c r="M165" s="115"/>
      <c r="N165" s="115"/>
      <c r="O165" s="117"/>
      <c r="P165" s="113"/>
      <c r="Q165" s="113"/>
    </row>
    <row r="166" spans="1:17" s="134" customFormat="1" ht="11.25">
      <c r="A166" s="114" t="s">
        <v>275</v>
      </c>
      <c r="B166" s="115">
        <f>SUM(B153:B165)</f>
        <v>0</v>
      </c>
      <c r="C166" s="116"/>
      <c r="D166" s="115">
        <f aca="true" t="shared" si="23" ref="D166:N166">SUM(D153:D165)</f>
        <v>83008</v>
      </c>
      <c r="E166" s="115">
        <f t="shared" si="23"/>
        <v>61183.600000000006</v>
      </c>
      <c r="F166" s="115">
        <f t="shared" si="23"/>
        <v>0</v>
      </c>
      <c r="G166" s="115">
        <f t="shared" si="23"/>
        <v>0</v>
      </c>
      <c r="H166" s="115">
        <f t="shared" si="23"/>
        <v>0</v>
      </c>
      <c r="I166" s="115">
        <f t="shared" si="23"/>
        <v>0</v>
      </c>
      <c r="J166" s="115">
        <f t="shared" si="23"/>
        <v>0</v>
      </c>
      <c r="K166" s="115">
        <f t="shared" si="23"/>
        <v>0</v>
      </c>
      <c r="L166" s="115">
        <f t="shared" si="23"/>
        <v>0</v>
      </c>
      <c r="M166" s="115">
        <f t="shared" si="23"/>
        <v>0</v>
      </c>
      <c r="N166" s="115">
        <f t="shared" si="23"/>
        <v>0</v>
      </c>
      <c r="O166" s="117"/>
      <c r="P166" s="117">
        <f>SUM(P153:P165)</f>
        <v>0</v>
      </c>
      <c r="Q166" s="117">
        <f>SUM(Q153:Q165)</f>
        <v>0</v>
      </c>
    </row>
    <row r="167" spans="1:17" s="134" customFormat="1" ht="11.25">
      <c r="A167" s="109" t="s">
        <v>221</v>
      </c>
      <c r="B167" s="115"/>
      <c r="C167" s="116"/>
      <c r="D167" s="112">
        <v>4140</v>
      </c>
      <c r="E167" s="112">
        <v>4140</v>
      </c>
      <c r="F167" s="115"/>
      <c r="G167" s="115"/>
      <c r="H167" s="115"/>
      <c r="I167" s="115"/>
      <c r="J167" s="115"/>
      <c r="K167" s="115"/>
      <c r="L167" s="115"/>
      <c r="M167" s="115"/>
      <c r="N167" s="115"/>
      <c r="O167" s="117"/>
      <c r="P167" s="117"/>
      <c r="Q167" s="117"/>
    </row>
    <row r="168" spans="1:17" s="134" customFormat="1" ht="11.25">
      <c r="A168" s="109" t="s">
        <v>276</v>
      </c>
      <c r="B168" s="115"/>
      <c r="C168" s="116"/>
      <c r="D168" s="112">
        <v>900</v>
      </c>
      <c r="E168" s="112">
        <v>900</v>
      </c>
      <c r="F168" s="115"/>
      <c r="G168" s="115"/>
      <c r="H168" s="115"/>
      <c r="I168" s="115"/>
      <c r="J168" s="115"/>
      <c r="K168" s="115"/>
      <c r="L168" s="115"/>
      <c r="M168" s="115"/>
      <c r="N168" s="115"/>
      <c r="O168" s="117"/>
      <c r="P168" s="117"/>
      <c r="Q168" s="117"/>
    </row>
    <row r="169" spans="1:17" s="134" customFormat="1" ht="11.25">
      <c r="A169" s="109" t="s">
        <v>222</v>
      </c>
      <c r="B169" s="115"/>
      <c r="C169" s="116"/>
      <c r="D169" s="112">
        <v>450</v>
      </c>
      <c r="E169" s="112">
        <v>450</v>
      </c>
      <c r="F169" s="115"/>
      <c r="G169" s="115"/>
      <c r="H169" s="115"/>
      <c r="I169" s="115"/>
      <c r="J169" s="115"/>
      <c r="K169" s="115"/>
      <c r="L169" s="115"/>
      <c r="M169" s="115"/>
      <c r="N169" s="115"/>
      <c r="O169" s="117"/>
      <c r="P169" s="117"/>
      <c r="Q169" s="117"/>
    </row>
    <row r="170" spans="1:17" s="134" customFormat="1" ht="11.25">
      <c r="A170" s="109" t="s">
        <v>223</v>
      </c>
      <c r="B170" s="115"/>
      <c r="C170" s="116"/>
      <c r="D170" s="112">
        <v>4484</v>
      </c>
      <c r="E170" s="112">
        <v>4483.2</v>
      </c>
      <c r="F170" s="115"/>
      <c r="G170" s="115"/>
      <c r="H170" s="115"/>
      <c r="I170" s="115"/>
      <c r="J170" s="115"/>
      <c r="K170" s="115"/>
      <c r="L170" s="115"/>
      <c r="M170" s="115"/>
      <c r="N170" s="115"/>
      <c r="O170" s="117"/>
      <c r="P170" s="117"/>
      <c r="Q170" s="117"/>
    </row>
    <row r="171" spans="1:17" s="134" customFormat="1" ht="11.25">
      <c r="A171" s="109" t="s">
        <v>224</v>
      </c>
      <c r="B171" s="115"/>
      <c r="C171" s="116"/>
      <c r="D171" s="112">
        <v>3600</v>
      </c>
      <c r="E171" s="112">
        <v>3150</v>
      </c>
      <c r="F171" s="115"/>
      <c r="G171" s="115"/>
      <c r="H171" s="115"/>
      <c r="I171" s="115"/>
      <c r="J171" s="115"/>
      <c r="K171" s="115"/>
      <c r="L171" s="115"/>
      <c r="M171" s="115"/>
      <c r="N171" s="115"/>
      <c r="O171" s="117"/>
      <c r="P171" s="117"/>
      <c r="Q171" s="117"/>
    </row>
    <row r="172" spans="1:17" s="134" customFormat="1" ht="11.25">
      <c r="A172" s="109" t="s">
        <v>225</v>
      </c>
      <c r="B172" s="115"/>
      <c r="C172" s="116"/>
      <c r="D172" s="112">
        <v>450</v>
      </c>
      <c r="E172" s="112">
        <v>450</v>
      </c>
      <c r="F172" s="115"/>
      <c r="G172" s="115"/>
      <c r="H172" s="115"/>
      <c r="I172" s="115"/>
      <c r="J172" s="115"/>
      <c r="K172" s="115"/>
      <c r="L172" s="115"/>
      <c r="M172" s="115"/>
      <c r="N172" s="115"/>
      <c r="O172" s="117"/>
      <c r="P172" s="117"/>
      <c r="Q172" s="117"/>
    </row>
    <row r="173" spans="1:17" s="134" customFormat="1" ht="11.25">
      <c r="A173" s="109" t="s">
        <v>226</v>
      </c>
      <c r="B173" s="115"/>
      <c r="C173" s="116"/>
      <c r="D173" s="112">
        <v>4500</v>
      </c>
      <c r="E173" s="112">
        <v>3750</v>
      </c>
      <c r="F173" s="115"/>
      <c r="G173" s="115"/>
      <c r="H173" s="115"/>
      <c r="I173" s="115"/>
      <c r="J173" s="115"/>
      <c r="K173" s="115"/>
      <c r="L173" s="115"/>
      <c r="M173" s="115"/>
      <c r="N173" s="115"/>
      <c r="O173" s="117"/>
      <c r="P173" s="117"/>
      <c r="Q173" s="117"/>
    </row>
    <row r="174" spans="1:17" s="134" customFormat="1" ht="11.25">
      <c r="A174" s="109" t="s">
        <v>229</v>
      </c>
      <c r="B174" s="115"/>
      <c r="C174" s="116"/>
      <c r="D174" s="112">
        <v>6390</v>
      </c>
      <c r="E174" s="112">
        <v>6390</v>
      </c>
      <c r="F174" s="115"/>
      <c r="G174" s="115"/>
      <c r="H174" s="115"/>
      <c r="I174" s="115"/>
      <c r="J174" s="115"/>
      <c r="K174" s="115"/>
      <c r="L174" s="115"/>
      <c r="M174" s="115"/>
      <c r="N174" s="115"/>
      <c r="O174" s="117"/>
      <c r="P174" s="117"/>
      <c r="Q174" s="117"/>
    </row>
    <row r="175" spans="1:17" s="134" customFormat="1" ht="11.25">
      <c r="A175" s="109" t="s">
        <v>234</v>
      </c>
      <c r="B175" s="115"/>
      <c r="C175" s="116"/>
      <c r="D175" s="112">
        <v>3350</v>
      </c>
      <c r="E175" s="112">
        <v>3228.8</v>
      </c>
      <c r="F175" s="115"/>
      <c r="G175" s="115"/>
      <c r="H175" s="115"/>
      <c r="I175" s="115"/>
      <c r="J175" s="115"/>
      <c r="K175" s="115"/>
      <c r="L175" s="115"/>
      <c r="M175" s="115"/>
      <c r="N175" s="115"/>
      <c r="O175" s="117"/>
      <c r="P175" s="117"/>
      <c r="Q175" s="117"/>
    </row>
    <row r="176" spans="1:17" s="134" customFormat="1" ht="11.25">
      <c r="A176" s="109" t="s">
        <v>235</v>
      </c>
      <c r="B176" s="115"/>
      <c r="C176" s="116"/>
      <c r="D176" s="112">
        <v>6675</v>
      </c>
      <c r="E176" s="112">
        <v>6599.4</v>
      </c>
      <c r="F176" s="115"/>
      <c r="G176" s="115"/>
      <c r="H176" s="115"/>
      <c r="I176" s="115"/>
      <c r="J176" s="115"/>
      <c r="K176" s="115"/>
      <c r="L176" s="115"/>
      <c r="M176" s="115"/>
      <c r="N176" s="115"/>
      <c r="O176" s="117"/>
      <c r="P176" s="117"/>
      <c r="Q176" s="117"/>
    </row>
    <row r="177" spans="1:17" s="134" customFormat="1" ht="11.25">
      <c r="A177" s="109" t="s">
        <v>236</v>
      </c>
      <c r="B177" s="115"/>
      <c r="C177" s="116"/>
      <c r="D177" s="112">
        <v>7182</v>
      </c>
      <c r="E177" s="112">
        <v>7081.4</v>
      </c>
      <c r="F177" s="115"/>
      <c r="G177" s="115"/>
      <c r="H177" s="115"/>
      <c r="I177" s="115"/>
      <c r="J177" s="115"/>
      <c r="K177" s="115"/>
      <c r="L177" s="115"/>
      <c r="M177" s="115"/>
      <c r="N177" s="115"/>
      <c r="O177" s="117"/>
      <c r="P177" s="117"/>
      <c r="Q177" s="117"/>
    </row>
    <row r="178" spans="1:17" s="134" customFormat="1" ht="11.25">
      <c r="A178" s="109" t="s">
        <v>237</v>
      </c>
      <c r="B178" s="115"/>
      <c r="C178" s="116"/>
      <c r="D178" s="112">
        <v>9062</v>
      </c>
      <c r="E178" s="112">
        <v>8987</v>
      </c>
      <c r="F178" s="115"/>
      <c r="G178" s="115"/>
      <c r="H178" s="115"/>
      <c r="I178" s="115"/>
      <c r="J178" s="115"/>
      <c r="K178" s="115"/>
      <c r="L178" s="115"/>
      <c r="M178" s="115"/>
      <c r="N178" s="115"/>
      <c r="O178" s="117"/>
      <c r="P178" s="117"/>
      <c r="Q178" s="117"/>
    </row>
    <row r="179" spans="1:17" s="134" customFormat="1" ht="11.25">
      <c r="A179" s="109" t="s">
        <v>238</v>
      </c>
      <c r="B179" s="115"/>
      <c r="C179" s="116"/>
      <c r="D179" s="112">
        <v>5400</v>
      </c>
      <c r="E179" s="112">
        <v>4950</v>
      </c>
      <c r="F179" s="115"/>
      <c r="G179" s="115"/>
      <c r="H179" s="115"/>
      <c r="I179" s="115"/>
      <c r="J179" s="115"/>
      <c r="K179" s="115"/>
      <c r="L179" s="115"/>
      <c r="M179" s="115"/>
      <c r="N179" s="115"/>
      <c r="O179" s="117"/>
      <c r="P179" s="117"/>
      <c r="Q179" s="117"/>
    </row>
    <row r="180" spans="1:17" s="134" customFormat="1" ht="11.25">
      <c r="A180" s="109" t="s">
        <v>232</v>
      </c>
      <c r="B180" s="115"/>
      <c r="C180" s="116"/>
      <c r="D180" s="112">
        <v>3600</v>
      </c>
      <c r="E180" s="112">
        <v>3600</v>
      </c>
      <c r="F180" s="115"/>
      <c r="G180" s="115"/>
      <c r="H180" s="115"/>
      <c r="I180" s="115"/>
      <c r="J180" s="115"/>
      <c r="K180" s="115"/>
      <c r="L180" s="115"/>
      <c r="M180" s="115"/>
      <c r="N180" s="115"/>
      <c r="O180" s="117"/>
      <c r="P180" s="117"/>
      <c r="Q180" s="117"/>
    </row>
    <row r="181" spans="1:17" s="134" customFormat="1" ht="11.25">
      <c r="A181" s="109" t="s">
        <v>239</v>
      </c>
      <c r="B181" s="115"/>
      <c r="C181" s="116"/>
      <c r="D181" s="112">
        <v>3825</v>
      </c>
      <c r="E181" s="112">
        <v>3825</v>
      </c>
      <c r="F181" s="115"/>
      <c r="G181" s="115"/>
      <c r="H181" s="115"/>
      <c r="I181" s="115"/>
      <c r="J181" s="115"/>
      <c r="K181" s="115"/>
      <c r="L181" s="115"/>
      <c r="M181" s="115"/>
      <c r="N181" s="115"/>
      <c r="O181" s="117"/>
      <c r="P181" s="117"/>
      <c r="Q181" s="117"/>
    </row>
    <row r="182" spans="1:17" s="134" customFormat="1" ht="11.25">
      <c r="A182" s="109" t="s">
        <v>240</v>
      </c>
      <c r="B182" s="115"/>
      <c r="C182" s="116"/>
      <c r="D182" s="112">
        <v>14283</v>
      </c>
      <c r="E182" s="112">
        <v>14132.6</v>
      </c>
      <c r="F182" s="115"/>
      <c r="G182" s="115"/>
      <c r="H182" s="115"/>
      <c r="I182" s="115"/>
      <c r="J182" s="115"/>
      <c r="K182" s="115"/>
      <c r="L182" s="115"/>
      <c r="M182" s="115"/>
      <c r="N182" s="115"/>
      <c r="O182" s="117"/>
      <c r="P182" s="117"/>
      <c r="Q182" s="117"/>
    </row>
    <row r="183" spans="1:17" s="134" customFormat="1" ht="11.25">
      <c r="A183" s="109" t="s">
        <v>241</v>
      </c>
      <c r="B183" s="115"/>
      <c r="C183" s="116"/>
      <c r="D183" s="112">
        <v>4950</v>
      </c>
      <c r="E183" s="112">
        <v>4950</v>
      </c>
      <c r="F183" s="115"/>
      <c r="G183" s="115"/>
      <c r="H183" s="115"/>
      <c r="I183" s="115"/>
      <c r="J183" s="115"/>
      <c r="K183" s="115"/>
      <c r="L183" s="115"/>
      <c r="M183" s="115"/>
      <c r="N183" s="115"/>
      <c r="O183" s="117"/>
      <c r="P183" s="117"/>
      <c r="Q183" s="117"/>
    </row>
    <row r="184" spans="1:17" s="134" customFormat="1" ht="11.25">
      <c r="A184" s="109" t="s">
        <v>242</v>
      </c>
      <c r="B184" s="115"/>
      <c r="C184" s="116"/>
      <c r="D184" s="112">
        <v>5585</v>
      </c>
      <c r="E184" s="112">
        <v>5385</v>
      </c>
      <c r="F184" s="115"/>
      <c r="G184" s="115"/>
      <c r="H184" s="115"/>
      <c r="I184" s="115"/>
      <c r="J184" s="115"/>
      <c r="K184" s="115"/>
      <c r="L184" s="115"/>
      <c r="M184" s="115"/>
      <c r="N184" s="115"/>
      <c r="O184" s="117"/>
      <c r="P184" s="117"/>
      <c r="Q184" s="117"/>
    </row>
    <row r="185" spans="1:17" s="134" customFormat="1" ht="11.25">
      <c r="A185" s="109" t="s">
        <v>263</v>
      </c>
      <c r="B185" s="115"/>
      <c r="C185" s="116"/>
      <c r="D185" s="112">
        <v>1750</v>
      </c>
      <c r="E185" s="112">
        <v>1750</v>
      </c>
      <c r="F185" s="115"/>
      <c r="G185" s="115"/>
      <c r="H185" s="115"/>
      <c r="I185" s="115"/>
      <c r="J185" s="115"/>
      <c r="K185" s="115"/>
      <c r="L185" s="115"/>
      <c r="M185" s="115"/>
      <c r="N185" s="115"/>
      <c r="O185" s="117"/>
      <c r="P185" s="117"/>
      <c r="Q185" s="117"/>
    </row>
    <row r="186" spans="1:17" s="134" customFormat="1" ht="11.25">
      <c r="A186" s="109" t="s">
        <v>264</v>
      </c>
      <c r="B186" s="115"/>
      <c r="C186" s="116"/>
      <c r="D186" s="112">
        <v>900</v>
      </c>
      <c r="E186" s="112">
        <v>675</v>
      </c>
      <c r="F186" s="115"/>
      <c r="G186" s="115"/>
      <c r="H186" s="115"/>
      <c r="I186" s="115"/>
      <c r="J186" s="115"/>
      <c r="K186" s="115"/>
      <c r="L186" s="115"/>
      <c r="M186" s="115"/>
      <c r="N186" s="115"/>
      <c r="O186" s="117"/>
      <c r="P186" s="117"/>
      <c r="Q186" s="117"/>
    </row>
    <row r="187" spans="1:17" s="134" customFormat="1" ht="11.25">
      <c r="A187" s="109" t="s">
        <v>212</v>
      </c>
      <c r="B187" s="115"/>
      <c r="C187" s="116"/>
      <c r="D187" s="112">
        <v>5909</v>
      </c>
      <c r="E187" s="112">
        <v>5908.6</v>
      </c>
      <c r="F187" s="115"/>
      <c r="G187" s="115"/>
      <c r="H187" s="115"/>
      <c r="I187" s="115"/>
      <c r="J187" s="115"/>
      <c r="K187" s="115"/>
      <c r="L187" s="115"/>
      <c r="M187" s="115"/>
      <c r="N187" s="115"/>
      <c r="O187" s="117"/>
      <c r="P187" s="117"/>
      <c r="Q187" s="117"/>
    </row>
    <row r="188" spans="1:17" s="134" customFormat="1" ht="11.25">
      <c r="A188" s="116">
        <v>85415</v>
      </c>
      <c r="B188" s="115"/>
      <c r="C188" s="116"/>
      <c r="D188" s="115">
        <f aca="true" t="shared" si="24" ref="D188:Q188">SUM(D167:D187)</f>
        <v>97385</v>
      </c>
      <c r="E188" s="115">
        <f t="shared" si="24"/>
        <v>94786.00000000001</v>
      </c>
      <c r="F188" s="115">
        <f t="shared" si="24"/>
        <v>0</v>
      </c>
      <c r="G188" s="115">
        <f t="shared" si="24"/>
        <v>0</v>
      </c>
      <c r="H188" s="115">
        <f t="shared" si="24"/>
        <v>0</v>
      </c>
      <c r="I188" s="115">
        <f t="shared" si="24"/>
        <v>0</v>
      </c>
      <c r="J188" s="115">
        <f t="shared" si="24"/>
        <v>0</v>
      </c>
      <c r="K188" s="115">
        <f t="shared" si="24"/>
        <v>0</v>
      </c>
      <c r="L188" s="115">
        <f t="shared" si="24"/>
        <v>0</v>
      </c>
      <c r="M188" s="115">
        <f t="shared" si="24"/>
        <v>0</v>
      </c>
      <c r="N188" s="115">
        <f t="shared" si="24"/>
        <v>0</v>
      </c>
      <c r="O188" s="115">
        <f t="shared" si="24"/>
        <v>0</v>
      </c>
      <c r="P188" s="115">
        <f t="shared" si="24"/>
        <v>0</v>
      </c>
      <c r="Q188" s="115">
        <f t="shared" si="24"/>
        <v>0</v>
      </c>
    </row>
    <row r="189" spans="1:17" s="134" customFormat="1" ht="11.25">
      <c r="A189" s="114" t="s">
        <v>277</v>
      </c>
      <c r="B189" s="115">
        <v>5900</v>
      </c>
      <c r="C189" s="116">
        <f>E189/B189/6</f>
        <v>6.6800740112994355</v>
      </c>
      <c r="D189" s="115">
        <v>430792</v>
      </c>
      <c r="E189" s="115">
        <v>236474.62</v>
      </c>
      <c r="F189" s="115">
        <v>162904.91</v>
      </c>
      <c r="G189" s="115">
        <v>26383.32</v>
      </c>
      <c r="H189" s="115">
        <v>32161.83</v>
      </c>
      <c r="I189" s="115">
        <v>3918.56</v>
      </c>
      <c r="J189" s="115">
        <v>0</v>
      </c>
      <c r="K189" s="115">
        <v>0</v>
      </c>
      <c r="L189" s="115">
        <v>9824</v>
      </c>
      <c r="M189" s="115">
        <v>0</v>
      </c>
      <c r="N189" s="115">
        <v>0</v>
      </c>
      <c r="O189" s="117" t="e">
        <f>(F189+H189+I189+G189)/(#REF!+#REF!+#REF!+#REF!)*100</f>
        <v>#REF!</v>
      </c>
      <c r="P189" s="113">
        <v>0</v>
      </c>
      <c r="Q189" s="113"/>
    </row>
    <row r="190" spans="1:17" s="134" customFormat="1" ht="11.25">
      <c r="A190" s="109" t="s">
        <v>278</v>
      </c>
      <c r="B190" s="115"/>
      <c r="C190" s="116"/>
      <c r="D190" s="112">
        <v>5340</v>
      </c>
      <c r="E190" s="112">
        <v>900</v>
      </c>
      <c r="F190" s="115"/>
      <c r="G190" s="115"/>
      <c r="H190" s="115"/>
      <c r="I190" s="115"/>
      <c r="J190" s="115"/>
      <c r="K190" s="115"/>
      <c r="L190" s="115"/>
      <c r="M190" s="115"/>
      <c r="N190" s="115"/>
      <c r="O190" s="117"/>
      <c r="P190" s="113"/>
      <c r="Q190" s="113"/>
    </row>
    <row r="191" spans="1:17" s="134" customFormat="1" ht="11.25">
      <c r="A191" s="109" t="s">
        <v>279</v>
      </c>
      <c r="B191" s="115"/>
      <c r="C191" s="116"/>
      <c r="D191" s="112">
        <v>1570</v>
      </c>
      <c r="E191" s="112">
        <v>800</v>
      </c>
      <c r="F191" s="115"/>
      <c r="G191" s="115"/>
      <c r="H191" s="115"/>
      <c r="I191" s="115"/>
      <c r="J191" s="115"/>
      <c r="K191" s="115"/>
      <c r="L191" s="115"/>
      <c r="M191" s="115"/>
      <c r="N191" s="115"/>
      <c r="O191" s="117"/>
      <c r="P191" s="113"/>
      <c r="Q191" s="113"/>
    </row>
    <row r="192" spans="1:17" s="134" customFormat="1" ht="11.25">
      <c r="A192" s="109" t="s">
        <v>280</v>
      </c>
      <c r="B192" s="115"/>
      <c r="C192" s="116"/>
      <c r="D192" s="112">
        <v>2065</v>
      </c>
      <c r="E192" s="112">
        <v>1100</v>
      </c>
      <c r="F192" s="115"/>
      <c r="G192" s="115"/>
      <c r="H192" s="115"/>
      <c r="I192" s="115"/>
      <c r="J192" s="115"/>
      <c r="K192" s="115"/>
      <c r="L192" s="115"/>
      <c r="M192" s="115"/>
      <c r="N192" s="115"/>
      <c r="O192" s="117"/>
      <c r="P192" s="113"/>
      <c r="Q192" s="113"/>
    </row>
    <row r="193" spans="1:17" s="134" customFormat="1" ht="11.25">
      <c r="A193" s="109" t="s">
        <v>261</v>
      </c>
      <c r="B193" s="115"/>
      <c r="C193" s="116"/>
      <c r="D193" s="112">
        <v>1233</v>
      </c>
      <c r="E193" s="112">
        <v>585</v>
      </c>
      <c r="F193" s="115"/>
      <c r="G193" s="115"/>
      <c r="H193" s="115"/>
      <c r="I193" s="115"/>
      <c r="J193" s="115"/>
      <c r="K193" s="115"/>
      <c r="L193" s="115"/>
      <c r="M193" s="115"/>
      <c r="N193" s="115"/>
      <c r="O193" s="117"/>
      <c r="P193" s="113"/>
      <c r="Q193" s="113"/>
    </row>
    <row r="194" spans="1:17" s="134" customFormat="1" ht="11.25">
      <c r="A194" s="109" t="s">
        <v>281</v>
      </c>
      <c r="B194" s="115"/>
      <c r="C194" s="116"/>
      <c r="D194" s="112">
        <v>5305</v>
      </c>
      <c r="E194" s="112">
        <v>2450</v>
      </c>
      <c r="F194" s="115"/>
      <c r="G194" s="115"/>
      <c r="H194" s="115"/>
      <c r="I194" s="115"/>
      <c r="J194" s="115"/>
      <c r="K194" s="115"/>
      <c r="L194" s="115"/>
      <c r="M194" s="115"/>
      <c r="N194" s="115"/>
      <c r="O194" s="117"/>
      <c r="P194" s="113"/>
      <c r="Q194" s="113"/>
    </row>
    <row r="195" spans="1:17" s="134" customFormat="1" ht="11.25">
      <c r="A195" s="114" t="s">
        <v>282</v>
      </c>
      <c r="B195" s="115"/>
      <c r="C195" s="116"/>
      <c r="D195" s="115">
        <f aca="true" t="shared" si="25" ref="D195:N195">SUM(D190:D194)</f>
        <v>15513</v>
      </c>
      <c r="E195" s="115">
        <f t="shared" si="25"/>
        <v>5835</v>
      </c>
      <c r="F195" s="115">
        <f t="shared" si="25"/>
        <v>0</v>
      </c>
      <c r="G195" s="115">
        <f t="shared" si="25"/>
        <v>0</v>
      </c>
      <c r="H195" s="115">
        <f t="shared" si="25"/>
        <v>0</v>
      </c>
      <c r="I195" s="115">
        <f t="shared" si="25"/>
        <v>0</v>
      </c>
      <c r="J195" s="115">
        <f t="shared" si="25"/>
        <v>0</v>
      </c>
      <c r="K195" s="115">
        <f t="shared" si="25"/>
        <v>0</v>
      </c>
      <c r="L195" s="115">
        <f t="shared" si="25"/>
        <v>0</v>
      </c>
      <c r="M195" s="115">
        <f t="shared" si="25"/>
        <v>0</v>
      </c>
      <c r="N195" s="115">
        <f t="shared" si="25"/>
        <v>0</v>
      </c>
      <c r="O195" s="117"/>
      <c r="P195" s="117">
        <f>SUM(P190:P194)</f>
        <v>0</v>
      </c>
      <c r="Q195" s="113"/>
    </row>
    <row r="196" spans="1:17" s="134" customFormat="1" ht="11.25">
      <c r="A196" s="114" t="s">
        <v>283</v>
      </c>
      <c r="B196" s="115"/>
      <c r="C196" s="116"/>
      <c r="D196" s="115">
        <f aca="true" t="shared" si="26" ref="D196:Q196">D138+D141+D144+D148+D149+D152+D166+D189+D195+D188</f>
        <v>11514257</v>
      </c>
      <c r="E196" s="115">
        <f t="shared" si="26"/>
        <v>6156438.2</v>
      </c>
      <c r="F196" s="115">
        <f t="shared" si="26"/>
        <v>3528386.57</v>
      </c>
      <c r="G196" s="115">
        <f t="shared" si="26"/>
        <v>543962.13</v>
      </c>
      <c r="H196" s="115">
        <f t="shared" si="26"/>
        <v>679838.39</v>
      </c>
      <c r="I196" s="115">
        <f t="shared" si="26"/>
        <v>185670.51</v>
      </c>
      <c r="J196" s="115">
        <f t="shared" si="26"/>
        <v>523699.62</v>
      </c>
      <c r="K196" s="115">
        <f t="shared" si="26"/>
        <v>20615.19</v>
      </c>
      <c r="L196" s="115">
        <f t="shared" si="26"/>
        <v>318279.75</v>
      </c>
      <c r="M196" s="115">
        <f t="shared" si="26"/>
        <v>0</v>
      </c>
      <c r="N196" s="115">
        <f t="shared" si="26"/>
        <v>5828.97</v>
      </c>
      <c r="O196" s="115" t="e">
        <f t="shared" si="26"/>
        <v>#REF!</v>
      </c>
      <c r="P196" s="115">
        <f t="shared" si="26"/>
        <v>0</v>
      </c>
      <c r="Q196" s="115" t="e">
        <f t="shared" si="26"/>
        <v>#REF!</v>
      </c>
    </row>
    <row r="197" spans="1:17" s="137" customFormat="1" ht="10.5">
      <c r="A197" s="114" t="s">
        <v>284</v>
      </c>
      <c r="B197" s="136">
        <f>B109+B196</f>
        <v>9502</v>
      </c>
      <c r="C197" s="116">
        <f>E197/B197/6</f>
        <v>1028.8249173858137</v>
      </c>
      <c r="D197" s="136">
        <f aca="true" t="shared" si="27" ref="D197:Q197">D109+D196</f>
        <v>107748218</v>
      </c>
      <c r="E197" s="136">
        <f t="shared" si="27"/>
        <v>58655366.190000005</v>
      </c>
      <c r="F197" s="136">
        <f t="shared" si="27"/>
        <v>36721711.75999999</v>
      </c>
      <c r="G197" s="136">
        <f t="shared" si="27"/>
        <v>5660857.5600000005</v>
      </c>
      <c r="H197" s="136">
        <f t="shared" si="27"/>
        <v>7087155.509999999</v>
      </c>
      <c r="I197" s="136">
        <f t="shared" si="27"/>
        <v>841960.4400000001</v>
      </c>
      <c r="J197" s="136">
        <f t="shared" si="27"/>
        <v>3061144.79</v>
      </c>
      <c r="K197" s="136">
        <f t="shared" si="27"/>
        <v>148968.38999999998</v>
      </c>
      <c r="L197" s="136">
        <f t="shared" si="27"/>
        <v>3249896.7</v>
      </c>
      <c r="M197" s="136">
        <f t="shared" si="27"/>
        <v>0</v>
      </c>
      <c r="N197" s="136">
        <f t="shared" si="27"/>
        <v>5828.97</v>
      </c>
      <c r="O197" s="136" t="e">
        <f t="shared" si="27"/>
        <v>#REF!</v>
      </c>
      <c r="P197" s="136">
        <f t="shared" si="27"/>
        <v>0</v>
      </c>
      <c r="Q197" s="136" t="e">
        <f t="shared" si="27"/>
        <v>#REF!</v>
      </c>
    </row>
    <row r="198" spans="1:17" s="137" customFormat="1" ht="10.5">
      <c r="A198" s="114" t="s">
        <v>285</v>
      </c>
      <c r="B198" s="136"/>
      <c r="C198" s="116"/>
      <c r="D198" s="136">
        <f aca="true" t="shared" si="28" ref="D198:Q198">D197+D132+D137</f>
        <v>107872066</v>
      </c>
      <c r="E198" s="136">
        <f t="shared" si="28"/>
        <v>58716148.95</v>
      </c>
      <c r="F198" s="136">
        <f t="shared" si="28"/>
        <v>36721711.75999999</v>
      </c>
      <c r="G198" s="136">
        <f t="shared" si="28"/>
        <v>5660857.5600000005</v>
      </c>
      <c r="H198" s="136">
        <f t="shared" si="28"/>
        <v>7087155.509999999</v>
      </c>
      <c r="I198" s="136">
        <f t="shared" si="28"/>
        <v>841960.4400000001</v>
      </c>
      <c r="J198" s="136">
        <f t="shared" si="28"/>
        <v>3061144.79</v>
      </c>
      <c r="K198" s="136">
        <f t="shared" si="28"/>
        <v>148968.38999999998</v>
      </c>
      <c r="L198" s="136">
        <f t="shared" si="28"/>
        <v>3249896.7</v>
      </c>
      <c r="M198" s="136">
        <f t="shared" si="28"/>
        <v>0</v>
      </c>
      <c r="N198" s="136">
        <f t="shared" si="28"/>
        <v>5828.97</v>
      </c>
      <c r="O198" s="136" t="e">
        <f t="shared" si="28"/>
        <v>#REF!</v>
      </c>
      <c r="P198" s="136">
        <f t="shared" si="28"/>
        <v>0</v>
      </c>
      <c r="Q198" s="136" t="e">
        <f t="shared" si="28"/>
        <v>#REF!</v>
      </c>
    </row>
    <row r="199" spans="1:17" ht="11.25">
      <c r="A199" s="125">
        <v>92601</v>
      </c>
      <c r="B199" s="108"/>
      <c r="C199" s="116"/>
      <c r="D199" s="115">
        <v>6150</v>
      </c>
      <c r="E199" s="115">
        <v>0</v>
      </c>
      <c r="F199" s="131"/>
      <c r="G199" s="131"/>
      <c r="H199" s="131"/>
      <c r="I199" s="131"/>
      <c r="J199" s="131"/>
      <c r="K199" s="131"/>
      <c r="L199" s="131"/>
      <c r="M199" s="131"/>
      <c r="N199" s="131"/>
      <c r="O199" s="126"/>
      <c r="P199" s="126"/>
      <c r="Q199" s="126"/>
    </row>
    <row r="200" spans="1:5" s="130" customFormat="1" ht="11.25">
      <c r="A200" s="127"/>
      <c r="B200" s="139"/>
      <c r="C200" s="128"/>
      <c r="D200" s="129"/>
      <c r="E200" s="129"/>
    </row>
    <row r="201" spans="1:5" s="130" customFormat="1" ht="11.25">
      <c r="A201" s="109" t="s">
        <v>286</v>
      </c>
      <c r="B201" s="108"/>
      <c r="C201" s="140"/>
      <c r="D201" s="112">
        <v>4968</v>
      </c>
      <c r="E201" s="112">
        <v>4968</v>
      </c>
    </row>
    <row r="202" spans="1:5" s="130" customFormat="1" ht="11.25">
      <c r="A202" s="141" t="s">
        <v>287</v>
      </c>
      <c r="B202" s="142"/>
      <c r="C202" s="142"/>
      <c r="D202" s="131">
        <v>70000</v>
      </c>
      <c r="E202" s="131">
        <v>0</v>
      </c>
    </row>
    <row r="203" spans="1:5" s="130" customFormat="1" ht="11.25">
      <c r="A203" s="141" t="s">
        <v>288</v>
      </c>
      <c r="B203" s="126"/>
      <c r="C203" s="126"/>
      <c r="D203" s="131">
        <v>30000</v>
      </c>
      <c r="E203" s="131">
        <v>30000</v>
      </c>
    </row>
    <row r="204" spans="1:5" ht="11.25">
      <c r="A204" s="143" t="s">
        <v>289</v>
      </c>
      <c r="B204" s="126"/>
      <c r="C204" s="126"/>
      <c r="D204" s="132">
        <f>D201+D202+D203</f>
        <v>104968</v>
      </c>
      <c r="E204" s="132">
        <f>E201+E202+E203</f>
        <v>34968</v>
      </c>
    </row>
    <row r="206" ht="11.25">
      <c r="A206" s="193" t="s">
        <v>355</v>
      </c>
    </row>
  </sheetData>
  <mergeCells count="6">
    <mergeCell ref="A2:N3"/>
    <mergeCell ref="F5:N5"/>
    <mergeCell ref="A5:A6"/>
    <mergeCell ref="B5:B6"/>
    <mergeCell ref="C5:C6"/>
    <mergeCell ref="D5:E5"/>
  </mergeCells>
  <printOptions/>
  <pageMargins left="0.44" right="0" top="0.76" bottom="0.37" header="0.5118110236220472" footer="0.1181102362204724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3"/>
    </sheetView>
  </sheetViews>
  <sheetFormatPr defaultColWidth="9.00390625" defaultRowHeight="12.75"/>
  <cols>
    <col min="1" max="1" width="29.375" style="105" customWidth="1"/>
    <col min="2" max="3" width="7.625" style="105" customWidth="1"/>
    <col min="4" max="4" width="9.00390625" style="105" hidden="1" customWidth="1"/>
    <col min="5" max="5" width="7.00390625" style="105" customWidth="1"/>
    <col min="6" max="6" width="6.625" style="105" customWidth="1"/>
    <col min="7" max="7" width="6.375" style="105" customWidth="1"/>
    <col min="8" max="8" width="7.125" style="105" customWidth="1"/>
    <col min="9" max="9" width="7.00390625" style="105" customWidth="1"/>
    <col min="10" max="10" width="6.25390625" style="105" bestFit="1" customWidth="1"/>
    <col min="11" max="11" width="7.25390625" style="105" customWidth="1"/>
    <col min="12" max="12" width="6.875" style="105" customWidth="1"/>
    <col min="13" max="13" width="7.125" style="105" hidden="1" customWidth="1"/>
    <col min="14" max="14" width="0" style="105" hidden="1" customWidth="1"/>
    <col min="15" max="15" width="10.00390625" style="105" hidden="1" customWidth="1"/>
    <col min="16" max="16" width="7.375" style="105" hidden="1" customWidth="1"/>
    <col min="17" max="17" width="11.375" style="105" hidden="1" customWidth="1"/>
    <col min="18" max="18" width="7.75390625" style="105" hidden="1" customWidth="1"/>
    <col min="19" max="19" width="10.125" style="105" hidden="1" customWidth="1"/>
    <col min="20" max="21" width="0" style="105" hidden="1" customWidth="1"/>
    <col min="22" max="16384" width="9.125" style="105" customWidth="1"/>
  </cols>
  <sheetData>
    <row r="1" ht="11.25">
      <c r="L1" s="86" t="s">
        <v>396</v>
      </c>
    </row>
    <row r="2" spans="1:12" ht="18" customHeight="1">
      <c r="A2" s="194" t="s">
        <v>356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8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ht="18">
      <c r="A4" s="104"/>
    </row>
    <row r="5" spans="1:21" s="153" customFormat="1" ht="11.25">
      <c r="A5" s="175" t="s">
        <v>200</v>
      </c>
      <c r="B5" s="176"/>
      <c r="C5" s="177"/>
      <c r="D5" s="177" t="s">
        <v>292</v>
      </c>
      <c r="E5" s="177" t="s">
        <v>293</v>
      </c>
      <c r="F5" s="177"/>
      <c r="G5" s="177"/>
      <c r="H5" s="177"/>
      <c r="I5" s="177"/>
      <c r="J5" s="177"/>
      <c r="K5" s="177"/>
      <c r="L5" s="177"/>
      <c r="M5" s="178" t="s">
        <v>294</v>
      </c>
      <c r="N5" s="178"/>
      <c r="O5" s="179" t="s">
        <v>295</v>
      </c>
      <c r="P5" s="179"/>
      <c r="Q5" s="179"/>
      <c r="R5" s="179"/>
      <c r="S5" s="179"/>
      <c r="T5" s="179"/>
      <c r="U5" s="177" t="s">
        <v>102</v>
      </c>
    </row>
    <row r="6" spans="1:21" s="153" customFormat="1" ht="12.75" customHeight="1">
      <c r="A6" s="180"/>
      <c r="B6" s="190" t="s">
        <v>201</v>
      </c>
      <c r="C6" s="190" t="s">
        <v>354</v>
      </c>
      <c r="D6" s="178" t="s">
        <v>296</v>
      </c>
      <c r="E6" s="179" t="s">
        <v>297</v>
      </c>
      <c r="F6" s="179"/>
      <c r="G6" s="179"/>
      <c r="H6" s="179"/>
      <c r="I6" s="179"/>
      <c r="J6" s="178" t="s">
        <v>298</v>
      </c>
      <c r="K6" s="178" t="s">
        <v>299</v>
      </c>
      <c r="L6" s="178" t="s">
        <v>300</v>
      </c>
      <c r="M6" s="178"/>
      <c r="N6" s="179" t="s">
        <v>301</v>
      </c>
      <c r="O6" s="179"/>
      <c r="P6" s="179"/>
      <c r="Q6" s="179"/>
      <c r="R6" s="179"/>
      <c r="S6" s="179"/>
      <c r="T6" s="181" t="s">
        <v>302</v>
      </c>
      <c r="U6" s="178"/>
    </row>
    <row r="7" spans="1:21" s="189" customFormat="1" ht="18.75" customHeight="1">
      <c r="A7" s="182"/>
      <c r="B7" s="191"/>
      <c r="C7" s="191"/>
      <c r="D7" s="183" t="s">
        <v>208</v>
      </c>
      <c r="E7" s="176" t="s">
        <v>102</v>
      </c>
      <c r="F7" s="178" t="s">
        <v>303</v>
      </c>
      <c r="G7" s="178" t="s">
        <v>304</v>
      </c>
      <c r="H7" s="178" t="s">
        <v>305</v>
      </c>
      <c r="I7" s="178" t="s">
        <v>306</v>
      </c>
      <c r="J7" s="184"/>
      <c r="K7" s="184"/>
      <c r="L7" s="184"/>
      <c r="M7" s="185" t="s">
        <v>208</v>
      </c>
      <c r="N7" s="186" t="s">
        <v>307</v>
      </c>
      <c r="O7" s="186" t="s">
        <v>308</v>
      </c>
      <c r="P7" s="186" t="s">
        <v>309</v>
      </c>
      <c r="Q7" s="186" t="s">
        <v>310</v>
      </c>
      <c r="R7" s="186" t="s">
        <v>311</v>
      </c>
      <c r="S7" s="186" t="s">
        <v>312</v>
      </c>
      <c r="T7" s="187" t="s">
        <v>313</v>
      </c>
      <c r="U7" s="188"/>
    </row>
    <row r="8" spans="1:21" ht="12" customHeight="1">
      <c r="A8" s="141" t="s">
        <v>314</v>
      </c>
      <c r="B8" s="158">
        <v>18</v>
      </c>
      <c r="C8" s="159">
        <v>4</v>
      </c>
      <c r="D8" s="159"/>
      <c r="E8" s="159">
        <f>F8+G8+H8+I8</f>
        <v>9.47</v>
      </c>
      <c r="F8" s="159">
        <v>0</v>
      </c>
      <c r="G8" s="159">
        <v>0.3</v>
      </c>
      <c r="H8" s="159">
        <v>3.31</v>
      </c>
      <c r="I8" s="159">
        <v>5.86</v>
      </c>
      <c r="J8" s="159">
        <v>0</v>
      </c>
      <c r="K8" s="159">
        <v>2</v>
      </c>
      <c r="L8" s="159">
        <f>E8+J8+K8</f>
        <v>11.47</v>
      </c>
      <c r="M8" s="158">
        <v>220</v>
      </c>
      <c r="N8" s="158">
        <v>203</v>
      </c>
      <c r="O8" s="158">
        <v>0</v>
      </c>
      <c r="P8" s="138">
        <v>0</v>
      </c>
      <c r="Q8" s="138">
        <v>0</v>
      </c>
      <c r="R8" s="138">
        <v>0</v>
      </c>
      <c r="S8" s="138">
        <v>15</v>
      </c>
      <c r="T8" s="138">
        <v>17</v>
      </c>
      <c r="U8" s="138">
        <f>N8+T8</f>
        <v>220</v>
      </c>
    </row>
    <row r="9" spans="1:21" ht="12" customHeight="1">
      <c r="A9" s="141" t="s">
        <v>315</v>
      </c>
      <c r="B9" s="158">
        <v>170</v>
      </c>
      <c r="C9" s="159">
        <v>20</v>
      </c>
      <c r="D9" s="159"/>
      <c r="E9" s="159">
        <f>F9+G9+H9+I9</f>
        <v>47.67</v>
      </c>
      <c r="F9" s="159">
        <v>0.59</v>
      </c>
      <c r="G9" s="159">
        <v>4.76</v>
      </c>
      <c r="H9" s="159">
        <v>12.67</v>
      </c>
      <c r="I9" s="159">
        <v>29.65</v>
      </c>
      <c r="J9" s="159">
        <v>3.25</v>
      </c>
      <c r="K9" s="159">
        <v>9.5</v>
      </c>
      <c r="L9" s="159">
        <f>E9+J9+K9</f>
        <v>60.42</v>
      </c>
      <c r="M9" s="158"/>
      <c r="N9" s="158"/>
      <c r="O9" s="158"/>
      <c r="P9" s="138"/>
      <c r="Q9" s="138"/>
      <c r="R9" s="138"/>
      <c r="S9" s="138"/>
      <c r="T9" s="138"/>
      <c r="U9" s="138">
        <f>N9+T9</f>
        <v>0</v>
      </c>
    </row>
    <row r="10" spans="1:21" ht="12" customHeight="1">
      <c r="A10" s="141" t="s">
        <v>210</v>
      </c>
      <c r="B10" s="158">
        <v>60</v>
      </c>
      <c r="C10" s="159">
        <v>12</v>
      </c>
      <c r="D10" s="159"/>
      <c r="E10" s="159">
        <f>F10+G10+H10+I10</f>
        <v>35.73</v>
      </c>
      <c r="F10" s="159">
        <v>0.56</v>
      </c>
      <c r="G10" s="159">
        <v>12.61</v>
      </c>
      <c r="H10" s="159">
        <v>10.69</v>
      </c>
      <c r="I10" s="159">
        <v>11.87</v>
      </c>
      <c r="J10" s="159">
        <v>2.5</v>
      </c>
      <c r="K10" s="159">
        <v>11</v>
      </c>
      <c r="L10" s="159">
        <f>E10+J10+K10</f>
        <v>49.23</v>
      </c>
      <c r="M10" s="158"/>
      <c r="N10" s="158"/>
      <c r="O10" s="158"/>
      <c r="P10" s="138"/>
      <c r="Q10" s="138"/>
      <c r="R10" s="138"/>
      <c r="S10" s="138"/>
      <c r="T10" s="138"/>
      <c r="U10" s="138">
        <f>N10+T10</f>
        <v>0</v>
      </c>
    </row>
    <row r="11" spans="1:21" ht="16.5" customHeight="1">
      <c r="A11" s="160" t="s">
        <v>316</v>
      </c>
      <c r="B11" s="161">
        <f aca="true" t="shared" si="0" ref="B11:U11">B8+B9+B10</f>
        <v>248</v>
      </c>
      <c r="C11" s="161">
        <f t="shared" si="0"/>
        <v>36</v>
      </c>
      <c r="D11" s="161">
        <f t="shared" si="0"/>
        <v>0</v>
      </c>
      <c r="E11" s="162">
        <f t="shared" si="0"/>
        <v>92.87</v>
      </c>
      <c r="F11" s="162">
        <f t="shared" si="0"/>
        <v>1.15</v>
      </c>
      <c r="G11" s="162">
        <f t="shared" si="0"/>
        <v>17.669999999999998</v>
      </c>
      <c r="H11" s="162">
        <f t="shared" si="0"/>
        <v>26.67</v>
      </c>
      <c r="I11" s="162">
        <f t="shared" si="0"/>
        <v>47.379999999999995</v>
      </c>
      <c r="J11" s="162">
        <f t="shared" si="0"/>
        <v>5.75</v>
      </c>
      <c r="K11" s="162">
        <f t="shared" si="0"/>
        <v>22.5</v>
      </c>
      <c r="L11" s="162">
        <f t="shared" si="0"/>
        <v>121.12</v>
      </c>
      <c r="M11" s="162">
        <f t="shared" si="0"/>
        <v>220</v>
      </c>
      <c r="N11" s="162">
        <f t="shared" si="0"/>
        <v>203</v>
      </c>
      <c r="O11" s="162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62">
        <f t="shared" si="0"/>
        <v>15</v>
      </c>
      <c r="T11" s="162">
        <f t="shared" si="0"/>
        <v>17</v>
      </c>
      <c r="U11" s="162">
        <f t="shared" si="0"/>
        <v>220</v>
      </c>
    </row>
    <row r="12" spans="1:21" ht="12" customHeight="1">
      <c r="A12" s="141" t="s">
        <v>210</v>
      </c>
      <c r="B12" s="158">
        <v>16</v>
      </c>
      <c r="C12" s="159">
        <v>2</v>
      </c>
      <c r="D12" s="159"/>
      <c r="E12" s="159">
        <f>F12+G12+H12+I12</f>
        <v>4.08</v>
      </c>
      <c r="F12" s="159">
        <v>0</v>
      </c>
      <c r="G12" s="159">
        <v>1.33</v>
      </c>
      <c r="H12" s="159">
        <v>2.44</v>
      </c>
      <c r="I12" s="159">
        <v>0.31</v>
      </c>
      <c r="J12" s="159">
        <v>0</v>
      </c>
      <c r="K12" s="159">
        <v>2</v>
      </c>
      <c r="L12" s="159">
        <f>E12+J12+K12</f>
        <v>6.08</v>
      </c>
      <c r="M12" s="162"/>
      <c r="N12" s="162"/>
      <c r="O12" s="162"/>
      <c r="P12" s="162"/>
      <c r="Q12" s="162"/>
      <c r="R12" s="162"/>
      <c r="S12" s="162"/>
      <c r="T12" s="162"/>
      <c r="U12" s="162"/>
    </row>
    <row r="13" spans="1:21" ht="16.5" customHeight="1">
      <c r="A13" s="160" t="s">
        <v>317</v>
      </c>
      <c r="B13" s="162">
        <f aca="true" t="shared" si="1" ref="B13:U13">B12</f>
        <v>16</v>
      </c>
      <c r="C13" s="162">
        <f t="shared" si="1"/>
        <v>2</v>
      </c>
      <c r="D13" s="162">
        <f t="shared" si="1"/>
        <v>0</v>
      </c>
      <c r="E13" s="162">
        <f t="shared" si="1"/>
        <v>4.08</v>
      </c>
      <c r="F13" s="162">
        <f t="shared" si="1"/>
        <v>0</v>
      </c>
      <c r="G13" s="162">
        <f t="shared" si="1"/>
        <v>1.33</v>
      </c>
      <c r="H13" s="162">
        <f t="shared" si="1"/>
        <v>2.44</v>
      </c>
      <c r="I13" s="162">
        <f t="shared" si="1"/>
        <v>0.31</v>
      </c>
      <c r="J13" s="162">
        <f t="shared" si="1"/>
        <v>0</v>
      </c>
      <c r="K13" s="162">
        <f t="shared" si="1"/>
        <v>2</v>
      </c>
      <c r="L13" s="162">
        <f t="shared" si="1"/>
        <v>6.08</v>
      </c>
      <c r="M13" s="162">
        <f t="shared" si="1"/>
        <v>0</v>
      </c>
      <c r="N13" s="162">
        <f t="shared" si="1"/>
        <v>0</v>
      </c>
      <c r="O13" s="162">
        <f t="shared" si="1"/>
        <v>0</v>
      </c>
      <c r="P13" s="162">
        <f t="shared" si="1"/>
        <v>0</v>
      </c>
      <c r="Q13" s="162">
        <f t="shared" si="1"/>
        <v>0</v>
      </c>
      <c r="R13" s="162">
        <f t="shared" si="1"/>
        <v>0</v>
      </c>
      <c r="S13" s="162">
        <f t="shared" si="1"/>
        <v>0</v>
      </c>
      <c r="T13" s="162">
        <f t="shared" si="1"/>
        <v>0</v>
      </c>
      <c r="U13" s="162">
        <f t="shared" si="1"/>
        <v>0</v>
      </c>
    </row>
    <row r="14" spans="1:21" ht="16.5" customHeight="1">
      <c r="A14" s="143" t="s">
        <v>318</v>
      </c>
      <c r="B14" s="159">
        <v>11</v>
      </c>
      <c r="C14" s="159"/>
      <c r="D14" s="159"/>
      <c r="E14" s="162">
        <f>F14+G14+H14+I14</f>
        <v>9.57</v>
      </c>
      <c r="F14" s="159">
        <v>0</v>
      </c>
      <c r="G14" s="159">
        <v>6.37</v>
      </c>
      <c r="H14" s="159">
        <v>1.52</v>
      </c>
      <c r="I14" s="159">
        <v>1.68</v>
      </c>
      <c r="J14" s="159">
        <v>0</v>
      </c>
      <c r="K14" s="159">
        <v>0</v>
      </c>
      <c r="L14" s="162">
        <f>E14+J14+K14</f>
        <v>9.57</v>
      </c>
      <c r="M14" s="162"/>
      <c r="N14" s="162"/>
      <c r="O14" s="162"/>
      <c r="P14" s="162"/>
      <c r="Q14" s="162"/>
      <c r="R14" s="162"/>
      <c r="S14" s="162"/>
      <c r="T14" s="162"/>
      <c r="U14" s="162"/>
    </row>
    <row r="15" spans="1:21" ht="12" customHeight="1">
      <c r="A15" s="141" t="s">
        <v>314</v>
      </c>
      <c r="B15" s="163">
        <v>13</v>
      </c>
      <c r="C15" s="163">
        <v>2</v>
      </c>
      <c r="D15" s="163"/>
      <c r="E15" s="159">
        <f>F15+G15+H15+I15</f>
        <v>8.4</v>
      </c>
      <c r="F15" s="159">
        <v>0</v>
      </c>
      <c r="G15" s="159">
        <v>0.61</v>
      </c>
      <c r="H15" s="159">
        <v>2.04</v>
      </c>
      <c r="I15" s="159">
        <v>5.75</v>
      </c>
      <c r="J15" s="159">
        <v>1</v>
      </c>
      <c r="K15" s="159">
        <v>1.12</v>
      </c>
      <c r="L15" s="159">
        <f>E15+J15+K15</f>
        <v>10.52</v>
      </c>
      <c r="M15" s="164"/>
      <c r="N15" s="163"/>
      <c r="O15" s="163"/>
      <c r="P15" s="163"/>
      <c r="Q15" s="163"/>
      <c r="R15" s="163"/>
      <c r="S15" s="163"/>
      <c r="T15" s="163"/>
      <c r="U15" s="138">
        <f>N15+T15</f>
        <v>0</v>
      </c>
    </row>
    <row r="16" spans="1:21" ht="12" customHeight="1">
      <c r="A16" s="141" t="s">
        <v>315</v>
      </c>
      <c r="B16" s="158">
        <v>73</v>
      </c>
      <c r="C16" s="159">
        <v>10</v>
      </c>
      <c r="D16" s="159"/>
      <c r="E16" s="159">
        <f>F16+G16+H16+I16</f>
        <v>27.15</v>
      </c>
      <c r="F16" s="159">
        <v>1.05</v>
      </c>
      <c r="G16" s="159">
        <v>2.43</v>
      </c>
      <c r="H16" s="159">
        <v>3.01</v>
      </c>
      <c r="I16" s="159">
        <v>20.66</v>
      </c>
      <c r="J16" s="159">
        <v>2.5</v>
      </c>
      <c r="K16" s="159">
        <v>5.25</v>
      </c>
      <c r="L16" s="159">
        <f>E16+J16+K16</f>
        <v>34.9</v>
      </c>
      <c r="M16" s="158"/>
      <c r="N16" s="158"/>
      <c r="O16" s="158"/>
      <c r="P16" s="138"/>
      <c r="Q16" s="138"/>
      <c r="R16" s="138"/>
      <c r="S16" s="138"/>
      <c r="T16" s="138"/>
      <c r="U16" s="138">
        <f>N16+T16</f>
        <v>0</v>
      </c>
    </row>
    <row r="17" spans="1:21" ht="12" customHeight="1">
      <c r="A17" s="141" t="s">
        <v>210</v>
      </c>
      <c r="B17" s="158">
        <v>29</v>
      </c>
      <c r="C17" s="159">
        <v>5</v>
      </c>
      <c r="D17" s="159"/>
      <c r="E17" s="159">
        <f>F17+G17+H17+I17</f>
        <v>14.31</v>
      </c>
      <c r="F17" s="159">
        <v>0.31</v>
      </c>
      <c r="G17" s="159">
        <v>1.22</v>
      </c>
      <c r="H17" s="159">
        <v>4.78</v>
      </c>
      <c r="I17" s="159">
        <v>8</v>
      </c>
      <c r="J17" s="159">
        <v>1</v>
      </c>
      <c r="K17" s="159">
        <v>2.5</v>
      </c>
      <c r="L17" s="159">
        <f>E17+J17+K17</f>
        <v>17.810000000000002</v>
      </c>
      <c r="M17" s="158"/>
      <c r="N17" s="158"/>
      <c r="O17" s="158"/>
      <c r="P17" s="138"/>
      <c r="Q17" s="138"/>
      <c r="R17" s="138"/>
      <c r="S17" s="138"/>
      <c r="T17" s="138"/>
      <c r="U17" s="138">
        <f>N17+T17</f>
        <v>0</v>
      </c>
    </row>
    <row r="18" spans="1:21" ht="16.5" customHeight="1">
      <c r="A18" s="160" t="s">
        <v>319</v>
      </c>
      <c r="B18" s="161">
        <f>B15+B16+B17</f>
        <v>115</v>
      </c>
      <c r="C18" s="161">
        <f>C15+C16+C17</f>
        <v>17</v>
      </c>
      <c r="D18" s="161" t="e">
        <f>D15+D16+D17+#REF!</f>
        <v>#REF!</v>
      </c>
      <c r="E18" s="162">
        <f aca="true" t="shared" si="2" ref="E18:U18">E15+E16+E17</f>
        <v>49.86</v>
      </c>
      <c r="F18" s="162">
        <f t="shared" si="2"/>
        <v>1.36</v>
      </c>
      <c r="G18" s="162">
        <f t="shared" si="2"/>
        <v>4.26</v>
      </c>
      <c r="H18" s="162">
        <f t="shared" si="2"/>
        <v>9.83</v>
      </c>
      <c r="I18" s="162">
        <f t="shared" si="2"/>
        <v>34.41</v>
      </c>
      <c r="J18" s="162">
        <f t="shared" si="2"/>
        <v>4.5</v>
      </c>
      <c r="K18" s="162">
        <f t="shared" si="2"/>
        <v>8.870000000000001</v>
      </c>
      <c r="L18" s="162">
        <f t="shared" si="2"/>
        <v>63.230000000000004</v>
      </c>
      <c r="M18" s="162">
        <f t="shared" si="2"/>
        <v>0</v>
      </c>
      <c r="N18" s="162">
        <f t="shared" si="2"/>
        <v>0</v>
      </c>
      <c r="O18" s="162">
        <f t="shared" si="2"/>
        <v>0</v>
      </c>
      <c r="P18" s="162">
        <f t="shared" si="2"/>
        <v>0</v>
      </c>
      <c r="Q18" s="162">
        <f t="shared" si="2"/>
        <v>0</v>
      </c>
      <c r="R18" s="162">
        <f t="shared" si="2"/>
        <v>0</v>
      </c>
      <c r="S18" s="162">
        <f t="shared" si="2"/>
        <v>0</v>
      </c>
      <c r="T18" s="162">
        <f t="shared" si="2"/>
        <v>0</v>
      </c>
      <c r="U18" s="162">
        <f t="shared" si="2"/>
        <v>0</v>
      </c>
    </row>
    <row r="19" spans="1:21" ht="13.5" customHeight="1">
      <c r="A19" s="141" t="s">
        <v>320</v>
      </c>
      <c r="B19" s="158">
        <v>385</v>
      </c>
      <c r="C19" s="159">
        <v>15</v>
      </c>
      <c r="D19" s="159"/>
      <c r="E19" s="159">
        <f aca="true" t="shared" si="3" ref="E19:E31">F19+G19+H19+I19</f>
        <v>46.13</v>
      </c>
      <c r="F19" s="159">
        <v>0.06</v>
      </c>
      <c r="G19" s="159">
        <v>3.06</v>
      </c>
      <c r="H19" s="159">
        <v>9.38</v>
      </c>
      <c r="I19" s="159">
        <v>33.63</v>
      </c>
      <c r="J19" s="159">
        <v>6.8</v>
      </c>
      <c r="K19" s="159">
        <v>12</v>
      </c>
      <c r="L19" s="159">
        <f aca="true" t="shared" si="4" ref="L19:L31">E19+J19+K19</f>
        <v>64.93</v>
      </c>
      <c r="M19" s="158"/>
      <c r="N19" s="158"/>
      <c r="O19" s="158"/>
      <c r="P19" s="138"/>
      <c r="Q19" s="138"/>
      <c r="R19" s="138"/>
      <c r="S19" s="138"/>
      <c r="T19" s="138"/>
      <c r="U19" s="138">
        <f aca="true" t="shared" si="5" ref="U19:U25">N19+T19</f>
        <v>0</v>
      </c>
    </row>
    <row r="20" spans="1:21" ht="13.5" customHeight="1">
      <c r="A20" s="141" t="s">
        <v>272</v>
      </c>
      <c r="B20" s="158">
        <v>590</v>
      </c>
      <c r="C20" s="163">
        <v>18</v>
      </c>
      <c r="D20" s="164"/>
      <c r="E20" s="159">
        <f t="shared" si="3"/>
        <v>50.75</v>
      </c>
      <c r="F20" s="159">
        <v>0</v>
      </c>
      <c r="G20" s="159">
        <v>4.56</v>
      </c>
      <c r="H20" s="159">
        <v>14.83</v>
      </c>
      <c r="I20" s="159">
        <v>31.36</v>
      </c>
      <c r="J20" s="159">
        <v>5.95</v>
      </c>
      <c r="K20" s="159">
        <v>12</v>
      </c>
      <c r="L20" s="159">
        <f t="shared" si="4"/>
        <v>68.7</v>
      </c>
      <c r="M20" s="164"/>
      <c r="N20" s="163"/>
      <c r="O20" s="163"/>
      <c r="P20" s="163"/>
      <c r="Q20" s="163"/>
      <c r="R20" s="163"/>
      <c r="S20" s="163"/>
      <c r="T20" s="163"/>
      <c r="U20" s="138">
        <f t="shared" si="5"/>
        <v>0</v>
      </c>
    </row>
    <row r="21" spans="1:21" ht="13.5" customHeight="1">
      <c r="A21" s="141" t="s">
        <v>222</v>
      </c>
      <c r="B21" s="158">
        <v>580</v>
      </c>
      <c r="C21" s="159">
        <v>19</v>
      </c>
      <c r="D21" s="159"/>
      <c r="E21" s="159">
        <f t="shared" si="3"/>
        <v>74.72</v>
      </c>
      <c r="F21" s="159">
        <v>1.17</v>
      </c>
      <c r="G21" s="159">
        <v>7.03</v>
      </c>
      <c r="H21" s="159">
        <v>13.61</v>
      </c>
      <c r="I21" s="159">
        <v>52.91</v>
      </c>
      <c r="J21" s="159">
        <v>7.5</v>
      </c>
      <c r="K21" s="159">
        <v>10.13</v>
      </c>
      <c r="L21" s="159">
        <f t="shared" si="4"/>
        <v>92.35</v>
      </c>
      <c r="M21" s="158"/>
      <c r="N21" s="158"/>
      <c r="O21" s="158"/>
      <c r="P21" s="138"/>
      <c r="Q21" s="138"/>
      <c r="R21" s="138"/>
      <c r="S21" s="138"/>
      <c r="T21" s="138"/>
      <c r="U21" s="138">
        <f t="shared" si="5"/>
        <v>0</v>
      </c>
    </row>
    <row r="22" spans="1:21" ht="13.5" customHeight="1">
      <c r="A22" s="141" t="s">
        <v>223</v>
      </c>
      <c r="B22" s="158">
        <v>388</v>
      </c>
      <c r="C22" s="159">
        <v>16</v>
      </c>
      <c r="D22" s="159"/>
      <c r="E22" s="159">
        <f t="shared" si="3"/>
        <v>34.56</v>
      </c>
      <c r="F22" s="159">
        <v>1.95</v>
      </c>
      <c r="G22" s="159">
        <v>1.71</v>
      </c>
      <c r="H22" s="159">
        <v>6.46</v>
      </c>
      <c r="I22" s="159">
        <v>24.44</v>
      </c>
      <c r="J22" s="159">
        <v>4.58</v>
      </c>
      <c r="K22" s="159">
        <v>9.79</v>
      </c>
      <c r="L22" s="159">
        <f t="shared" si="4"/>
        <v>48.93</v>
      </c>
      <c r="M22" s="158"/>
      <c r="N22" s="158"/>
      <c r="O22" s="158"/>
      <c r="P22" s="138"/>
      <c r="Q22" s="138"/>
      <c r="R22" s="138"/>
      <c r="S22" s="138"/>
      <c r="T22" s="138"/>
      <c r="U22" s="138">
        <f t="shared" si="5"/>
        <v>0</v>
      </c>
    </row>
    <row r="23" spans="1:21" ht="13.5" customHeight="1">
      <c r="A23" s="165" t="s">
        <v>321</v>
      </c>
      <c r="B23" s="158">
        <v>297</v>
      </c>
      <c r="C23" s="159">
        <v>11</v>
      </c>
      <c r="D23" s="159"/>
      <c r="E23" s="159">
        <f t="shared" si="3"/>
        <v>40.95</v>
      </c>
      <c r="F23" s="159">
        <v>0</v>
      </c>
      <c r="G23" s="159">
        <v>9.83</v>
      </c>
      <c r="H23" s="159">
        <v>10.13</v>
      </c>
      <c r="I23" s="159">
        <v>20.99</v>
      </c>
      <c r="J23" s="159">
        <v>5.25</v>
      </c>
      <c r="K23" s="159">
        <v>9.5</v>
      </c>
      <c r="L23" s="159">
        <f t="shared" si="4"/>
        <v>55.7</v>
      </c>
      <c r="M23" s="158"/>
      <c r="N23" s="158"/>
      <c r="O23" s="158"/>
      <c r="P23" s="138"/>
      <c r="Q23" s="138"/>
      <c r="R23" s="138"/>
      <c r="S23" s="138"/>
      <c r="T23" s="138"/>
      <c r="U23" s="138">
        <f t="shared" si="5"/>
        <v>0</v>
      </c>
    </row>
    <row r="24" spans="1:21" ht="13.5" customHeight="1">
      <c r="A24" s="141" t="s">
        <v>225</v>
      </c>
      <c r="B24" s="158">
        <v>572</v>
      </c>
      <c r="C24" s="159">
        <v>18</v>
      </c>
      <c r="D24" s="159"/>
      <c r="E24" s="159">
        <f t="shared" si="3"/>
        <v>52.54</v>
      </c>
      <c r="F24" s="159">
        <v>1.86</v>
      </c>
      <c r="G24" s="159">
        <v>6.7</v>
      </c>
      <c r="H24" s="159">
        <v>4.02</v>
      </c>
      <c r="I24" s="159">
        <v>39.96</v>
      </c>
      <c r="J24" s="159">
        <v>4.25</v>
      </c>
      <c r="K24" s="159">
        <v>10.45</v>
      </c>
      <c r="L24" s="159">
        <f t="shared" si="4"/>
        <v>67.24</v>
      </c>
      <c r="M24" s="158"/>
      <c r="N24" s="158"/>
      <c r="O24" s="158"/>
      <c r="P24" s="138"/>
      <c r="Q24" s="138"/>
      <c r="R24" s="138"/>
      <c r="S24" s="138"/>
      <c r="T24" s="138"/>
      <c r="U24" s="138">
        <f t="shared" si="5"/>
        <v>0</v>
      </c>
    </row>
    <row r="25" spans="1:21" ht="13.5" customHeight="1">
      <c r="A25" s="141" t="s">
        <v>322</v>
      </c>
      <c r="B25" s="158">
        <v>117</v>
      </c>
      <c r="C25" s="159">
        <v>5</v>
      </c>
      <c r="D25" s="159"/>
      <c r="E25" s="159">
        <f t="shared" si="3"/>
        <v>17.36</v>
      </c>
      <c r="F25" s="159">
        <v>0.66</v>
      </c>
      <c r="G25" s="159">
        <v>1.33</v>
      </c>
      <c r="H25" s="159">
        <v>5.4</v>
      </c>
      <c r="I25" s="159">
        <v>9.97</v>
      </c>
      <c r="J25" s="159">
        <v>1.5</v>
      </c>
      <c r="K25" s="159">
        <v>4</v>
      </c>
      <c r="L25" s="159">
        <f t="shared" si="4"/>
        <v>22.86</v>
      </c>
      <c r="M25" s="158"/>
      <c r="N25" s="158"/>
      <c r="O25" s="158"/>
      <c r="P25" s="138"/>
      <c r="Q25" s="138"/>
      <c r="R25" s="138"/>
      <c r="S25" s="138"/>
      <c r="T25" s="138"/>
      <c r="U25" s="138">
        <f t="shared" si="5"/>
        <v>0</v>
      </c>
    </row>
    <row r="26" spans="1:21" ht="13.5" customHeight="1">
      <c r="A26" s="141" t="s">
        <v>226</v>
      </c>
      <c r="B26" s="158">
        <v>460</v>
      </c>
      <c r="C26" s="159">
        <v>15</v>
      </c>
      <c r="D26" s="159"/>
      <c r="E26" s="159">
        <f t="shared" si="3"/>
        <v>41.769999999999996</v>
      </c>
      <c r="F26" s="159">
        <v>0.75</v>
      </c>
      <c r="G26" s="159">
        <v>4.57</v>
      </c>
      <c r="H26" s="159">
        <v>13.32</v>
      </c>
      <c r="I26" s="159">
        <v>23.13</v>
      </c>
      <c r="J26" s="159">
        <v>4.5</v>
      </c>
      <c r="K26" s="159">
        <v>8</v>
      </c>
      <c r="L26" s="159">
        <f t="shared" si="4"/>
        <v>54.269999999999996</v>
      </c>
      <c r="M26" s="158"/>
      <c r="N26" s="158"/>
      <c r="O26" s="158"/>
      <c r="P26" s="138"/>
      <c r="Q26" s="138"/>
      <c r="R26" s="138"/>
      <c r="S26" s="138"/>
      <c r="T26" s="138"/>
      <c r="U26" s="138"/>
    </row>
    <row r="27" spans="1:21" ht="13.5" customHeight="1">
      <c r="A27" s="141" t="s">
        <v>323</v>
      </c>
      <c r="B27" s="158">
        <v>371</v>
      </c>
      <c r="C27" s="159">
        <v>12</v>
      </c>
      <c r="D27" s="159"/>
      <c r="E27" s="159">
        <f t="shared" si="3"/>
        <v>34.56</v>
      </c>
      <c r="F27" s="159">
        <v>1.17</v>
      </c>
      <c r="G27" s="159">
        <v>3.43</v>
      </c>
      <c r="H27" s="159">
        <v>13.68</v>
      </c>
      <c r="I27" s="159">
        <v>16.28</v>
      </c>
      <c r="J27" s="159">
        <v>5</v>
      </c>
      <c r="K27" s="159">
        <v>7.5</v>
      </c>
      <c r="L27" s="159">
        <f t="shared" si="4"/>
        <v>47.06</v>
      </c>
      <c r="M27" s="158"/>
      <c r="N27" s="158"/>
      <c r="O27" s="158"/>
      <c r="P27" s="138"/>
      <c r="Q27" s="138"/>
      <c r="R27" s="138"/>
      <c r="S27" s="138"/>
      <c r="T27" s="138"/>
      <c r="U27" s="138">
        <f>N27+T27</f>
        <v>0</v>
      </c>
    </row>
    <row r="28" spans="1:21" ht="13.5" customHeight="1">
      <c r="A28" s="141" t="s">
        <v>324</v>
      </c>
      <c r="B28" s="158">
        <v>161</v>
      </c>
      <c r="C28" s="159">
        <v>6</v>
      </c>
      <c r="D28" s="159"/>
      <c r="E28" s="159">
        <f t="shared" si="3"/>
        <v>15.799999999999999</v>
      </c>
      <c r="F28" s="159">
        <v>0</v>
      </c>
      <c r="G28" s="159">
        <v>0.94</v>
      </c>
      <c r="H28" s="159">
        <v>2.08</v>
      </c>
      <c r="I28" s="159">
        <v>12.78</v>
      </c>
      <c r="J28" s="159">
        <v>3</v>
      </c>
      <c r="K28" s="159">
        <v>5</v>
      </c>
      <c r="L28" s="159">
        <f t="shared" si="4"/>
        <v>23.799999999999997</v>
      </c>
      <c r="M28" s="158"/>
      <c r="N28" s="158"/>
      <c r="O28" s="158"/>
      <c r="P28" s="138"/>
      <c r="Q28" s="138"/>
      <c r="R28" s="138"/>
      <c r="S28" s="138"/>
      <c r="T28" s="138"/>
      <c r="U28" s="138">
        <f>N28+T28</f>
        <v>0</v>
      </c>
    </row>
    <row r="29" spans="1:21" ht="13.5" customHeight="1">
      <c r="A29" s="141" t="s">
        <v>88</v>
      </c>
      <c r="B29" s="158">
        <v>180</v>
      </c>
      <c r="C29" s="159">
        <v>8</v>
      </c>
      <c r="D29" s="159"/>
      <c r="E29" s="159">
        <f t="shared" si="3"/>
        <v>40.82</v>
      </c>
      <c r="F29" s="159">
        <v>0</v>
      </c>
      <c r="G29" s="159">
        <v>10.59</v>
      </c>
      <c r="H29" s="159">
        <v>15.43</v>
      </c>
      <c r="I29" s="159">
        <v>14.8</v>
      </c>
      <c r="J29" s="159">
        <v>3.5</v>
      </c>
      <c r="K29" s="159">
        <v>6.35</v>
      </c>
      <c r="L29" s="159">
        <f t="shared" si="4"/>
        <v>50.67</v>
      </c>
      <c r="M29" s="158"/>
      <c r="N29" s="158"/>
      <c r="O29" s="158"/>
      <c r="P29" s="138"/>
      <c r="Q29" s="138"/>
      <c r="R29" s="138"/>
      <c r="S29" s="138"/>
      <c r="T29" s="138"/>
      <c r="U29" s="138">
        <f>N29+T29</f>
        <v>0</v>
      </c>
    </row>
    <row r="30" spans="1:21" ht="13.5" customHeight="1">
      <c r="A30" s="141" t="s">
        <v>87</v>
      </c>
      <c r="B30" s="158">
        <v>465</v>
      </c>
      <c r="C30" s="159">
        <v>16</v>
      </c>
      <c r="D30" s="159"/>
      <c r="E30" s="159">
        <f t="shared" si="3"/>
        <v>47.183</v>
      </c>
      <c r="F30" s="159">
        <v>0.583</v>
      </c>
      <c r="G30" s="159">
        <v>6.86</v>
      </c>
      <c r="H30" s="159">
        <v>11.9</v>
      </c>
      <c r="I30" s="159">
        <v>27.84</v>
      </c>
      <c r="J30" s="159">
        <v>5.75</v>
      </c>
      <c r="K30" s="159">
        <v>9.5</v>
      </c>
      <c r="L30" s="159">
        <f t="shared" si="4"/>
        <v>62.433</v>
      </c>
      <c r="M30" s="158"/>
      <c r="N30" s="158"/>
      <c r="O30" s="158"/>
      <c r="P30" s="138"/>
      <c r="Q30" s="138"/>
      <c r="R30" s="138"/>
      <c r="S30" s="138"/>
      <c r="T30" s="138"/>
      <c r="U30" s="138">
        <f>N30+T30</f>
        <v>0</v>
      </c>
    </row>
    <row r="31" spans="1:21" ht="13.5" customHeight="1">
      <c r="A31" s="141" t="s">
        <v>229</v>
      </c>
      <c r="B31" s="158">
        <v>280</v>
      </c>
      <c r="C31" s="159">
        <v>9</v>
      </c>
      <c r="D31" s="159"/>
      <c r="E31" s="159">
        <f t="shared" si="3"/>
        <v>8.17</v>
      </c>
      <c r="F31" s="159">
        <v>0</v>
      </c>
      <c r="G31" s="159">
        <v>1.06</v>
      </c>
      <c r="H31" s="159">
        <v>2.72</v>
      </c>
      <c r="I31" s="159">
        <v>4.39</v>
      </c>
      <c r="J31" s="159">
        <v>2.25</v>
      </c>
      <c r="K31" s="159">
        <v>3.25</v>
      </c>
      <c r="L31" s="159">
        <f t="shared" si="4"/>
        <v>13.67</v>
      </c>
      <c r="M31" s="158"/>
      <c r="N31" s="158"/>
      <c r="O31" s="158"/>
      <c r="P31" s="138"/>
      <c r="Q31" s="138"/>
      <c r="R31" s="138"/>
      <c r="S31" s="138"/>
      <c r="T31" s="138"/>
      <c r="U31" s="138">
        <f>N31+T31</f>
        <v>0</v>
      </c>
    </row>
    <row r="32" spans="1:21" ht="16.5" customHeight="1">
      <c r="A32" s="160" t="s">
        <v>325</v>
      </c>
      <c r="B32" s="161">
        <f aca="true" t="shared" si="6" ref="B32:U32">SUM(B19:B31)</f>
        <v>4846</v>
      </c>
      <c r="C32" s="162">
        <f t="shared" si="6"/>
        <v>168</v>
      </c>
      <c r="D32" s="162">
        <f t="shared" si="6"/>
        <v>0</v>
      </c>
      <c r="E32" s="162">
        <f t="shared" si="6"/>
        <v>505.31300000000005</v>
      </c>
      <c r="F32" s="162">
        <f t="shared" si="6"/>
        <v>8.203</v>
      </c>
      <c r="G32" s="162">
        <f t="shared" si="6"/>
        <v>61.67</v>
      </c>
      <c r="H32" s="162">
        <f t="shared" si="6"/>
        <v>122.96000000000001</v>
      </c>
      <c r="I32" s="162">
        <f t="shared" si="6"/>
        <v>312.47999999999996</v>
      </c>
      <c r="J32" s="162">
        <f t="shared" si="6"/>
        <v>59.83</v>
      </c>
      <c r="K32" s="162">
        <f t="shared" si="6"/>
        <v>107.47</v>
      </c>
      <c r="L32" s="162">
        <f t="shared" si="6"/>
        <v>672.6129999999998</v>
      </c>
      <c r="M32" s="162">
        <f t="shared" si="6"/>
        <v>0</v>
      </c>
      <c r="N32" s="162">
        <f t="shared" si="6"/>
        <v>0</v>
      </c>
      <c r="O32" s="162">
        <f t="shared" si="6"/>
        <v>0</v>
      </c>
      <c r="P32" s="162">
        <f t="shared" si="6"/>
        <v>0</v>
      </c>
      <c r="Q32" s="162">
        <f t="shared" si="6"/>
        <v>0</v>
      </c>
      <c r="R32" s="162">
        <f t="shared" si="6"/>
        <v>0</v>
      </c>
      <c r="S32" s="162">
        <f t="shared" si="6"/>
        <v>0</v>
      </c>
      <c r="T32" s="162">
        <f t="shared" si="6"/>
        <v>0</v>
      </c>
      <c r="U32" s="162">
        <f t="shared" si="6"/>
        <v>0</v>
      </c>
    </row>
    <row r="33" spans="1:21" ht="16.5" customHeight="1">
      <c r="A33" s="141" t="s">
        <v>314</v>
      </c>
      <c r="B33" s="158">
        <v>6</v>
      </c>
      <c r="C33" s="159">
        <v>2</v>
      </c>
      <c r="D33" s="159"/>
      <c r="E33" s="159">
        <f>F33+G33+H33+I33</f>
        <v>4.89</v>
      </c>
      <c r="F33" s="159">
        <v>0</v>
      </c>
      <c r="G33" s="159">
        <v>0.22</v>
      </c>
      <c r="H33" s="159">
        <v>1.71</v>
      </c>
      <c r="I33" s="159">
        <v>2.96</v>
      </c>
      <c r="J33" s="159">
        <v>0</v>
      </c>
      <c r="K33" s="159">
        <v>0</v>
      </c>
      <c r="L33" s="159">
        <f>E33+J33+K33</f>
        <v>4.89</v>
      </c>
      <c r="M33" s="158"/>
      <c r="N33" s="158"/>
      <c r="O33" s="158"/>
      <c r="P33" s="138"/>
      <c r="Q33" s="138"/>
      <c r="R33" s="138"/>
      <c r="S33" s="138"/>
      <c r="T33" s="138"/>
      <c r="U33" s="138">
        <f>N33+T33</f>
        <v>0</v>
      </c>
    </row>
    <row r="34" spans="1:21" ht="16.5" customHeight="1">
      <c r="A34" s="141" t="s">
        <v>326</v>
      </c>
      <c r="B34" s="158">
        <v>22</v>
      </c>
      <c r="C34" s="159">
        <v>3</v>
      </c>
      <c r="D34" s="159"/>
      <c r="E34" s="159">
        <f>F34+G34+H34+I34</f>
        <v>10.68</v>
      </c>
      <c r="F34" s="159">
        <v>0.26</v>
      </c>
      <c r="G34" s="159">
        <v>1.77</v>
      </c>
      <c r="H34" s="159">
        <v>3.91</v>
      </c>
      <c r="I34" s="159">
        <v>4.74</v>
      </c>
      <c r="J34" s="159">
        <v>2.5</v>
      </c>
      <c r="K34" s="159">
        <v>3.5</v>
      </c>
      <c r="L34" s="159">
        <f>E34+J34+K34</f>
        <v>16.68</v>
      </c>
      <c r="M34" s="158"/>
      <c r="N34" s="158"/>
      <c r="O34" s="158"/>
      <c r="P34" s="138"/>
      <c r="Q34" s="138"/>
      <c r="R34" s="138"/>
      <c r="S34" s="138"/>
      <c r="T34" s="138"/>
      <c r="U34" s="138">
        <f>N34+T34</f>
        <v>0</v>
      </c>
    </row>
    <row r="35" spans="1:21" ht="21.75">
      <c r="A35" s="166" t="s">
        <v>327</v>
      </c>
      <c r="B35" s="167">
        <f aca="true" t="shared" si="7" ref="B35:U35">B33+B34</f>
        <v>28</v>
      </c>
      <c r="C35" s="168">
        <f t="shared" si="7"/>
        <v>5</v>
      </c>
      <c r="D35" s="168">
        <f t="shared" si="7"/>
        <v>0</v>
      </c>
      <c r="E35" s="168">
        <f t="shared" si="7"/>
        <v>15.57</v>
      </c>
      <c r="F35" s="168">
        <f t="shared" si="7"/>
        <v>0.26</v>
      </c>
      <c r="G35" s="168">
        <f t="shared" si="7"/>
        <v>1.99</v>
      </c>
      <c r="H35" s="168">
        <f t="shared" si="7"/>
        <v>5.62</v>
      </c>
      <c r="I35" s="168">
        <f t="shared" si="7"/>
        <v>7.7</v>
      </c>
      <c r="J35" s="168">
        <f t="shared" si="7"/>
        <v>2.5</v>
      </c>
      <c r="K35" s="168">
        <f t="shared" si="7"/>
        <v>3.5</v>
      </c>
      <c r="L35" s="168">
        <f t="shared" si="7"/>
        <v>21.57</v>
      </c>
      <c r="M35" s="168">
        <f t="shared" si="7"/>
        <v>0</v>
      </c>
      <c r="N35" s="168">
        <f t="shared" si="7"/>
        <v>0</v>
      </c>
      <c r="O35" s="168">
        <f t="shared" si="7"/>
        <v>0</v>
      </c>
      <c r="P35" s="168">
        <f t="shared" si="7"/>
        <v>0</v>
      </c>
      <c r="Q35" s="168">
        <f t="shared" si="7"/>
        <v>0</v>
      </c>
      <c r="R35" s="168">
        <f t="shared" si="7"/>
        <v>0</v>
      </c>
      <c r="S35" s="168">
        <f t="shared" si="7"/>
        <v>0</v>
      </c>
      <c r="T35" s="168">
        <f t="shared" si="7"/>
        <v>0</v>
      </c>
      <c r="U35" s="168">
        <f t="shared" si="7"/>
        <v>0</v>
      </c>
    </row>
    <row r="36" spans="1:21" ht="16.5" customHeight="1">
      <c r="A36" s="141" t="s">
        <v>328</v>
      </c>
      <c r="B36" s="163">
        <v>29</v>
      </c>
      <c r="C36" s="163">
        <v>1</v>
      </c>
      <c r="D36" s="159"/>
      <c r="E36" s="159">
        <f>F36+G36+H36+I36</f>
        <v>3.94</v>
      </c>
      <c r="F36" s="159">
        <v>0</v>
      </c>
      <c r="G36" s="159">
        <v>1</v>
      </c>
      <c r="H36" s="159">
        <v>0</v>
      </c>
      <c r="I36" s="159">
        <v>2.94</v>
      </c>
      <c r="J36" s="159">
        <v>2</v>
      </c>
      <c r="K36" s="159">
        <v>3.62</v>
      </c>
      <c r="L36" s="159">
        <f>E36+J36+K36</f>
        <v>9.559999999999999</v>
      </c>
      <c r="M36" s="163"/>
      <c r="N36" s="163"/>
      <c r="O36" s="163"/>
      <c r="P36" s="138"/>
      <c r="Q36" s="138"/>
      <c r="R36" s="138"/>
      <c r="S36" s="138"/>
      <c r="T36" s="138"/>
      <c r="U36" s="138">
        <f>N36+T36</f>
        <v>0</v>
      </c>
    </row>
    <row r="37" spans="1:21" ht="16.5" customHeight="1">
      <c r="A37" s="160" t="s">
        <v>329</v>
      </c>
      <c r="B37" s="161">
        <f aca="true" t="shared" si="8" ref="B37:U37">SUM(B36:B36)</f>
        <v>29</v>
      </c>
      <c r="C37" s="162">
        <f t="shared" si="8"/>
        <v>1</v>
      </c>
      <c r="D37" s="162">
        <f t="shared" si="8"/>
        <v>0</v>
      </c>
      <c r="E37" s="162">
        <f t="shared" si="8"/>
        <v>3.94</v>
      </c>
      <c r="F37" s="162">
        <f t="shared" si="8"/>
        <v>0</v>
      </c>
      <c r="G37" s="162">
        <f t="shared" si="8"/>
        <v>1</v>
      </c>
      <c r="H37" s="162">
        <f t="shared" si="8"/>
        <v>0</v>
      </c>
      <c r="I37" s="162">
        <f t="shared" si="8"/>
        <v>2.94</v>
      </c>
      <c r="J37" s="162">
        <f t="shared" si="8"/>
        <v>2</v>
      </c>
      <c r="K37" s="162">
        <f t="shared" si="8"/>
        <v>3.62</v>
      </c>
      <c r="L37" s="162">
        <f t="shared" si="8"/>
        <v>9.559999999999999</v>
      </c>
      <c r="M37" s="162">
        <f t="shared" si="8"/>
        <v>0</v>
      </c>
      <c r="N37" s="162">
        <f t="shared" si="8"/>
        <v>0</v>
      </c>
      <c r="O37" s="162">
        <f t="shared" si="8"/>
        <v>0</v>
      </c>
      <c r="P37" s="162">
        <f t="shared" si="8"/>
        <v>0</v>
      </c>
      <c r="Q37" s="162">
        <f t="shared" si="8"/>
        <v>0</v>
      </c>
      <c r="R37" s="162">
        <f t="shared" si="8"/>
        <v>0</v>
      </c>
      <c r="S37" s="162">
        <f t="shared" si="8"/>
        <v>0</v>
      </c>
      <c r="T37" s="162">
        <f t="shared" si="8"/>
        <v>0</v>
      </c>
      <c r="U37" s="162">
        <f t="shared" si="8"/>
        <v>0</v>
      </c>
    </row>
    <row r="38" spans="1:21" ht="13.5" customHeight="1">
      <c r="A38" s="141" t="s">
        <v>330</v>
      </c>
      <c r="B38" s="158">
        <v>379</v>
      </c>
      <c r="C38" s="159">
        <v>16</v>
      </c>
      <c r="D38" s="159"/>
      <c r="E38" s="159">
        <f aca="true" t="shared" si="9" ref="E38:E48">F38+G38+H38+I38</f>
        <v>51.05</v>
      </c>
      <c r="F38" s="159">
        <v>1.44</v>
      </c>
      <c r="G38" s="159">
        <v>7.01</v>
      </c>
      <c r="H38" s="159">
        <v>10.63</v>
      </c>
      <c r="I38" s="159">
        <v>31.97</v>
      </c>
      <c r="J38" s="159">
        <v>7.5</v>
      </c>
      <c r="K38" s="159">
        <v>11.5</v>
      </c>
      <c r="L38" s="159">
        <f aca="true" t="shared" si="10" ref="L38:L48">E38+J38+K38</f>
        <v>70.05</v>
      </c>
      <c r="M38" s="158"/>
      <c r="N38" s="158"/>
      <c r="O38" s="158"/>
      <c r="P38" s="138"/>
      <c r="Q38" s="138"/>
      <c r="R38" s="138"/>
      <c r="S38" s="138"/>
      <c r="T38" s="138"/>
      <c r="U38" s="138">
        <f aca="true" t="shared" si="11" ref="U38:U48">N38+T38</f>
        <v>0</v>
      </c>
    </row>
    <row r="39" spans="1:21" ht="13.5" customHeight="1">
      <c r="A39" s="165" t="s">
        <v>331</v>
      </c>
      <c r="B39" s="158">
        <v>301</v>
      </c>
      <c r="C39" s="159">
        <v>12</v>
      </c>
      <c r="D39" s="159"/>
      <c r="E39" s="159">
        <f t="shared" si="9"/>
        <v>22.04</v>
      </c>
      <c r="F39" s="159">
        <v>0.94</v>
      </c>
      <c r="G39" s="159">
        <v>1.44</v>
      </c>
      <c r="H39" s="159">
        <v>7.27</v>
      </c>
      <c r="I39" s="159">
        <v>12.39</v>
      </c>
      <c r="J39" s="159">
        <v>4.5</v>
      </c>
      <c r="K39" s="159">
        <v>9</v>
      </c>
      <c r="L39" s="159">
        <f t="shared" si="10"/>
        <v>35.54</v>
      </c>
      <c r="M39" s="158"/>
      <c r="N39" s="158"/>
      <c r="O39" s="158"/>
      <c r="P39" s="138"/>
      <c r="Q39" s="138"/>
      <c r="R39" s="138"/>
      <c r="S39" s="138"/>
      <c r="T39" s="138"/>
      <c r="U39" s="138">
        <f t="shared" si="11"/>
        <v>0</v>
      </c>
    </row>
    <row r="40" spans="1:21" ht="13.5" customHeight="1">
      <c r="A40" s="141" t="s">
        <v>236</v>
      </c>
      <c r="B40" s="158">
        <v>606</v>
      </c>
      <c r="C40" s="159">
        <v>0</v>
      </c>
      <c r="D40" s="159"/>
      <c r="E40" s="159">
        <f t="shared" si="9"/>
        <v>80.51</v>
      </c>
      <c r="F40" s="159">
        <v>1.28</v>
      </c>
      <c r="G40" s="159">
        <v>7.06</v>
      </c>
      <c r="H40" s="159">
        <v>22.53</v>
      </c>
      <c r="I40" s="159">
        <v>49.64</v>
      </c>
      <c r="J40" s="159">
        <v>6.75</v>
      </c>
      <c r="K40" s="159">
        <v>13.75</v>
      </c>
      <c r="L40" s="159">
        <f t="shared" si="10"/>
        <v>101.01</v>
      </c>
      <c r="M40" s="158"/>
      <c r="N40" s="158"/>
      <c r="O40" s="158"/>
      <c r="P40" s="138"/>
      <c r="Q40" s="138"/>
      <c r="R40" s="138"/>
      <c r="S40" s="138"/>
      <c r="T40" s="138"/>
      <c r="U40" s="138">
        <f t="shared" si="11"/>
        <v>0</v>
      </c>
    </row>
    <row r="41" spans="1:21" ht="13.5" customHeight="1">
      <c r="A41" s="141" t="s">
        <v>332</v>
      </c>
      <c r="B41" s="158">
        <v>589</v>
      </c>
      <c r="C41" s="159">
        <v>22</v>
      </c>
      <c r="D41" s="159"/>
      <c r="E41" s="159">
        <f t="shared" si="9"/>
        <v>68.27</v>
      </c>
      <c r="F41" s="159">
        <v>3.83</v>
      </c>
      <c r="G41" s="159">
        <v>17.35</v>
      </c>
      <c r="H41" s="159">
        <v>18.87</v>
      </c>
      <c r="I41" s="159">
        <v>28.22</v>
      </c>
      <c r="J41" s="159">
        <v>10.5</v>
      </c>
      <c r="K41" s="159">
        <v>11.5</v>
      </c>
      <c r="L41" s="159">
        <f t="shared" si="10"/>
        <v>90.27</v>
      </c>
      <c r="M41" s="158"/>
      <c r="N41" s="158"/>
      <c r="O41" s="158"/>
      <c r="P41" s="138"/>
      <c r="Q41" s="138"/>
      <c r="R41" s="138"/>
      <c r="S41" s="138"/>
      <c r="T41" s="138"/>
      <c r="U41" s="138">
        <f t="shared" si="11"/>
        <v>0</v>
      </c>
    </row>
    <row r="42" spans="1:21" ht="13.5" customHeight="1">
      <c r="A42" s="141" t="s">
        <v>238</v>
      </c>
      <c r="B42" s="158">
        <v>407</v>
      </c>
      <c r="C42" s="159">
        <v>16</v>
      </c>
      <c r="D42" s="159"/>
      <c r="E42" s="159">
        <f t="shared" si="9"/>
        <v>45.53</v>
      </c>
      <c r="F42" s="159">
        <v>1.03</v>
      </c>
      <c r="G42" s="159">
        <v>7.82</v>
      </c>
      <c r="H42" s="159">
        <v>14.91</v>
      </c>
      <c r="I42" s="159">
        <v>21.77</v>
      </c>
      <c r="J42" s="159">
        <v>7.5</v>
      </c>
      <c r="K42" s="159">
        <v>8.25</v>
      </c>
      <c r="L42" s="159">
        <f t="shared" si="10"/>
        <v>61.28</v>
      </c>
      <c r="M42" s="158"/>
      <c r="N42" s="158"/>
      <c r="O42" s="158"/>
      <c r="P42" s="138"/>
      <c r="Q42" s="138"/>
      <c r="R42" s="138"/>
      <c r="S42" s="138"/>
      <c r="T42" s="138"/>
      <c r="U42" s="138">
        <f t="shared" si="11"/>
        <v>0</v>
      </c>
    </row>
    <row r="43" spans="1:21" ht="13.5" customHeight="1">
      <c r="A43" s="141" t="s">
        <v>232</v>
      </c>
      <c r="B43" s="163">
        <v>246</v>
      </c>
      <c r="C43" s="163">
        <v>9</v>
      </c>
      <c r="D43" s="159"/>
      <c r="E43" s="159">
        <f t="shared" si="9"/>
        <v>30.8</v>
      </c>
      <c r="F43" s="159">
        <v>0.56</v>
      </c>
      <c r="G43" s="159">
        <v>1.68</v>
      </c>
      <c r="H43" s="159">
        <v>5.64</v>
      </c>
      <c r="I43" s="159">
        <v>22.92</v>
      </c>
      <c r="J43" s="159">
        <v>6</v>
      </c>
      <c r="K43" s="159">
        <v>4.24</v>
      </c>
      <c r="L43" s="159">
        <f t="shared" si="10"/>
        <v>41.04</v>
      </c>
      <c r="M43" s="158"/>
      <c r="N43" s="158"/>
      <c r="O43" s="158"/>
      <c r="P43" s="138"/>
      <c r="Q43" s="138"/>
      <c r="R43" s="138"/>
      <c r="S43" s="138"/>
      <c r="T43" s="138"/>
      <c r="U43" s="138">
        <f t="shared" si="11"/>
        <v>0</v>
      </c>
    </row>
    <row r="44" spans="1:21" ht="13.5" customHeight="1">
      <c r="A44" s="141" t="s">
        <v>239</v>
      </c>
      <c r="B44" s="158">
        <v>240</v>
      </c>
      <c r="C44" s="159">
        <v>10</v>
      </c>
      <c r="D44" s="159"/>
      <c r="E44" s="159">
        <f t="shared" si="9"/>
        <v>24.5</v>
      </c>
      <c r="F44" s="159">
        <v>0.79</v>
      </c>
      <c r="G44" s="159">
        <v>2.28</v>
      </c>
      <c r="H44" s="159">
        <v>10.23</v>
      </c>
      <c r="I44" s="159">
        <v>11.2</v>
      </c>
      <c r="J44" s="159">
        <v>4.2</v>
      </c>
      <c r="K44" s="159">
        <v>10</v>
      </c>
      <c r="L44" s="159">
        <f t="shared" si="10"/>
        <v>38.7</v>
      </c>
      <c r="M44" s="158"/>
      <c r="N44" s="158"/>
      <c r="O44" s="158"/>
      <c r="P44" s="138"/>
      <c r="Q44" s="138"/>
      <c r="R44" s="138"/>
      <c r="S44" s="138"/>
      <c r="T44" s="138"/>
      <c r="U44" s="138">
        <f t="shared" si="11"/>
        <v>0</v>
      </c>
    </row>
    <row r="45" spans="1:21" ht="13.5" customHeight="1">
      <c r="A45" s="141" t="s">
        <v>240</v>
      </c>
      <c r="B45" s="163">
        <v>187</v>
      </c>
      <c r="C45" s="163">
        <v>8</v>
      </c>
      <c r="D45" s="159"/>
      <c r="E45" s="159">
        <f t="shared" si="9"/>
        <v>19.79</v>
      </c>
      <c r="F45" s="159">
        <v>1.62</v>
      </c>
      <c r="G45" s="159">
        <v>3.46</v>
      </c>
      <c r="H45" s="159">
        <v>4.22</v>
      </c>
      <c r="I45" s="159">
        <v>10.49</v>
      </c>
      <c r="J45" s="159">
        <v>3.75</v>
      </c>
      <c r="K45" s="159">
        <v>6</v>
      </c>
      <c r="L45" s="159">
        <f t="shared" si="10"/>
        <v>29.54</v>
      </c>
      <c r="M45" s="158"/>
      <c r="N45" s="158"/>
      <c r="O45" s="158"/>
      <c r="P45" s="138"/>
      <c r="Q45" s="138"/>
      <c r="R45" s="138"/>
      <c r="S45" s="138"/>
      <c r="T45" s="138"/>
      <c r="U45" s="138">
        <f t="shared" si="11"/>
        <v>0</v>
      </c>
    </row>
    <row r="46" spans="1:21" ht="13.5" customHeight="1">
      <c r="A46" s="141" t="s">
        <v>241</v>
      </c>
      <c r="B46" s="158">
        <v>314</v>
      </c>
      <c r="C46" s="159">
        <v>14</v>
      </c>
      <c r="D46" s="159"/>
      <c r="E46" s="159">
        <f t="shared" si="9"/>
        <v>36.44</v>
      </c>
      <c r="F46" s="159">
        <v>1.42</v>
      </c>
      <c r="G46" s="159">
        <v>5.58</v>
      </c>
      <c r="H46" s="159">
        <v>14.32</v>
      </c>
      <c r="I46" s="159">
        <v>15.12</v>
      </c>
      <c r="J46" s="159">
        <v>4.125</v>
      </c>
      <c r="K46" s="159">
        <v>10.21</v>
      </c>
      <c r="L46" s="159">
        <f t="shared" si="10"/>
        <v>50.775</v>
      </c>
      <c r="M46" s="158"/>
      <c r="N46" s="158"/>
      <c r="O46" s="158"/>
      <c r="P46" s="138"/>
      <c r="Q46" s="138"/>
      <c r="R46" s="138"/>
      <c r="S46" s="138"/>
      <c r="T46" s="138"/>
      <c r="U46" s="138">
        <f t="shared" si="11"/>
        <v>0</v>
      </c>
    </row>
    <row r="47" spans="1:21" s="133" customFormat="1" ht="13.5" customHeight="1">
      <c r="A47" s="141" t="s">
        <v>229</v>
      </c>
      <c r="B47" s="158">
        <v>61</v>
      </c>
      <c r="C47" s="159">
        <v>2</v>
      </c>
      <c r="D47" s="159"/>
      <c r="E47" s="159">
        <f t="shared" si="9"/>
        <v>2.73</v>
      </c>
      <c r="F47" s="159">
        <v>0</v>
      </c>
      <c r="G47" s="159">
        <v>0</v>
      </c>
      <c r="H47" s="159">
        <v>0.56</v>
      </c>
      <c r="I47" s="159">
        <v>2.17</v>
      </c>
      <c r="J47" s="159">
        <v>2.5</v>
      </c>
      <c r="K47" s="159">
        <v>3.75</v>
      </c>
      <c r="L47" s="159">
        <f t="shared" si="10"/>
        <v>8.98</v>
      </c>
      <c r="M47" s="158"/>
      <c r="N47" s="158"/>
      <c r="O47" s="158"/>
      <c r="P47" s="138"/>
      <c r="Q47" s="138"/>
      <c r="R47" s="138"/>
      <c r="S47" s="138"/>
      <c r="T47" s="138"/>
      <c r="U47" s="138">
        <f t="shared" si="11"/>
        <v>0</v>
      </c>
    </row>
    <row r="48" spans="1:21" ht="13.5" customHeight="1">
      <c r="A48" s="141" t="s">
        <v>242</v>
      </c>
      <c r="B48" s="158">
        <v>451</v>
      </c>
      <c r="C48" s="159">
        <v>16</v>
      </c>
      <c r="D48" s="159"/>
      <c r="E48" s="159">
        <f t="shared" si="9"/>
        <v>46.43</v>
      </c>
      <c r="F48" s="159">
        <v>2.4</v>
      </c>
      <c r="G48" s="159">
        <v>6.59</v>
      </c>
      <c r="H48" s="159">
        <v>19.51</v>
      </c>
      <c r="I48" s="159">
        <v>17.93</v>
      </c>
      <c r="J48" s="159">
        <v>5.5</v>
      </c>
      <c r="K48" s="159">
        <v>10.5</v>
      </c>
      <c r="L48" s="159">
        <f t="shared" si="10"/>
        <v>62.43</v>
      </c>
      <c r="M48" s="158"/>
      <c r="N48" s="158"/>
      <c r="O48" s="158"/>
      <c r="P48" s="138"/>
      <c r="Q48" s="138"/>
      <c r="R48" s="138"/>
      <c r="S48" s="138"/>
      <c r="T48" s="138"/>
      <c r="U48" s="138">
        <f t="shared" si="11"/>
        <v>0</v>
      </c>
    </row>
    <row r="49" spans="1:21" ht="16.5" customHeight="1">
      <c r="A49" s="160" t="s">
        <v>333</v>
      </c>
      <c r="B49" s="161">
        <f aca="true" t="shared" si="12" ref="B49:U49">SUM(B38:B48)</f>
        <v>3781</v>
      </c>
      <c r="C49" s="162">
        <f t="shared" si="12"/>
        <v>125</v>
      </c>
      <c r="D49" s="162">
        <f t="shared" si="12"/>
        <v>0</v>
      </c>
      <c r="E49" s="162">
        <f t="shared" si="12"/>
        <v>428.09000000000003</v>
      </c>
      <c r="F49" s="162">
        <f t="shared" si="12"/>
        <v>15.310000000000002</v>
      </c>
      <c r="G49" s="162">
        <f t="shared" si="12"/>
        <v>60.269999999999996</v>
      </c>
      <c r="H49" s="162">
        <f t="shared" si="12"/>
        <v>128.69</v>
      </c>
      <c r="I49" s="162">
        <f t="shared" si="12"/>
        <v>223.82000000000002</v>
      </c>
      <c r="J49" s="162">
        <f t="shared" si="12"/>
        <v>62.825</v>
      </c>
      <c r="K49" s="162">
        <f t="shared" si="12"/>
        <v>98.70000000000002</v>
      </c>
      <c r="L49" s="162">
        <f t="shared" si="12"/>
        <v>589.615</v>
      </c>
      <c r="M49" s="162">
        <f t="shared" si="12"/>
        <v>0</v>
      </c>
      <c r="N49" s="162">
        <f t="shared" si="12"/>
        <v>0</v>
      </c>
      <c r="O49" s="162">
        <f t="shared" si="12"/>
        <v>0</v>
      </c>
      <c r="P49" s="162">
        <f t="shared" si="12"/>
        <v>0</v>
      </c>
      <c r="Q49" s="162">
        <f t="shared" si="12"/>
        <v>0</v>
      </c>
      <c r="R49" s="162">
        <f t="shared" si="12"/>
        <v>0</v>
      </c>
      <c r="S49" s="162">
        <f t="shared" si="12"/>
        <v>0</v>
      </c>
      <c r="T49" s="162">
        <f t="shared" si="12"/>
        <v>0</v>
      </c>
      <c r="U49" s="162">
        <f t="shared" si="12"/>
        <v>0</v>
      </c>
    </row>
    <row r="50" spans="1:21" ht="16.5" customHeight="1">
      <c r="A50" s="160" t="s">
        <v>334</v>
      </c>
      <c r="B50" s="162">
        <v>342</v>
      </c>
      <c r="C50" s="162">
        <v>27</v>
      </c>
      <c r="D50" s="162"/>
      <c r="E50" s="162">
        <f>F50+G50+H50+I50</f>
        <v>62.290000000000006</v>
      </c>
      <c r="F50" s="162">
        <v>4.34</v>
      </c>
      <c r="G50" s="162">
        <v>8.66</v>
      </c>
      <c r="H50" s="162">
        <v>17.94</v>
      </c>
      <c r="I50" s="162">
        <v>31.35</v>
      </c>
      <c r="J50" s="162">
        <v>4</v>
      </c>
      <c r="K50" s="162">
        <v>9.75</v>
      </c>
      <c r="L50" s="162">
        <f>E50+J50+K50</f>
        <v>76.04</v>
      </c>
      <c r="M50" s="162"/>
      <c r="N50" s="162"/>
      <c r="O50" s="162"/>
      <c r="P50" s="169"/>
      <c r="Q50" s="169"/>
      <c r="R50" s="169"/>
      <c r="S50" s="169"/>
      <c r="T50" s="169"/>
      <c r="U50" s="138">
        <f>N50+T50</f>
        <v>0</v>
      </c>
    </row>
    <row r="51" spans="1:21" ht="10.5" customHeight="1">
      <c r="A51" s="165" t="s">
        <v>335</v>
      </c>
      <c r="B51" s="159">
        <v>28</v>
      </c>
      <c r="C51" s="159">
        <v>5</v>
      </c>
      <c r="D51" s="159"/>
      <c r="E51" s="159">
        <f>F51+G51+H51+I51</f>
        <v>16.15</v>
      </c>
      <c r="F51" s="159">
        <v>0</v>
      </c>
      <c r="G51" s="159">
        <v>1.7</v>
      </c>
      <c r="H51" s="159">
        <v>3.44</v>
      </c>
      <c r="I51" s="159">
        <v>11.01</v>
      </c>
      <c r="J51" s="159">
        <v>0</v>
      </c>
      <c r="K51" s="159">
        <v>0</v>
      </c>
      <c r="L51" s="159">
        <f>E51+J51+K51</f>
        <v>16.15</v>
      </c>
      <c r="M51" s="162"/>
      <c r="N51" s="162"/>
      <c r="O51" s="162"/>
      <c r="P51" s="169"/>
      <c r="Q51" s="169"/>
      <c r="R51" s="169"/>
      <c r="S51" s="169"/>
      <c r="T51" s="169"/>
      <c r="U51" s="138">
        <f>N51+T51</f>
        <v>0</v>
      </c>
    </row>
    <row r="52" spans="1:21" ht="10.5" customHeight="1">
      <c r="A52" s="165" t="s">
        <v>336</v>
      </c>
      <c r="B52" s="159">
        <v>18</v>
      </c>
      <c r="C52" s="159">
        <v>3</v>
      </c>
      <c r="D52" s="162"/>
      <c r="E52" s="159">
        <f>F52+G52+H52+I52</f>
        <v>12.51</v>
      </c>
      <c r="F52" s="159">
        <v>0.25</v>
      </c>
      <c r="G52" s="159">
        <v>3.05</v>
      </c>
      <c r="H52" s="159">
        <v>2.55</v>
      </c>
      <c r="I52" s="159">
        <v>6.66</v>
      </c>
      <c r="J52" s="159">
        <v>0.25</v>
      </c>
      <c r="K52" s="159">
        <v>1</v>
      </c>
      <c r="L52" s="159">
        <f>E52+J52+K52</f>
        <v>13.76</v>
      </c>
      <c r="M52" s="162"/>
      <c r="N52" s="162"/>
      <c r="O52" s="162"/>
      <c r="P52" s="169"/>
      <c r="Q52" s="169"/>
      <c r="R52" s="169"/>
      <c r="S52" s="169"/>
      <c r="T52" s="169">
        <v>0</v>
      </c>
      <c r="U52" s="138">
        <f>N52+T52</f>
        <v>0</v>
      </c>
    </row>
    <row r="53" spans="1:21" ht="10.5" customHeight="1">
      <c r="A53" s="165" t="s">
        <v>337</v>
      </c>
      <c r="B53" s="159">
        <v>40</v>
      </c>
      <c r="C53" s="159">
        <v>5</v>
      </c>
      <c r="D53" s="162"/>
      <c r="E53" s="159">
        <f>F53+G53+H53+I53</f>
        <v>14.13</v>
      </c>
      <c r="F53" s="159">
        <v>0.37</v>
      </c>
      <c r="G53" s="159">
        <v>2.74</v>
      </c>
      <c r="H53" s="159">
        <v>2.72</v>
      </c>
      <c r="I53" s="159">
        <v>8.3</v>
      </c>
      <c r="J53" s="159">
        <v>2.25</v>
      </c>
      <c r="K53" s="159">
        <v>4.5</v>
      </c>
      <c r="L53" s="159">
        <f>E53+J53+K53</f>
        <v>20.880000000000003</v>
      </c>
      <c r="M53" s="162"/>
      <c r="N53" s="162"/>
      <c r="O53" s="162"/>
      <c r="P53" s="169"/>
      <c r="Q53" s="169"/>
      <c r="R53" s="169"/>
      <c r="S53" s="169"/>
      <c r="T53" s="169"/>
      <c r="U53" s="138">
        <f>N53+T53</f>
        <v>0</v>
      </c>
    </row>
    <row r="54" spans="1:21" ht="12" customHeight="1">
      <c r="A54" s="160" t="s">
        <v>338</v>
      </c>
      <c r="B54" s="162">
        <f aca="true" t="shared" si="13" ref="B54:U54">SUM(B51:B53)</f>
        <v>86</v>
      </c>
      <c r="C54" s="162">
        <f t="shared" si="13"/>
        <v>13</v>
      </c>
      <c r="D54" s="162">
        <f t="shared" si="13"/>
        <v>0</v>
      </c>
      <c r="E54" s="162">
        <f t="shared" si="13"/>
        <v>42.79</v>
      </c>
      <c r="F54" s="162">
        <f t="shared" si="13"/>
        <v>0.62</v>
      </c>
      <c r="G54" s="162">
        <f t="shared" si="13"/>
        <v>7.49</v>
      </c>
      <c r="H54" s="162">
        <f t="shared" si="13"/>
        <v>8.71</v>
      </c>
      <c r="I54" s="162">
        <f t="shared" si="13"/>
        <v>25.970000000000002</v>
      </c>
      <c r="J54" s="162">
        <f t="shared" si="13"/>
        <v>2.5</v>
      </c>
      <c r="K54" s="162">
        <f t="shared" si="13"/>
        <v>5.5</v>
      </c>
      <c r="L54" s="162">
        <f t="shared" si="13"/>
        <v>50.79</v>
      </c>
      <c r="M54" s="162">
        <f t="shared" si="13"/>
        <v>0</v>
      </c>
      <c r="N54" s="162">
        <f t="shared" si="13"/>
        <v>0</v>
      </c>
      <c r="O54" s="162">
        <f t="shared" si="13"/>
        <v>0</v>
      </c>
      <c r="P54" s="162">
        <f t="shared" si="13"/>
        <v>0</v>
      </c>
      <c r="Q54" s="162">
        <f t="shared" si="13"/>
        <v>0</v>
      </c>
      <c r="R54" s="162">
        <f t="shared" si="13"/>
        <v>0</v>
      </c>
      <c r="S54" s="162">
        <f t="shared" si="13"/>
        <v>0</v>
      </c>
      <c r="T54" s="162">
        <f t="shared" si="13"/>
        <v>0</v>
      </c>
      <c r="U54" s="162">
        <f t="shared" si="13"/>
        <v>0</v>
      </c>
    </row>
    <row r="55" spans="1:21" ht="12.75" customHeight="1">
      <c r="A55" s="166" t="s">
        <v>339</v>
      </c>
      <c r="B55" s="161"/>
      <c r="C55" s="162">
        <v>0</v>
      </c>
      <c r="D55" s="162"/>
      <c r="E55" s="162">
        <f>F55+G55+H55+I55</f>
        <v>2.2199999999999998</v>
      </c>
      <c r="F55" s="162">
        <v>0</v>
      </c>
      <c r="G55" s="162">
        <v>0.4</v>
      </c>
      <c r="H55" s="162">
        <v>0.86</v>
      </c>
      <c r="I55" s="162">
        <v>0.96</v>
      </c>
      <c r="J55" s="162">
        <v>0</v>
      </c>
      <c r="K55" s="162">
        <v>0</v>
      </c>
      <c r="L55" s="162">
        <f>E55+J55+K55</f>
        <v>2.2199999999999998</v>
      </c>
      <c r="M55" s="161"/>
      <c r="N55" s="161"/>
      <c r="O55" s="161"/>
      <c r="P55" s="169"/>
      <c r="Q55" s="169"/>
      <c r="R55" s="169"/>
      <c r="S55" s="169"/>
      <c r="T55" s="169">
        <v>0</v>
      </c>
      <c r="U55" s="169">
        <f>N55+T55</f>
        <v>0</v>
      </c>
    </row>
    <row r="56" spans="1:21" ht="21.75">
      <c r="A56" s="166" t="s">
        <v>340</v>
      </c>
      <c r="B56" s="161">
        <v>0</v>
      </c>
      <c r="C56" s="162">
        <v>0</v>
      </c>
      <c r="D56" s="162"/>
      <c r="E56" s="162">
        <f>F56+G56+H56+I56</f>
        <v>8</v>
      </c>
      <c r="F56" s="162">
        <v>0</v>
      </c>
      <c r="G56" s="162">
        <v>0</v>
      </c>
      <c r="H56" s="162">
        <v>0</v>
      </c>
      <c r="I56" s="162">
        <v>8</v>
      </c>
      <c r="J56" s="162">
        <v>2</v>
      </c>
      <c r="K56" s="162">
        <v>0</v>
      </c>
      <c r="L56" s="162">
        <f>E56+J56+K56</f>
        <v>10</v>
      </c>
      <c r="M56" s="161"/>
      <c r="N56" s="161"/>
      <c r="O56" s="161"/>
      <c r="P56" s="169"/>
      <c r="Q56" s="169"/>
      <c r="R56" s="169"/>
      <c r="S56" s="169"/>
      <c r="T56" s="169">
        <v>0</v>
      </c>
      <c r="U56" s="169">
        <f>N56+T56</f>
        <v>0</v>
      </c>
    </row>
    <row r="57" spans="1:21" s="133" customFormat="1" ht="13.5" customHeight="1">
      <c r="A57" s="160" t="s">
        <v>341</v>
      </c>
      <c r="B57" s="161">
        <v>0</v>
      </c>
      <c r="C57" s="162">
        <v>0</v>
      </c>
      <c r="D57" s="162"/>
      <c r="E57" s="162">
        <f>F57+G57+H57+I57</f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1</v>
      </c>
      <c r="K57" s="162">
        <v>2</v>
      </c>
      <c r="L57" s="162">
        <f>E57+J57+K57</f>
        <v>3</v>
      </c>
      <c r="M57" s="161"/>
      <c r="N57" s="161"/>
      <c r="O57" s="161"/>
      <c r="P57" s="169"/>
      <c r="Q57" s="169"/>
      <c r="R57" s="169"/>
      <c r="S57" s="169"/>
      <c r="T57" s="169">
        <v>0</v>
      </c>
      <c r="U57" s="169">
        <f>N57+T57</f>
        <v>0</v>
      </c>
    </row>
    <row r="58" spans="1:21" s="134" customFormat="1" ht="16.5" customHeight="1">
      <c r="A58" s="166" t="s">
        <v>342</v>
      </c>
      <c r="B58" s="192">
        <f aca="true" t="shared" si="14" ref="B58:L58">B11+B18+B32+B35+B37+B49+B50+B54+B55+B56+B57+B13+B14</f>
        <v>9502</v>
      </c>
      <c r="C58" s="192">
        <f t="shared" si="14"/>
        <v>394</v>
      </c>
      <c r="D58" s="192" t="e">
        <f t="shared" si="14"/>
        <v>#REF!</v>
      </c>
      <c r="E58" s="192">
        <f t="shared" si="14"/>
        <v>1224.593</v>
      </c>
      <c r="F58" s="192">
        <f t="shared" si="14"/>
        <v>31.243000000000002</v>
      </c>
      <c r="G58" s="192">
        <f t="shared" si="14"/>
        <v>171.11</v>
      </c>
      <c r="H58" s="192">
        <f t="shared" si="14"/>
        <v>325.23999999999995</v>
      </c>
      <c r="I58" s="192">
        <f t="shared" si="14"/>
        <v>697</v>
      </c>
      <c r="J58" s="192">
        <f t="shared" si="14"/>
        <v>146.905</v>
      </c>
      <c r="K58" s="192">
        <f t="shared" si="14"/>
        <v>263.91</v>
      </c>
      <c r="L58" s="192">
        <f t="shared" si="14"/>
        <v>1635.4079999999997</v>
      </c>
      <c r="M58" s="192" t="e">
        <f>M11+M18+M32+M35+M37+M49+M50+M54+M55+M56+M57+#REF!</f>
        <v>#REF!</v>
      </c>
      <c r="N58" s="192" t="e">
        <f>N11+N18+N32+N35+N37+N49+N50+N54+N55+N56+N57+#REF!</f>
        <v>#REF!</v>
      </c>
      <c r="O58" s="192" t="e">
        <f>O11+O18+O32+O35+O37+O49+O50+O54+O55+O56+O57+#REF!</f>
        <v>#REF!</v>
      </c>
      <c r="P58" s="192" t="e">
        <f>P11+P18+P32+P35+P37+P49+P50+P54+P55+P56+P57+#REF!</f>
        <v>#REF!</v>
      </c>
      <c r="Q58" s="192" t="e">
        <f>Q11+Q18+Q32+Q35+Q37+Q49+Q50+Q54+Q55+Q56+Q57+#REF!</f>
        <v>#REF!</v>
      </c>
      <c r="R58" s="192" t="e">
        <f>R11+R18+R32+R35+R37+R49+R50+R54+R55+R56+R57+#REF!</f>
        <v>#REF!</v>
      </c>
      <c r="S58" s="192" t="e">
        <f>S11+S18+S32+S35+S37+S49+S50+S54+S55+S56+S57+#REF!</f>
        <v>#REF!</v>
      </c>
      <c r="T58" s="192" t="e">
        <f>T11+T18+T32+T35+T37+T49+T50+T54+T55+T56+T57+#REF!</f>
        <v>#REF!</v>
      </c>
      <c r="U58" s="192" t="e">
        <f>U11+U18+U32+U35+U37+U49+U50+U54+U55+U56+U57+#REF!</f>
        <v>#REF!</v>
      </c>
    </row>
    <row r="59" spans="1:21" ht="25.5" customHeight="1">
      <c r="A59" s="166" t="s">
        <v>343</v>
      </c>
      <c r="B59" s="168">
        <v>122</v>
      </c>
      <c r="C59" s="168"/>
      <c r="D59" s="168"/>
      <c r="E59" s="159">
        <f>F59+G59+H59+I59</f>
        <v>3.9</v>
      </c>
      <c r="F59" s="168">
        <v>0</v>
      </c>
      <c r="G59" s="168">
        <v>0.26</v>
      </c>
      <c r="H59" s="168">
        <v>1.53</v>
      </c>
      <c r="I59" s="168">
        <v>2.11</v>
      </c>
      <c r="J59" s="168">
        <v>0</v>
      </c>
      <c r="K59" s="168">
        <v>0</v>
      </c>
      <c r="L59" s="159">
        <f>E59+J59+K59</f>
        <v>3.9</v>
      </c>
      <c r="M59" s="168"/>
      <c r="N59" s="168"/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38">
        <f>N59+T59</f>
        <v>0</v>
      </c>
    </row>
    <row r="60" spans="1:21" ht="16.5" customHeight="1">
      <c r="A60" s="165" t="s">
        <v>263</v>
      </c>
      <c r="B60" s="170">
        <v>10</v>
      </c>
      <c r="C60" s="159">
        <v>2</v>
      </c>
      <c r="D60" s="159"/>
      <c r="E60" s="159">
        <f>F60+G60+H60+I60</f>
        <v>4.79</v>
      </c>
      <c r="F60" s="159">
        <v>0</v>
      </c>
      <c r="G60" s="159">
        <v>2.87</v>
      </c>
      <c r="H60" s="159">
        <v>1.92</v>
      </c>
      <c r="I60" s="159">
        <v>0</v>
      </c>
      <c r="J60" s="159">
        <v>2</v>
      </c>
      <c r="K60" s="159">
        <v>3.5</v>
      </c>
      <c r="L60" s="159">
        <f>E60+J60+K60</f>
        <v>10.29</v>
      </c>
      <c r="M60" s="158"/>
      <c r="N60" s="158"/>
      <c r="O60" s="15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f>N60+T60</f>
        <v>0</v>
      </c>
    </row>
    <row r="61" spans="1:21" ht="16.5" customHeight="1">
      <c r="A61" s="165" t="s">
        <v>264</v>
      </c>
      <c r="B61" s="170">
        <v>9</v>
      </c>
      <c r="C61" s="159">
        <v>1</v>
      </c>
      <c r="D61" s="159"/>
      <c r="E61" s="159">
        <f>F61+G61+H61+I61</f>
        <v>4.83</v>
      </c>
      <c r="F61" s="159">
        <v>0</v>
      </c>
      <c r="G61" s="159">
        <v>0</v>
      </c>
      <c r="H61" s="159">
        <v>1.79</v>
      </c>
      <c r="I61" s="159">
        <v>3.04</v>
      </c>
      <c r="J61" s="159">
        <v>0</v>
      </c>
      <c r="K61" s="159">
        <v>0</v>
      </c>
      <c r="L61" s="159">
        <f>E61+J61+K61</f>
        <v>4.83</v>
      </c>
      <c r="M61" s="158"/>
      <c r="N61" s="158"/>
      <c r="O61" s="15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  <c r="U61" s="138">
        <f>N61+T61</f>
        <v>0</v>
      </c>
    </row>
    <row r="62" spans="1:21" ht="16.5" customHeight="1">
      <c r="A62" s="160" t="s">
        <v>344</v>
      </c>
      <c r="B62" s="168">
        <f aca="true" t="shared" si="15" ref="B62:U62">B60+B61</f>
        <v>19</v>
      </c>
      <c r="C62" s="168">
        <f t="shared" si="15"/>
        <v>3</v>
      </c>
      <c r="D62" s="168">
        <f t="shared" si="15"/>
        <v>0</v>
      </c>
      <c r="E62" s="168">
        <f t="shared" si="15"/>
        <v>9.620000000000001</v>
      </c>
      <c r="F62" s="168">
        <f t="shared" si="15"/>
        <v>0</v>
      </c>
      <c r="G62" s="168">
        <f t="shared" si="15"/>
        <v>2.87</v>
      </c>
      <c r="H62" s="168">
        <f t="shared" si="15"/>
        <v>3.71</v>
      </c>
      <c r="I62" s="168">
        <f t="shared" si="15"/>
        <v>3.04</v>
      </c>
      <c r="J62" s="168">
        <f t="shared" si="15"/>
        <v>2</v>
      </c>
      <c r="K62" s="168">
        <f t="shared" si="15"/>
        <v>3.5</v>
      </c>
      <c r="L62" s="168">
        <f t="shared" si="15"/>
        <v>15.12</v>
      </c>
      <c r="M62" s="168">
        <f t="shared" si="15"/>
        <v>0</v>
      </c>
      <c r="N62" s="168">
        <f t="shared" si="15"/>
        <v>0</v>
      </c>
      <c r="O62" s="168">
        <f t="shared" si="15"/>
        <v>0</v>
      </c>
      <c r="P62" s="168">
        <f t="shared" si="15"/>
        <v>0</v>
      </c>
      <c r="Q62" s="168">
        <f t="shared" si="15"/>
        <v>0</v>
      </c>
      <c r="R62" s="168">
        <f t="shared" si="15"/>
        <v>0</v>
      </c>
      <c r="S62" s="168">
        <f t="shared" si="15"/>
        <v>0</v>
      </c>
      <c r="T62" s="168">
        <f t="shared" si="15"/>
        <v>0</v>
      </c>
      <c r="U62" s="168">
        <f t="shared" si="15"/>
        <v>0</v>
      </c>
    </row>
    <row r="63" spans="1:21" ht="16.5" customHeight="1">
      <c r="A63" s="165" t="s">
        <v>336</v>
      </c>
      <c r="B63" s="171">
        <v>16</v>
      </c>
      <c r="C63" s="171">
        <v>1</v>
      </c>
      <c r="D63" s="171"/>
      <c r="E63" s="159">
        <f>F63+G63+H63+I63</f>
        <v>1.11</v>
      </c>
      <c r="F63" s="171">
        <v>0.18</v>
      </c>
      <c r="G63" s="171">
        <v>0</v>
      </c>
      <c r="H63" s="171">
        <v>0.28</v>
      </c>
      <c r="I63" s="171">
        <v>0.65</v>
      </c>
      <c r="J63" s="171">
        <v>0</v>
      </c>
      <c r="K63" s="171">
        <v>0</v>
      </c>
      <c r="L63" s="159">
        <f>E63+J63+K63</f>
        <v>1.11</v>
      </c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6.5" customHeight="1">
      <c r="A64" s="172" t="s">
        <v>345</v>
      </c>
      <c r="B64" s="171">
        <v>6</v>
      </c>
      <c r="C64" s="171"/>
      <c r="D64" s="171"/>
      <c r="E64" s="159">
        <f>F64+G64+H64+I64</f>
        <v>0.30000000000000004</v>
      </c>
      <c r="F64" s="171">
        <v>0</v>
      </c>
      <c r="G64" s="171">
        <v>0.03</v>
      </c>
      <c r="H64" s="171">
        <v>0.07</v>
      </c>
      <c r="I64" s="171">
        <v>0.2</v>
      </c>
      <c r="J64" s="171">
        <v>0</v>
      </c>
      <c r="K64" s="171">
        <v>0</v>
      </c>
      <c r="L64" s="159">
        <f>E64+J64+K64</f>
        <v>0.30000000000000004</v>
      </c>
      <c r="M64" s="168"/>
      <c r="N64" s="168">
        <v>10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9">
        <f>N64+T64</f>
        <v>10</v>
      </c>
    </row>
    <row r="65" spans="1:21" ht="16.5" customHeight="1">
      <c r="A65" s="166" t="s">
        <v>346</v>
      </c>
      <c r="B65" s="168">
        <f aca="true" t="shared" si="16" ref="B65:L65">B63+B64</f>
        <v>22</v>
      </c>
      <c r="C65" s="168">
        <f t="shared" si="16"/>
        <v>1</v>
      </c>
      <c r="D65" s="168">
        <f t="shared" si="16"/>
        <v>0</v>
      </c>
      <c r="E65" s="168">
        <f t="shared" si="16"/>
        <v>1.4100000000000001</v>
      </c>
      <c r="F65" s="168">
        <f t="shared" si="16"/>
        <v>0.18</v>
      </c>
      <c r="G65" s="168">
        <f t="shared" si="16"/>
        <v>0.03</v>
      </c>
      <c r="H65" s="168">
        <f t="shared" si="16"/>
        <v>0.35000000000000003</v>
      </c>
      <c r="I65" s="168">
        <f t="shared" si="16"/>
        <v>0.8500000000000001</v>
      </c>
      <c r="J65" s="168">
        <f t="shared" si="16"/>
        <v>0</v>
      </c>
      <c r="K65" s="168">
        <f t="shared" si="16"/>
        <v>0</v>
      </c>
      <c r="L65" s="168">
        <f t="shared" si="16"/>
        <v>1.4100000000000001</v>
      </c>
      <c r="M65" s="168"/>
      <c r="N65" s="168"/>
      <c r="O65" s="168"/>
      <c r="P65" s="168"/>
      <c r="Q65" s="168"/>
      <c r="R65" s="168"/>
      <c r="S65" s="168"/>
      <c r="T65" s="168"/>
      <c r="U65" s="169"/>
    </row>
    <row r="66" spans="1:21" ht="16.5" customHeight="1">
      <c r="A66" s="165" t="s">
        <v>266</v>
      </c>
      <c r="B66" s="171">
        <v>5742</v>
      </c>
      <c r="C66" s="171"/>
      <c r="D66" s="171"/>
      <c r="E66" s="159">
        <f>F66+G66+H66+I66</f>
        <v>22.33</v>
      </c>
      <c r="F66" s="171">
        <v>0</v>
      </c>
      <c r="G66" s="171">
        <v>6.75</v>
      </c>
      <c r="H66" s="171">
        <v>0.83</v>
      </c>
      <c r="I66" s="171">
        <v>14.75</v>
      </c>
      <c r="J66" s="171">
        <v>3</v>
      </c>
      <c r="K66" s="171">
        <v>1.85</v>
      </c>
      <c r="L66" s="159">
        <f>E66+J66+K66</f>
        <v>27.18</v>
      </c>
      <c r="M66" s="171"/>
      <c r="N66" s="171"/>
      <c r="O66" s="171">
        <v>0</v>
      </c>
      <c r="P66" s="171">
        <v>0</v>
      </c>
      <c r="Q66" s="171">
        <v>0</v>
      </c>
      <c r="R66" s="171">
        <v>0</v>
      </c>
      <c r="S66" s="171">
        <v>0</v>
      </c>
      <c r="T66" s="171">
        <v>0</v>
      </c>
      <c r="U66" s="138">
        <f>N66+T66</f>
        <v>0</v>
      </c>
    </row>
    <row r="67" spans="1:21" ht="16.5" customHeight="1">
      <c r="A67" s="165" t="s">
        <v>267</v>
      </c>
      <c r="B67" s="171">
        <v>6690</v>
      </c>
      <c r="C67" s="159"/>
      <c r="D67" s="159"/>
      <c r="E67" s="159">
        <f>F67+G67+H67+I67</f>
        <v>20.34</v>
      </c>
      <c r="F67" s="159">
        <v>0</v>
      </c>
      <c r="G67" s="159">
        <v>2.23</v>
      </c>
      <c r="H67" s="159">
        <v>2.18</v>
      </c>
      <c r="I67" s="159">
        <v>15.93</v>
      </c>
      <c r="J67" s="159">
        <v>3</v>
      </c>
      <c r="K67" s="159">
        <v>1.75</v>
      </c>
      <c r="L67" s="159">
        <f>E67+J67+K67</f>
        <v>25.09</v>
      </c>
      <c r="M67" s="159"/>
      <c r="N67" s="159"/>
      <c r="O67" s="159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f>N67+T67</f>
        <v>0</v>
      </c>
    </row>
    <row r="68" spans="1:21" ht="16.5" customHeight="1">
      <c r="A68" s="165" t="s">
        <v>268</v>
      </c>
      <c r="B68" s="173">
        <v>2538</v>
      </c>
      <c r="C68" s="173"/>
      <c r="D68" s="171"/>
      <c r="E68" s="159">
        <f>F68+G68+H68+I68</f>
        <v>16.72</v>
      </c>
      <c r="F68" s="171">
        <v>0.5</v>
      </c>
      <c r="G68" s="171">
        <v>2.27</v>
      </c>
      <c r="H68" s="171">
        <v>2</v>
      </c>
      <c r="I68" s="171">
        <v>11.95</v>
      </c>
      <c r="J68" s="171">
        <v>2.46</v>
      </c>
      <c r="K68" s="171">
        <v>1.85</v>
      </c>
      <c r="L68" s="159">
        <f>E68+J68+K68</f>
        <v>21.03</v>
      </c>
      <c r="M68" s="170"/>
      <c r="N68" s="170"/>
      <c r="O68" s="170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f>N68+T68</f>
        <v>0</v>
      </c>
    </row>
    <row r="69" spans="1:21" ht="16.5" customHeight="1">
      <c r="A69" s="160" t="s">
        <v>347</v>
      </c>
      <c r="B69" s="161">
        <f aca="true" t="shared" si="17" ref="B69:U69">B66+B67+B68</f>
        <v>14970</v>
      </c>
      <c r="C69" s="161">
        <f t="shared" si="17"/>
        <v>0</v>
      </c>
      <c r="D69" s="161">
        <f t="shared" si="17"/>
        <v>0</v>
      </c>
      <c r="E69" s="161">
        <f t="shared" si="17"/>
        <v>59.39</v>
      </c>
      <c r="F69" s="162">
        <f t="shared" si="17"/>
        <v>0.5</v>
      </c>
      <c r="G69" s="162">
        <f t="shared" si="17"/>
        <v>11.25</v>
      </c>
      <c r="H69" s="162">
        <f t="shared" si="17"/>
        <v>5.01</v>
      </c>
      <c r="I69" s="162">
        <f t="shared" si="17"/>
        <v>42.629999999999995</v>
      </c>
      <c r="J69" s="162">
        <f t="shared" si="17"/>
        <v>8.46</v>
      </c>
      <c r="K69" s="162">
        <f t="shared" si="17"/>
        <v>5.45</v>
      </c>
      <c r="L69" s="162">
        <f t="shared" si="17"/>
        <v>73.3</v>
      </c>
      <c r="M69" s="162">
        <f t="shared" si="17"/>
        <v>0</v>
      </c>
      <c r="N69" s="162">
        <f t="shared" si="17"/>
        <v>0</v>
      </c>
      <c r="O69" s="162">
        <f t="shared" si="17"/>
        <v>0</v>
      </c>
      <c r="P69" s="162">
        <f t="shared" si="17"/>
        <v>0</v>
      </c>
      <c r="Q69" s="162">
        <f t="shared" si="17"/>
        <v>0</v>
      </c>
      <c r="R69" s="162">
        <f t="shared" si="17"/>
        <v>0</v>
      </c>
      <c r="S69" s="162">
        <f t="shared" si="17"/>
        <v>0</v>
      </c>
      <c r="T69" s="162">
        <f t="shared" si="17"/>
        <v>0</v>
      </c>
      <c r="U69" s="162">
        <f t="shared" si="17"/>
        <v>0</v>
      </c>
    </row>
    <row r="70" spans="1:21" ht="16.5" customHeight="1">
      <c r="A70" s="160" t="s">
        <v>348</v>
      </c>
      <c r="B70" s="161">
        <v>1359</v>
      </c>
      <c r="C70" s="162"/>
      <c r="D70" s="162"/>
      <c r="E70" s="159">
        <f>F70+G70+H70+I70</f>
        <v>26.75</v>
      </c>
      <c r="F70" s="162">
        <v>2.5</v>
      </c>
      <c r="G70" s="162">
        <v>10.42</v>
      </c>
      <c r="H70" s="162">
        <v>6.36</v>
      </c>
      <c r="I70" s="162">
        <v>7.47</v>
      </c>
      <c r="J70" s="162">
        <v>4.38</v>
      </c>
      <c r="K70" s="162">
        <v>8.5</v>
      </c>
      <c r="L70" s="162">
        <f>E70+J70+K70</f>
        <v>39.629999999999995</v>
      </c>
      <c r="M70" s="161"/>
      <c r="N70" s="161"/>
      <c r="O70" s="161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f>N70+T70</f>
        <v>0</v>
      </c>
    </row>
    <row r="71" spans="1:21" ht="16.5" customHeight="1">
      <c r="A71" s="165" t="s">
        <v>222</v>
      </c>
      <c r="B71" s="113">
        <v>142</v>
      </c>
      <c r="C71" s="113">
        <v>5</v>
      </c>
      <c r="D71" s="113"/>
      <c r="E71" s="159">
        <f>F71+G71+H71+I71</f>
        <v>10.45</v>
      </c>
      <c r="F71" s="113">
        <v>0.63</v>
      </c>
      <c r="G71" s="113">
        <v>2.72</v>
      </c>
      <c r="H71" s="113">
        <v>1.6</v>
      </c>
      <c r="I71" s="113">
        <v>5.5</v>
      </c>
      <c r="J71" s="113">
        <v>1.75</v>
      </c>
      <c r="K71" s="113">
        <v>10</v>
      </c>
      <c r="L71" s="159">
        <f>E71+J71+K71</f>
        <v>22.2</v>
      </c>
      <c r="M71" s="113"/>
      <c r="N71" s="113"/>
      <c r="O71" s="113">
        <v>0</v>
      </c>
      <c r="P71" s="113">
        <v>0</v>
      </c>
      <c r="Q71" s="113">
        <v>0</v>
      </c>
      <c r="R71" s="112">
        <v>0</v>
      </c>
      <c r="S71" s="113">
        <v>0</v>
      </c>
      <c r="T71" s="113">
        <v>0</v>
      </c>
      <c r="U71" s="138">
        <f>N71+T71</f>
        <v>0</v>
      </c>
    </row>
    <row r="72" spans="1:21" ht="16.5" customHeight="1">
      <c r="A72" s="165" t="s">
        <v>235</v>
      </c>
      <c r="B72" s="126">
        <v>110</v>
      </c>
      <c r="C72" s="126">
        <v>3</v>
      </c>
      <c r="D72" s="126"/>
      <c r="E72" s="159">
        <f>F72+G72+H72+I72</f>
        <v>6.13</v>
      </c>
      <c r="F72" s="138">
        <v>0</v>
      </c>
      <c r="G72" s="138">
        <v>1.33</v>
      </c>
      <c r="H72" s="138">
        <v>2.8</v>
      </c>
      <c r="I72" s="138">
        <v>2</v>
      </c>
      <c r="J72" s="138">
        <v>3</v>
      </c>
      <c r="K72" s="138">
        <v>11</v>
      </c>
      <c r="L72" s="159">
        <f>E72+J72+K72</f>
        <v>20.13</v>
      </c>
      <c r="M72" s="138"/>
      <c r="N72" s="138"/>
      <c r="O72" s="138">
        <v>0</v>
      </c>
      <c r="P72" s="138">
        <v>0</v>
      </c>
      <c r="Q72" s="138">
        <v>0</v>
      </c>
      <c r="R72" s="138">
        <v>0</v>
      </c>
      <c r="S72" s="138">
        <v>10</v>
      </c>
      <c r="T72" s="138">
        <v>0</v>
      </c>
      <c r="U72" s="138">
        <f>N72+T72</f>
        <v>0</v>
      </c>
    </row>
    <row r="73" spans="1:21" ht="16.5" customHeight="1">
      <c r="A73" s="165" t="s">
        <v>349</v>
      </c>
      <c r="B73" s="126"/>
      <c r="C73" s="126"/>
      <c r="D73" s="126"/>
      <c r="E73" s="159">
        <f>F73+G73+H73+I73</f>
        <v>0</v>
      </c>
      <c r="F73" s="138"/>
      <c r="G73" s="138"/>
      <c r="H73" s="138"/>
      <c r="I73" s="138"/>
      <c r="J73" s="138"/>
      <c r="K73" s="138"/>
      <c r="L73" s="159">
        <f>E73+J73+K73</f>
        <v>0</v>
      </c>
      <c r="M73" s="138"/>
      <c r="N73" s="138"/>
      <c r="O73" s="138"/>
      <c r="P73" s="138"/>
      <c r="Q73" s="138"/>
      <c r="R73" s="138"/>
      <c r="S73" s="138"/>
      <c r="T73" s="138"/>
      <c r="U73" s="138">
        <f>N73+T73</f>
        <v>0</v>
      </c>
    </row>
    <row r="74" spans="1:21" ht="16.5" customHeight="1">
      <c r="A74" s="160" t="s">
        <v>350</v>
      </c>
      <c r="B74" s="169">
        <f aca="true" t="shared" si="18" ref="B74:U74">SUM(B71:B73)</f>
        <v>252</v>
      </c>
      <c r="C74" s="169">
        <f t="shared" si="18"/>
        <v>8</v>
      </c>
      <c r="D74" s="169">
        <f t="shared" si="18"/>
        <v>0</v>
      </c>
      <c r="E74" s="169">
        <f t="shared" si="18"/>
        <v>16.58</v>
      </c>
      <c r="F74" s="169">
        <f t="shared" si="18"/>
        <v>0.63</v>
      </c>
      <c r="G74" s="169">
        <f t="shared" si="18"/>
        <v>4.050000000000001</v>
      </c>
      <c r="H74" s="169">
        <f t="shared" si="18"/>
        <v>4.4</v>
      </c>
      <c r="I74" s="169">
        <f t="shared" si="18"/>
        <v>7.5</v>
      </c>
      <c r="J74" s="169">
        <f t="shared" si="18"/>
        <v>4.75</v>
      </c>
      <c r="K74" s="169">
        <f t="shared" si="18"/>
        <v>21</v>
      </c>
      <c r="L74" s="169">
        <f t="shared" si="18"/>
        <v>42.33</v>
      </c>
      <c r="M74" s="169">
        <f t="shared" si="18"/>
        <v>0</v>
      </c>
      <c r="N74" s="169">
        <f t="shared" si="18"/>
        <v>0</v>
      </c>
      <c r="O74" s="169">
        <f t="shared" si="18"/>
        <v>0</v>
      </c>
      <c r="P74" s="169">
        <f t="shared" si="18"/>
        <v>0</v>
      </c>
      <c r="Q74" s="169">
        <f t="shared" si="18"/>
        <v>0</v>
      </c>
      <c r="R74" s="169">
        <f t="shared" si="18"/>
        <v>0</v>
      </c>
      <c r="S74" s="169">
        <f t="shared" si="18"/>
        <v>10</v>
      </c>
      <c r="T74" s="169">
        <f t="shared" si="18"/>
        <v>0</v>
      </c>
      <c r="U74" s="169">
        <f t="shared" si="18"/>
        <v>0</v>
      </c>
    </row>
    <row r="75" spans="1:21" ht="16.5" customHeight="1">
      <c r="A75" s="166" t="s">
        <v>351</v>
      </c>
      <c r="B75" s="142">
        <v>5900</v>
      </c>
      <c r="C75" s="142">
        <v>0</v>
      </c>
      <c r="D75" s="142"/>
      <c r="E75" s="162">
        <f>F75+G75+H75+I75</f>
        <v>1</v>
      </c>
      <c r="F75" s="169">
        <v>0</v>
      </c>
      <c r="G75" s="169">
        <v>0</v>
      </c>
      <c r="H75" s="169">
        <v>0</v>
      </c>
      <c r="I75" s="169">
        <v>1</v>
      </c>
      <c r="J75" s="169">
        <v>5.73</v>
      </c>
      <c r="K75" s="169">
        <v>2.75</v>
      </c>
      <c r="L75" s="162">
        <f>E75+J75+K75</f>
        <v>9.48</v>
      </c>
      <c r="M75" s="169"/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f>N75+T75</f>
        <v>0</v>
      </c>
    </row>
    <row r="76" spans="1:21" s="134" customFormat="1" ht="16.5" customHeight="1">
      <c r="A76" s="160" t="s">
        <v>352</v>
      </c>
      <c r="B76" s="195"/>
      <c r="C76" s="195">
        <f aca="true" t="shared" si="19" ref="C76:L76">C59+C62+C69+C70+C74+C75+C65</f>
        <v>12</v>
      </c>
      <c r="D76" s="195">
        <f t="shared" si="19"/>
        <v>0</v>
      </c>
      <c r="E76" s="195">
        <f t="shared" si="19"/>
        <v>118.64999999999999</v>
      </c>
      <c r="F76" s="195">
        <f t="shared" si="19"/>
        <v>3.81</v>
      </c>
      <c r="G76" s="195">
        <f t="shared" si="19"/>
        <v>28.88</v>
      </c>
      <c r="H76" s="195">
        <f t="shared" si="19"/>
        <v>21.36</v>
      </c>
      <c r="I76" s="195">
        <f t="shared" si="19"/>
        <v>64.6</v>
      </c>
      <c r="J76" s="195">
        <f t="shared" si="19"/>
        <v>25.32</v>
      </c>
      <c r="K76" s="195">
        <f t="shared" si="19"/>
        <v>41.2</v>
      </c>
      <c r="L76" s="195">
        <f t="shared" si="19"/>
        <v>185.16999999999996</v>
      </c>
      <c r="M76" s="195" t="e">
        <f>M59+M62+M69+M70+#REF!+M74+M75</f>
        <v>#REF!</v>
      </c>
      <c r="N76" s="195" t="e">
        <f>N59+N62+N69+N70+#REF!+N74+N75</f>
        <v>#REF!</v>
      </c>
      <c r="O76" s="195" t="e">
        <f>O59+O62+O69+O70+#REF!+O74+O75</f>
        <v>#REF!</v>
      </c>
      <c r="P76" s="195" t="e">
        <f>P59+P62+P69+P70+#REF!+P74+P75</f>
        <v>#REF!</v>
      </c>
      <c r="Q76" s="195" t="e">
        <f>Q59+Q62+Q69+Q70+#REF!+Q74+Q75</f>
        <v>#REF!</v>
      </c>
      <c r="R76" s="195" t="e">
        <f>R59+R62+R69+R70+#REF!+R74+R75</f>
        <v>#REF!</v>
      </c>
      <c r="S76" s="195" t="e">
        <f>S59+S62+S69+S70+#REF!+S74+S75</f>
        <v>#REF!</v>
      </c>
      <c r="T76" s="195" t="e">
        <f>T59+T62+T69+T70+#REF!+T74+T75</f>
        <v>#REF!</v>
      </c>
      <c r="U76" s="195" t="e">
        <f>U59+U62+U69+U70+#REF!+U74+U75</f>
        <v>#REF!</v>
      </c>
    </row>
    <row r="77" spans="1:21" s="135" customFormat="1" ht="16.5" customHeight="1">
      <c r="A77" s="160" t="s">
        <v>353</v>
      </c>
      <c r="B77" s="117">
        <f aca="true" t="shared" si="20" ref="B77:U77">B58+B76</f>
        <v>9502</v>
      </c>
      <c r="C77" s="117">
        <f t="shared" si="20"/>
        <v>406</v>
      </c>
      <c r="D77" s="117" t="e">
        <f t="shared" si="20"/>
        <v>#REF!</v>
      </c>
      <c r="E77" s="117">
        <f t="shared" si="20"/>
        <v>1343.2430000000002</v>
      </c>
      <c r="F77" s="117">
        <f t="shared" si="20"/>
        <v>35.053000000000004</v>
      </c>
      <c r="G77" s="117">
        <f t="shared" si="20"/>
        <v>199.99</v>
      </c>
      <c r="H77" s="117">
        <f t="shared" si="20"/>
        <v>346.59999999999997</v>
      </c>
      <c r="I77" s="117">
        <f t="shared" si="20"/>
        <v>761.6</v>
      </c>
      <c r="J77" s="117">
        <f t="shared" si="20"/>
        <v>172.225</v>
      </c>
      <c r="K77" s="117">
        <f t="shared" si="20"/>
        <v>305.11</v>
      </c>
      <c r="L77" s="117">
        <f t="shared" si="20"/>
        <v>1820.5779999999995</v>
      </c>
      <c r="M77" s="117" t="e">
        <f t="shared" si="20"/>
        <v>#REF!</v>
      </c>
      <c r="N77" s="117" t="e">
        <f t="shared" si="20"/>
        <v>#REF!</v>
      </c>
      <c r="O77" s="117" t="e">
        <f t="shared" si="20"/>
        <v>#REF!</v>
      </c>
      <c r="P77" s="117" t="e">
        <f t="shared" si="20"/>
        <v>#REF!</v>
      </c>
      <c r="Q77" s="117" t="e">
        <f t="shared" si="20"/>
        <v>#REF!</v>
      </c>
      <c r="R77" s="117" t="e">
        <f t="shared" si="20"/>
        <v>#REF!</v>
      </c>
      <c r="S77" s="117" t="e">
        <f t="shared" si="20"/>
        <v>#REF!</v>
      </c>
      <c r="T77" s="117" t="e">
        <f t="shared" si="20"/>
        <v>#REF!</v>
      </c>
      <c r="U77" s="117" t="e">
        <f t="shared" si="20"/>
        <v>#REF!</v>
      </c>
    </row>
    <row r="79" ht="11.25">
      <c r="B79" s="174"/>
    </row>
    <row r="82" ht="11.25">
      <c r="K82" s="174"/>
    </row>
  </sheetData>
  <mergeCells count="7">
    <mergeCell ref="B6:B7"/>
    <mergeCell ref="A5:A7"/>
    <mergeCell ref="A2:L3"/>
    <mergeCell ref="O5:T5"/>
    <mergeCell ref="E6:I6"/>
    <mergeCell ref="N6:S6"/>
    <mergeCell ref="C6:C7"/>
  </mergeCells>
  <printOptions/>
  <pageMargins left="0.56" right="0.1968503937007874" top="0.57" bottom="0.53" header="0.46" footer="0.4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" sqref="R1"/>
    </sheetView>
  </sheetViews>
  <sheetFormatPr defaultColWidth="9.00390625" defaultRowHeight="12.75"/>
  <cols>
    <col min="1" max="1" width="19.375" style="197" customWidth="1"/>
    <col min="2" max="2" width="7.625" style="197" customWidth="1"/>
    <col min="3" max="3" width="10.375" style="197" customWidth="1"/>
    <col min="4" max="4" width="8.75390625" style="197" bestFit="1" customWidth="1"/>
    <col min="5" max="5" width="9.125" style="197" customWidth="1"/>
    <col min="6" max="6" width="8.75390625" style="197" bestFit="1" customWidth="1"/>
    <col min="7" max="8" width="7.875" style="197" bestFit="1" customWidth="1"/>
    <col min="9" max="9" width="6.625" style="197" bestFit="1" customWidth="1"/>
    <col min="10" max="10" width="7.875" style="197" customWidth="1"/>
    <col min="11" max="11" width="5.75390625" style="198" bestFit="1" customWidth="1"/>
    <col min="12" max="12" width="7.875" style="197" bestFit="1" customWidth="1"/>
    <col min="13" max="13" width="5.75390625" style="197" bestFit="1" customWidth="1"/>
    <col min="14" max="14" width="8.625" style="198" bestFit="1" customWidth="1"/>
    <col min="15" max="15" width="5.75390625" style="197" bestFit="1" customWidth="1"/>
    <col min="16" max="16" width="8.625" style="197" bestFit="1" customWidth="1"/>
    <col min="17" max="17" width="4.875" style="197" bestFit="1" customWidth="1"/>
    <col min="18" max="18" width="8.625" style="197" bestFit="1" customWidth="1"/>
    <col min="19" max="16384" width="9.125" style="197" customWidth="1"/>
  </cols>
  <sheetData>
    <row r="1" ht="11.25">
      <c r="R1" s="86" t="s">
        <v>397</v>
      </c>
    </row>
    <row r="2" spans="1:18" ht="18">
      <c r="A2" s="223" t="s">
        <v>398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ht="6" customHeight="1">
      <c r="A3" s="215"/>
    </row>
    <row r="4" spans="1:18" ht="12.75" customHeight="1">
      <c r="A4" s="199" t="s">
        <v>200</v>
      </c>
      <c r="B4" s="200" t="s">
        <v>357</v>
      </c>
      <c r="C4" s="149" t="s">
        <v>202</v>
      </c>
      <c r="D4" s="201" t="s">
        <v>203</v>
      </c>
      <c r="E4" s="202"/>
      <c r="F4" s="220" t="s">
        <v>199</v>
      </c>
      <c r="G4" s="221"/>
      <c r="H4" s="221"/>
      <c r="I4" s="221"/>
      <c r="J4" s="221"/>
      <c r="K4" s="221"/>
      <c r="L4" s="221"/>
      <c r="M4" s="203">
        <v>80146</v>
      </c>
      <c r="N4" s="203"/>
      <c r="O4" s="203">
        <v>80195</v>
      </c>
      <c r="P4" s="203"/>
      <c r="Q4" s="203">
        <v>90019</v>
      </c>
      <c r="R4" s="203"/>
    </row>
    <row r="5" spans="1:18" ht="21" customHeight="1">
      <c r="A5" s="204"/>
      <c r="B5" s="205"/>
      <c r="C5" s="150"/>
      <c r="D5" s="206" t="s">
        <v>208</v>
      </c>
      <c r="E5" s="206" t="s">
        <v>209</v>
      </c>
      <c r="F5" s="216" t="s">
        <v>204</v>
      </c>
      <c r="G5" s="216" t="s">
        <v>7</v>
      </c>
      <c r="H5" s="216" t="s">
        <v>8</v>
      </c>
      <c r="I5" s="216" t="s">
        <v>9</v>
      </c>
      <c r="J5" s="216" t="s">
        <v>10</v>
      </c>
      <c r="K5" s="216" t="s">
        <v>11</v>
      </c>
      <c r="L5" s="216" t="s">
        <v>12</v>
      </c>
      <c r="M5" s="219" t="s">
        <v>208</v>
      </c>
      <c r="N5" s="222" t="s">
        <v>209</v>
      </c>
      <c r="O5" s="208" t="s">
        <v>208</v>
      </c>
      <c r="P5" s="207" t="s">
        <v>209</v>
      </c>
      <c r="Q5" s="208" t="s">
        <v>208</v>
      </c>
      <c r="R5" s="207" t="s">
        <v>209</v>
      </c>
    </row>
    <row r="6" spans="1:18" s="198" customFormat="1" ht="13.5" customHeight="1">
      <c r="A6" s="209" t="s">
        <v>358</v>
      </c>
      <c r="B6" s="217">
        <v>76.8</v>
      </c>
      <c r="C6" s="210">
        <f aca="true" t="shared" si="0" ref="C6:C43">E6/B6/6</f>
        <v>765.9487413194444</v>
      </c>
      <c r="D6" s="211">
        <f>643927+30000</f>
        <v>673927</v>
      </c>
      <c r="E6" s="211">
        <v>352949.18</v>
      </c>
      <c r="F6" s="211">
        <v>223267.26</v>
      </c>
      <c r="G6" s="211">
        <v>32010.78</v>
      </c>
      <c r="H6" s="211">
        <v>42961.64</v>
      </c>
      <c r="I6" s="211">
        <v>5133.3</v>
      </c>
      <c r="J6" s="211">
        <v>18206.6</v>
      </c>
      <c r="K6" s="211">
        <v>0</v>
      </c>
      <c r="L6" s="211">
        <v>20300</v>
      </c>
      <c r="M6" s="211">
        <v>1860</v>
      </c>
      <c r="N6" s="211">
        <v>1075</v>
      </c>
      <c r="O6" s="211">
        <v>0</v>
      </c>
      <c r="P6" s="211">
        <v>0</v>
      </c>
      <c r="Q6" s="211">
        <v>0</v>
      </c>
      <c r="R6" s="211">
        <v>0</v>
      </c>
    </row>
    <row r="7" spans="1:18" s="198" customFormat="1" ht="13.5" customHeight="1">
      <c r="A7" s="209" t="s">
        <v>359</v>
      </c>
      <c r="B7" s="217">
        <v>114</v>
      </c>
      <c r="C7" s="210">
        <f t="shared" si="0"/>
        <v>639.2116520467837</v>
      </c>
      <c r="D7" s="211">
        <f>887150+40000</f>
        <v>927150</v>
      </c>
      <c r="E7" s="211">
        <v>437220.77</v>
      </c>
      <c r="F7" s="211">
        <v>267066.22</v>
      </c>
      <c r="G7" s="211">
        <v>44015.31</v>
      </c>
      <c r="H7" s="211">
        <v>54773.27</v>
      </c>
      <c r="I7" s="211">
        <v>5229.43</v>
      </c>
      <c r="J7" s="211">
        <v>17855.11</v>
      </c>
      <c r="K7" s="211">
        <v>332.1</v>
      </c>
      <c r="L7" s="211">
        <v>29432</v>
      </c>
      <c r="M7" s="211">
        <v>1360</v>
      </c>
      <c r="N7" s="211">
        <v>1012</v>
      </c>
      <c r="O7" s="211"/>
      <c r="P7" s="211"/>
      <c r="Q7" s="211"/>
      <c r="R7" s="211"/>
    </row>
    <row r="8" spans="1:18" s="198" customFormat="1" ht="13.5" customHeight="1">
      <c r="A8" s="209" t="s">
        <v>360</v>
      </c>
      <c r="B8" s="217">
        <v>140</v>
      </c>
      <c r="C8" s="210">
        <f t="shared" si="0"/>
        <v>761.6446547619048</v>
      </c>
      <c r="D8" s="211">
        <v>1189325</v>
      </c>
      <c r="E8" s="211">
        <v>639781.51</v>
      </c>
      <c r="F8" s="211">
        <v>398273.61</v>
      </c>
      <c r="G8" s="211">
        <v>57951.5</v>
      </c>
      <c r="H8" s="211">
        <v>76366.84</v>
      </c>
      <c r="I8" s="211">
        <v>9044.82</v>
      </c>
      <c r="J8" s="211">
        <v>29545.09</v>
      </c>
      <c r="K8" s="211">
        <v>6760.5</v>
      </c>
      <c r="L8" s="211">
        <v>36018</v>
      </c>
      <c r="M8" s="211">
        <v>3640</v>
      </c>
      <c r="N8" s="211">
        <v>0</v>
      </c>
      <c r="O8" s="211"/>
      <c r="P8" s="211"/>
      <c r="Q8" s="211"/>
      <c r="R8" s="211"/>
    </row>
    <row r="9" spans="1:18" s="198" customFormat="1" ht="13.5" customHeight="1">
      <c r="A9" s="209" t="s">
        <v>361</v>
      </c>
      <c r="B9" s="217">
        <v>125</v>
      </c>
      <c r="C9" s="210">
        <f t="shared" si="0"/>
        <v>800.2834666666666</v>
      </c>
      <c r="D9" s="211">
        <v>1085787</v>
      </c>
      <c r="E9" s="211">
        <v>600212.6</v>
      </c>
      <c r="F9" s="211">
        <v>372195.22</v>
      </c>
      <c r="G9" s="211">
        <v>55182.79</v>
      </c>
      <c r="H9" s="211">
        <v>73972.12</v>
      </c>
      <c r="I9" s="211">
        <v>8830.16</v>
      </c>
      <c r="J9" s="211">
        <v>22139.68</v>
      </c>
      <c r="K9" s="211">
        <v>0</v>
      </c>
      <c r="L9" s="211">
        <v>36441</v>
      </c>
      <c r="M9" s="211">
        <v>1820</v>
      </c>
      <c r="N9" s="211">
        <v>0</v>
      </c>
      <c r="O9" s="211">
        <v>0</v>
      </c>
      <c r="P9" s="211">
        <v>0</v>
      </c>
      <c r="Q9" s="211">
        <v>0</v>
      </c>
      <c r="R9" s="211">
        <v>0</v>
      </c>
    </row>
    <row r="10" spans="1:18" s="198" customFormat="1" ht="13.5" customHeight="1">
      <c r="A10" s="209" t="s">
        <v>362</v>
      </c>
      <c r="B10" s="217">
        <v>98</v>
      </c>
      <c r="C10" s="210">
        <f t="shared" si="0"/>
        <v>717.2024319727892</v>
      </c>
      <c r="D10" s="211">
        <f>769991+27900</f>
        <v>797891</v>
      </c>
      <c r="E10" s="211">
        <v>421715.03</v>
      </c>
      <c r="F10" s="211">
        <v>258906.96</v>
      </c>
      <c r="G10" s="211">
        <v>38422.7</v>
      </c>
      <c r="H10" s="211">
        <v>47019.69</v>
      </c>
      <c r="I10" s="211">
        <v>5962.21</v>
      </c>
      <c r="J10" s="211">
        <v>33043.99</v>
      </c>
      <c r="K10" s="211">
        <v>0</v>
      </c>
      <c r="L10" s="211">
        <v>25129.5</v>
      </c>
      <c r="M10" s="211">
        <v>320</v>
      </c>
      <c r="N10" s="211">
        <v>142.5</v>
      </c>
      <c r="O10" s="211"/>
      <c r="P10" s="211"/>
      <c r="Q10" s="211"/>
      <c r="R10" s="211"/>
    </row>
    <row r="11" spans="1:18" s="198" customFormat="1" ht="13.5" customHeight="1">
      <c r="A11" s="209" t="s">
        <v>363</v>
      </c>
      <c r="B11" s="217">
        <v>100</v>
      </c>
      <c r="C11" s="210">
        <f t="shared" si="0"/>
        <v>768.0308833333333</v>
      </c>
      <c r="D11" s="211">
        <f>856914+20000</f>
        <v>876914</v>
      </c>
      <c r="E11" s="211">
        <v>460818.53</v>
      </c>
      <c r="F11" s="211">
        <v>292500.3</v>
      </c>
      <c r="G11" s="211">
        <v>46333.1</v>
      </c>
      <c r="H11" s="211">
        <v>55531.14</v>
      </c>
      <c r="I11" s="211">
        <v>8099.3</v>
      </c>
      <c r="J11" s="211">
        <v>14834.82</v>
      </c>
      <c r="K11" s="211">
        <v>0</v>
      </c>
      <c r="L11" s="211">
        <v>28023</v>
      </c>
      <c r="M11" s="211">
        <v>360</v>
      </c>
      <c r="N11" s="211">
        <v>300</v>
      </c>
      <c r="O11" s="211"/>
      <c r="P11" s="211"/>
      <c r="Q11" s="211">
        <v>1404</v>
      </c>
      <c r="R11" s="211">
        <v>1404</v>
      </c>
    </row>
    <row r="12" spans="1:18" s="198" customFormat="1" ht="13.5" customHeight="1">
      <c r="A12" s="209" t="s">
        <v>364</v>
      </c>
      <c r="B12" s="217">
        <v>108</v>
      </c>
      <c r="C12" s="210">
        <f t="shared" si="0"/>
        <v>780.8753086419753</v>
      </c>
      <c r="D12" s="211">
        <f>1004583+30000</f>
        <v>1034583</v>
      </c>
      <c r="E12" s="211">
        <v>506007.2</v>
      </c>
      <c r="F12" s="211">
        <v>320838.89</v>
      </c>
      <c r="G12" s="211">
        <v>49974.89</v>
      </c>
      <c r="H12" s="211">
        <v>61186.87</v>
      </c>
      <c r="I12" s="211">
        <v>6864.32</v>
      </c>
      <c r="J12" s="211">
        <v>23137.23</v>
      </c>
      <c r="K12" s="211">
        <v>0</v>
      </c>
      <c r="L12" s="211">
        <v>28109</v>
      </c>
      <c r="M12" s="211">
        <v>3260</v>
      </c>
      <c r="N12" s="211">
        <v>2690</v>
      </c>
      <c r="O12" s="211">
        <v>0</v>
      </c>
      <c r="P12" s="211">
        <v>0</v>
      </c>
      <c r="Q12" s="211">
        <v>0</v>
      </c>
      <c r="R12" s="211">
        <v>0</v>
      </c>
    </row>
    <row r="13" spans="1:18" s="198" customFormat="1" ht="13.5" customHeight="1">
      <c r="A13" s="209" t="s">
        <v>365</v>
      </c>
      <c r="B13" s="217">
        <v>163</v>
      </c>
      <c r="C13" s="210">
        <f t="shared" si="0"/>
        <v>649.4913394683027</v>
      </c>
      <c r="D13" s="211">
        <f>1210889+35000</f>
        <v>1245889</v>
      </c>
      <c r="E13" s="211">
        <v>635202.53</v>
      </c>
      <c r="F13" s="211">
        <v>390269.33</v>
      </c>
      <c r="G13" s="211">
        <v>61300.05</v>
      </c>
      <c r="H13" s="211">
        <v>76629.29</v>
      </c>
      <c r="I13" s="211">
        <v>8901.09</v>
      </c>
      <c r="J13" s="211">
        <v>29427.47</v>
      </c>
      <c r="K13" s="211">
        <v>303.38</v>
      </c>
      <c r="L13" s="211">
        <v>44703</v>
      </c>
      <c r="M13" s="211">
        <v>3460</v>
      </c>
      <c r="N13" s="211">
        <v>2545</v>
      </c>
      <c r="O13" s="211"/>
      <c r="P13" s="211"/>
      <c r="Q13" s="211"/>
      <c r="R13" s="211"/>
    </row>
    <row r="14" spans="1:18" s="198" customFormat="1" ht="13.5" customHeight="1">
      <c r="A14" s="209" t="s">
        <v>366</v>
      </c>
      <c r="B14" s="217">
        <v>70</v>
      </c>
      <c r="C14" s="210">
        <f t="shared" si="0"/>
        <v>794.5874523809524</v>
      </c>
      <c r="D14" s="211">
        <f>635714+15000</f>
        <v>650714</v>
      </c>
      <c r="E14" s="211">
        <v>333726.73</v>
      </c>
      <c r="F14" s="211">
        <v>203316.98</v>
      </c>
      <c r="G14" s="211">
        <v>31669.75</v>
      </c>
      <c r="H14" s="211">
        <v>39756.29</v>
      </c>
      <c r="I14" s="211">
        <v>4033.09</v>
      </c>
      <c r="J14" s="211">
        <v>3891.94</v>
      </c>
      <c r="K14" s="211">
        <v>2608.09</v>
      </c>
      <c r="L14" s="211">
        <v>21033</v>
      </c>
      <c r="M14" s="211">
        <v>640</v>
      </c>
      <c r="N14" s="211">
        <v>0</v>
      </c>
      <c r="O14" s="211">
        <v>0</v>
      </c>
      <c r="P14" s="211">
        <v>0</v>
      </c>
      <c r="Q14" s="211">
        <v>0</v>
      </c>
      <c r="R14" s="211">
        <v>0</v>
      </c>
    </row>
    <row r="15" spans="1:18" s="198" customFormat="1" ht="13.5" customHeight="1">
      <c r="A15" s="209" t="s">
        <v>367</v>
      </c>
      <c r="B15" s="217">
        <v>102.8</v>
      </c>
      <c r="C15" s="210">
        <f t="shared" si="0"/>
        <v>741.2822470817122</v>
      </c>
      <c r="D15" s="211">
        <v>884301</v>
      </c>
      <c r="E15" s="211">
        <v>457222.89</v>
      </c>
      <c r="F15" s="211">
        <v>282228.42</v>
      </c>
      <c r="G15" s="211">
        <v>44629.98</v>
      </c>
      <c r="H15" s="211">
        <v>54058.28</v>
      </c>
      <c r="I15" s="211">
        <v>6412.55</v>
      </c>
      <c r="J15" s="211">
        <v>28185.54</v>
      </c>
      <c r="K15" s="211">
        <v>1801.95</v>
      </c>
      <c r="L15" s="211">
        <v>25358</v>
      </c>
      <c r="M15" s="211">
        <v>2260</v>
      </c>
      <c r="N15" s="211">
        <v>300</v>
      </c>
      <c r="O15" s="211"/>
      <c r="P15" s="211"/>
      <c r="Q15" s="211"/>
      <c r="R15" s="211"/>
    </row>
    <row r="16" spans="1:18" s="198" customFormat="1" ht="13.5" customHeight="1">
      <c r="A16" s="209" t="s">
        <v>368</v>
      </c>
      <c r="B16" s="217">
        <v>111</v>
      </c>
      <c r="C16" s="210">
        <f t="shared" si="0"/>
        <v>723.6617567567567</v>
      </c>
      <c r="D16" s="211">
        <f>896432+25000</f>
        <v>921432</v>
      </c>
      <c r="E16" s="211">
        <v>481958.73</v>
      </c>
      <c r="F16" s="211">
        <v>299642.73</v>
      </c>
      <c r="G16" s="211">
        <v>47609.58</v>
      </c>
      <c r="H16" s="211">
        <v>57761.63</v>
      </c>
      <c r="I16" s="211">
        <v>7072.79</v>
      </c>
      <c r="J16" s="211">
        <v>19188.82</v>
      </c>
      <c r="K16" s="211">
        <v>0</v>
      </c>
      <c r="L16" s="211">
        <v>25839</v>
      </c>
      <c r="M16" s="211">
        <v>1300</v>
      </c>
      <c r="N16" s="211">
        <v>900</v>
      </c>
      <c r="O16" s="211"/>
      <c r="P16" s="211"/>
      <c r="Q16" s="211"/>
      <c r="R16" s="211"/>
    </row>
    <row r="17" spans="1:18" s="198" customFormat="1" ht="13.5" customHeight="1">
      <c r="A17" s="209" t="s">
        <v>369</v>
      </c>
      <c r="B17" s="217">
        <v>135</v>
      </c>
      <c r="C17" s="210">
        <f t="shared" si="0"/>
        <v>694.4557037037038</v>
      </c>
      <c r="D17" s="211">
        <v>1036437</v>
      </c>
      <c r="E17" s="211">
        <v>562509.12</v>
      </c>
      <c r="F17" s="211">
        <v>359748.63</v>
      </c>
      <c r="G17" s="211">
        <v>53799.87</v>
      </c>
      <c r="H17" s="211">
        <v>65277.88</v>
      </c>
      <c r="I17" s="211">
        <v>7797.2</v>
      </c>
      <c r="J17" s="211">
        <v>23716.9</v>
      </c>
      <c r="K17" s="211">
        <v>1176</v>
      </c>
      <c r="L17" s="211">
        <v>34030.5</v>
      </c>
      <c r="M17" s="211">
        <v>1320</v>
      </c>
      <c r="N17" s="211">
        <v>0</v>
      </c>
      <c r="O17" s="211"/>
      <c r="P17" s="211"/>
      <c r="Q17" s="211"/>
      <c r="R17" s="211"/>
    </row>
    <row r="18" spans="1:18" s="198" customFormat="1" ht="13.5" customHeight="1">
      <c r="A18" s="209" t="s">
        <v>370</v>
      </c>
      <c r="B18" s="217">
        <v>132</v>
      </c>
      <c r="C18" s="210">
        <f t="shared" si="0"/>
        <v>741.6150378787879</v>
      </c>
      <c r="D18" s="211">
        <f>1078169+120000</f>
        <v>1198169</v>
      </c>
      <c r="E18" s="211">
        <v>587359.11</v>
      </c>
      <c r="F18" s="211">
        <v>366174.13</v>
      </c>
      <c r="G18" s="211">
        <v>49477.31</v>
      </c>
      <c r="H18" s="211">
        <v>64808.28</v>
      </c>
      <c r="I18" s="211">
        <v>7090.17</v>
      </c>
      <c r="J18" s="211">
        <v>33565.95</v>
      </c>
      <c r="K18" s="211">
        <v>1608.74</v>
      </c>
      <c r="L18" s="211">
        <v>39946</v>
      </c>
      <c r="M18" s="211">
        <v>860</v>
      </c>
      <c r="N18" s="211">
        <v>0</v>
      </c>
      <c r="O18" s="211"/>
      <c r="P18" s="211"/>
      <c r="Q18" s="211"/>
      <c r="R18" s="211"/>
    </row>
    <row r="19" spans="1:18" s="198" customFormat="1" ht="13.5" customHeight="1">
      <c r="A19" s="209" t="s">
        <v>371</v>
      </c>
      <c r="B19" s="217">
        <v>104.3</v>
      </c>
      <c r="C19" s="210">
        <f t="shared" si="0"/>
        <v>659.1539149888143</v>
      </c>
      <c r="D19" s="211">
        <v>794725</v>
      </c>
      <c r="E19" s="211">
        <v>412498.52</v>
      </c>
      <c r="F19" s="211">
        <v>259758.93</v>
      </c>
      <c r="G19" s="211">
        <v>40278</v>
      </c>
      <c r="H19" s="211">
        <v>48658.79</v>
      </c>
      <c r="I19" s="211">
        <v>6906.61</v>
      </c>
      <c r="J19" s="211">
        <v>22442.5</v>
      </c>
      <c r="K19" s="211">
        <v>0</v>
      </c>
      <c r="L19" s="211">
        <v>23427</v>
      </c>
      <c r="M19" s="211">
        <v>320</v>
      </c>
      <c r="N19" s="211">
        <v>36</v>
      </c>
      <c r="O19" s="211"/>
      <c r="P19" s="211"/>
      <c r="Q19" s="211"/>
      <c r="R19" s="211"/>
    </row>
    <row r="20" spans="1:18" s="198" customFormat="1" ht="13.5" customHeight="1">
      <c r="A20" s="209" t="s">
        <v>372</v>
      </c>
      <c r="B20" s="217">
        <v>117</v>
      </c>
      <c r="C20" s="210">
        <f t="shared" si="0"/>
        <v>807.0174928774928</v>
      </c>
      <c r="D20" s="211">
        <v>1016943</v>
      </c>
      <c r="E20" s="211">
        <v>566526.28</v>
      </c>
      <c r="F20" s="211">
        <v>351876.16</v>
      </c>
      <c r="G20" s="211">
        <v>52824.92</v>
      </c>
      <c r="H20" s="211">
        <v>69615.2</v>
      </c>
      <c r="I20" s="211">
        <v>6465.38</v>
      </c>
      <c r="J20" s="211">
        <v>27985.26</v>
      </c>
      <c r="K20" s="211">
        <v>49.2</v>
      </c>
      <c r="L20" s="211">
        <v>30657.87</v>
      </c>
      <c r="M20" s="211">
        <v>3960</v>
      </c>
      <c r="N20" s="211">
        <v>2000</v>
      </c>
      <c r="O20" s="211">
        <v>0</v>
      </c>
      <c r="P20" s="211">
        <v>0</v>
      </c>
      <c r="Q20" s="211">
        <v>0</v>
      </c>
      <c r="R20" s="211">
        <v>0</v>
      </c>
    </row>
    <row r="21" spans="1:18" s="198" customFormat="1" ht="13.5" customHeight="1">
      <c r="A21" s="209" t="s">
        <v>373</v>
      </c>
      <c r="B21" s="217">
        <v>108</v>
      </c>
      <c r="C21" s="210">
        <f t="shared" si="0"/>
        <v>643.2336265432099</v>
      </c>
      <c r="D21" s="211">
        <f>805377+30000</f>
        <v>835377</v>
      </c>
      <c r="E21" s="211">
        <v>416815.39</v>
      </c>
      <c r="F21" s="211">
        <v>263315.79</v>
      </c>
      <c r="G21" s="211">
        <v>41471.31</v>
      </c>
      <c r="H21" s="211">
        <v>46236.14</v>
      </c>
      <c r="I21" s="211">
        <v>5216.77</v>
      </c>
      <c r="J21" s="211">
        <v>18337.85</v>
      </c>
      <c r="K21" s="211">
        <v>233.7</v>
      </c>
      <c r="L21" s="211">
        <v>31198</v>
      </c>
      <c r="M21" s="211">
        <v>400</v>
      </c>
      <c r="N21" s="211">
        <v>75</v>
      </c>
      <c r="O21" s="211">
        <v>0</v>
      </c>
      <c r="P21" s="211">
        <v>0</v>
      </c>
      <c r="Q21" s="211">
        <v>0</v>
      </c>
      <c r="R21" s="211">
        <v>0</v>
      </c>
    </row>
    <row r="22" spans="1:18" s="198" customFormat="1" ht="13.5" customHeight="1">
      <c r="A22" s="209" t="s">
        <v>374</v>
      </c>
      <c r="B22" s="217">
        <v>158</v>
      </c>
      <c r="C22" s="210">
        <f t="shared" si="0"/>
        <v>730.3944936708862</v>
      </c>
      <c r="D22" s="211">
        <f>1163703+45000</f>
        <v>1208703</v>
      </c>
      <c r="E22" s="211">
        <v>692413.98</v>
      </c>
      <c r="F22" s="211">
        <v>428629.33</v>
      </c>
      <c r="G22" s="211">
        <v>62553.84</v>
      </c>
      <c r="H22" s="211">
        <v>78926.39</v>
      </c>
      <c r="I22" s="211">
        <v>7987.39</v>
      </c>
      <c r="J22" s="211">
        <v>36457.37</v>
      </c>
      <c r="K22" s="211">
        <v>7483.12</v>
      </c>
      <c r="L22" s="211">
        <v>39365</v>
      </c>
      <c r="M22" s="211">
        <v>1470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</row>
    <row r="23" spans="1:18" s="198" customFormat="1" ht="13.5" customHeight="1">
      <c r="A23" s="209" t="s">
        <v>375</v>
      </c>
      <c r="B23" s="217">
        <v>100.16</v>
      </c>
      <c r="C23" s="210">
        <f t="shared" si="0"/>
        <v>767.9382488019169</v>
      </c>
      <c r="D23" s="211">
        <f>808218+30000</f>
        <v>838218</v>
      </c>
      <c r="E23" s="211">
        <v>461500.17</v>
      </c>
      <c r="F23" s="211">
        <v>288727.18</v>
      </c>
      <c r="G23" s="211">
        <v>43124.81</v>
      </c>
      <c r="H23" s="211">
        <v>54122.76</v>
      </c>
      <c r="I23" s="211">
        <v>6768.57</v>
      </c>
      <c r="J23" s="211">
        <v>25413.77</v>
      </c>
      <c r="K23" s="211">
        <v>755.9</v>
      </c>
      <c r="L23" s="211">
        <v>23947</v>
      </c>
      <c r="M23" s="211">
        <v>860</v>
      </c>
      <c r="N23" s="211">
        <v>0</v>
      </c>
      <c r="O23" s="211"/>
      <c r="P23" s="211"/>
      <c r="Q23" s="211"/>
      <c r="R23" s="211"/>
    </row>
    <row r="24" spans="1:18" s="198" customFormat="1" ht="13.5" customHeight="1">
      <c r="A24" s="209" t="s">
        <v>376</v>
      </c>
      <c r="B24" s="217">
        <v>122.1</v>
      </c>
      <c r="C24" s="210">
        <f t="shared" si="0"/>
        <v>703.561193011193</v>
      </c>
      <c r="D24" s="211">
        <f>917857+35000</f>
        <v>952857</v>
      </c>
      <c r="E24" s="211">
        <v>515428.93</v>
      </c>
      <c r="F24" s="211">
        <v>313358.27</v>
      </c>
      <c r="G24" s="211">
        <v>53653.45</v>
      </c>
      <c r="H24" s="211">
        <v>61455.04</v>
      </c>
      <c r="I24" s="211">
        <v>7164.81</v>
      </c>
      <c r="J24" s="211">
        <v>27026.41</v>
      </c>
      <c r="K24" s="211">
        <v>0</v>
      </c>
      <c r="L24" s="211">
        <v>27786</v>
      </c>
      <c r="M24" s="211">
        <v>1840</v>
      </c>
      <c r="N24" s="211">
        <v>1100</v>
      </c>
      <c r="O24" s="211">
        <v>0</v>
      </c>
      <c r="P24" s="211">
        <v>0</v>
      </c>
      <c r="Q24" s="211"/>
      <c r="R24" s="211"/>
    </row>
    <row r="25" spans="1:18" s="198" customFormat="1" ht="13.5" customHeight="1">
      <c r="A25" s="209" t="s">
        <v>377</v>
      </c>
      <c r="B25" s="217">
        <v>139</v>
      </c>
      <c r="C25" s="210">
        <f t="shared" si="0"/>
        <v>811.0534052757794</v>
      </c>
      <c r="D25" s="211">
        <f>1224215</f>
        <v>1224215</v>
      </c>
      <c r="E25" s="211">
        <f>669418.54+7000</f>
        <v>676418.54</v>
      </c>
      <c r="F25" s="211">
        <v>422734.26</v>
      </c>
      <c r="G25" s="211">
        <v>60438.52</v>
      </c>
      <c r="H25" s="211">
        <v>73634.42</v>
      </c>
      <c r="I25" s="211">
        <v>10411.05</v>
      </c>
      <c r="J25" s="211">
        <v>20260.68</v>
      </c>
      <c r="K25" s="211">
        <v>8553.71</v>
      </c>
      <c r="L25" s="211">
        <v>45852</v>
      </c>
      <c r="M25" s="211">
        <v>1560</v>
      </c>
      <c r="N25" s="211">
        <v>199.26</v>
      </c>
      <c r="O25" s="211">
        <v>3000</v>
      </c>
      <c r="P25" s="211">
        <v>2972.91</v>
      </c>
      <c r="Q25" s="211"/>
      <c r="R25" s="211"/>
    </row>
    <row r="26" spans="1:18" s="198" customFormat="1" ht="13.5" customHeight="1">
      <c r="A26" s="209" t="s">
        <v>378</v>
      </c>
      <c r="B26" s="217">
        <v>146</v>
      </c>
      <c r="C26" s="210">
        <f t="shared" si="0"/>
        <v>707.2879566210046</v>
      </c>
      <c r="D26" s="211">
        <v>1166573</v>
      </c>
      <c r="E26" s="211">
        <v>619584.25</v>
      </c>
      <c r="F26" s="211">
        <v>370601.13</v>
      </c>
      <c r="G26" s="211">
        <v>52291.51</v>
      </c>
      <c r="H26" s="211">
        <v>73813.71</v>
      </c>
      <c r="I26" s="211">
        <v>7866.22</v>
      </c>
      <c r="J26" s="211">
        <v>39505.12</v>
      </c>
      <c r="K26" s="211">
        <v>1665</v>
      </c>
      <c r="L26" s="211">
        <v>40967</v>
      </c>
      <c r="M26" s="211">
        <v>1400</v>
      </c>
      <c r="N26" s="211">
        <v>800</v>
      </c>
      <c r="O26" s="211"/>
      <c r="P26" s="211"/>
      <c r="Q26" s="211"/>
      <c r="R26" s="211"/>
    </row>
    <row r="27" spans="1:18" s="198" customFormat="1" ht="13.5" customHeight="1">
      <c r="A27" s="209" t="s">
        <v>379</v>
      </c>
      <c r="B27" s="217">
        <v>130</v>
      </c>
      <c r="C27" s="210">
        <f t="shared" si="0"/>
        <v>756.7227307692307</v>
      </c>
      <c r="D27" s="211">
        <v>1064890</v>
      </c>
      <c r="E27" s="211">
        <v>590243.73</v>
      </c>
      <c r="F27" s="211">
        <v>358393.78</v>
      </c>
      <c r="G27" s="211">
        <v>51624.29</v>
      </c>
      <c r="H27" s="211">
        <v>67068.37</v>
      </c>
      <c r="I27" s="211">
        <v>4666.44</v>
      </c>
      <c r="J27" s="211">
        <v>48247.14</v>
      </c>
      <c r="K27" s="211">
        <v>4488.5</v>
      </c>
      <c r="L27" s="211">
        <v>30066</v>
      </c>
      <c r="M27" s="211">
        <v>2100</v>
      </c>
      <c r="N27" s="211">
        <v>1200</v>
      </c>
      <c r="O27" s="211">
        <v>0</v>
      </c>
      <c r="P27" s="211">
        <v>0</v>
      </c>
      <c r="Q27" s="211">
        <v>0</v>
      </c>
      <c r="R27" s="211">
        <v>0</v>
      </c>
    </row>
    <row r="28" spans="1:18" s="198" customFormat="1" ht="13.5" customHeight="1">
      <c r="A28" s="209" t="s">
        <v>380</v>
      </c>
      <c r="B28" s="217">
        <v>127.3</v>
      </c>
      <c r="C28" s="210">
        <f t="shared" si="0"/>
        <v>681.365305053679</v>
      </c>
      <c r="D28" s="211">
        <v>970750</v>
      </c>
      <c r="E28" s="211">
        <v>520426.82</v>
      </c>
      <c r="F28" s="211">
        <v>327797</v>
      </c>
      <c r="G28" s="211">
        <v>45738.85</v>
      </c>
      <c r="H28" s="211">
        <v>65361.78</v>
      </c>
      <c r="I28" s="211">
        <v>7261.74</v>
      </c>
      <c r="J28" s="211">
        <v>23425.37</v>
      </c>
      <c r="K28" s="211">
        <v>0</v>
      </c>
      <c r="L28" s="211">
        <v>31774.5</v>
      </c>
      <c r="M28" s="211">
        <v>4380</v>
      </c>
      <c r="N28" s="211">
        <v>1800</v>
      </c>
      <c r="O28" s="211">
        <v>0</v>
      </c>
      <c r="P28" s="211">
        <v>0</v>
      </c>
      <c r="Q28" s="211">
        <v>0</v>
      </c>
      <c r="R28" s="211">
        <v>0</v>
      </c>
    </row>
    <row r="29" spans="1:18" s="198" customFormat="1" ht="13.5" customHeight="1">
      <c r="A29" s="209" t="s">
        <v>381</v>
      </c>
      <c r="B29" s="217">
        <v>126</v>
      </c>
      <c r="C29" s="210">
        <f t="shared" si="0"/>
        <v>717.8309391534391</v>
      </c>
      <c r="D29" s="211">
        <f>1035797+40000</f>
        <v>1075797</v>
      </c>
      <c r="E29" s="211">
        <v>542680.19</v>
      </c>
      <c r="F29" s="211">
        <v>329729.42</v>
      </c>
      <c r="G29" s="211">
        <v>45306.3</v>
      </c>
      <c r="H29" s="211">
        <v>62581.07</v>
      </c>
      <c r="I29" s="211">
        <v>7995.78</v>
      </c>
      <c r="J29" s="211">
        <v>34844.13</v>
      </c>
      <c r="K29" s="211">
        <v>8270.96</v>
      </c>
      <c r="L29" s="211">
        <v>31425</v>
      </c>
      <c r="M29" s="211">
        <v>2380</v>
      </c>
      <c r="N29" s="211">
        <v>2000</v>
      </c>
      <c r="O29" s="211">
        <v>0</v>
      </c>
      <c r="P29" s="211">
        <v>0</v>
      </c>
      <c r="Q29" s="211">
        <v>0</v>
      </c>
      <c r="R29" s="211">
        <v>0</v>
      </c>
    </row>
    <row r="30" spans="1:18" s="198" customFormat="1" ht="13.5" customHeight="1">
      <c r="A30" s="209" t="s">
        <v>382</v>
      </c>
      <c r="B30" s="218">
        <v>134.3</v>
      </c>
      <c r="C30" s="210">
        <f t="shared" si="0"/>
        <v>799.925924547034</v>
      </c>
      <c r="D30" s="211">
        <v>1189279</v>
      </c>
      <c r="E30" s="211">
        <f>641630.64+2949.67</f>
        <v>644580.31</v>
      </c>
      <c r="F30" s="211">
        <v>406548.08</v>
      </c>
      <c r="G30" s="211">
        <v>61481.91</v>
      </c>
      <c r="H30" s="211">
        <v>78709.67</v>
      </c>
      <c r="I30" s="211">
        <v>10234.7</v>
      </c>
      <c r="J30" s="211">
        <v>27132.42</v>
      </c>
      <c r="K30" s="211">
        <v>0</v>
      </c>
      <c r="L30" s="211">
        <v>38080</v>
      </c>
      <c r="M30" s="211">
        <v>4020</v>
      </c>
      <c r="N30" s="211">
        <v>1425</v>
      </c>
      <c r="O30" s="211">
        <v>0</v>
      </c>
      <c r="P30" s="211">
        <v>0</v>
      </c>
      <c r="Q30" s="211">
        <v>0</v>
      </c>
      <c r="R30" s="211">
        <v>0</v>
      </c>
    </row>
    <row r="31" spans="1:18" s="198" customFormat="1" ht="13.5" customHeight="1">
      <c r="A31" s="209" t="s">
        <v>383</v>
      </c>
      <c r="B31" s="217">
        <v>124.1</v>
      </c>
      <c r="C31" s="210">
        <f t="shared" si="0"/>
        <v>751.6388665055065</v>
      </c>
      <c r="D31" s="211">
        <v>1001992</v>
      </c>
      <c r="E31" s="211">
        <v>559670.3</v>
      </c>
      <c r="F31" s="211">
        <v>333675.84</v>
      </c>
      <c r="G31" s="211">
        <v>53887.4</v>
      </c>
      <c r="H31" s="211">
        <v>64609.61</v>
      </c>
      <c r="I31" s="211">
        <v>7356.98</v>
      </c>
      <c r="J31" s="211">
        <v>40349.33</v>
      </c>
      <c r="K31" s="211">
        <v>1408.35</v>
      </c>
      <c r="L31" s="211">
        <v>29541</v>
      </c>
      <c r="M31" s="211">
        <v>740</v>
      </c>
      <c r="N31" s="211">
        <v>324.78</v>
      </c>
      <c r="O31" s="211">
        <v>0</v>
      </c>
      <c r="P31" s="211">
        <v>0</v>
      </c>
      <c r="Q31" s="211">
        <v>0</v>
      </c>
      <c r="R31" s="211">
        <v>0</v>
      </c>
    </row>
    <row r="32" spans="1:18" s="198" customFormat="1" ht="13.5" customHeight="1">
      <c r="A32" s="209" t="s">
        <v>384</v>
      </c>
      <c r="B32" s="217">
        <v>101.5</v>
      </c>
      <c r="C32" s="210">
        <f t="shared" si="0"/>
        <v>707.5356486042693</v>
      </c>
      <c r="D32" s="211">
        <f>826268+20000</f>
        <v>846268</v>
      </c>
      <c r="E32" s="211">
        <f>430889.21</f>
        <v>430889.21</v>
      </c>
      <c r="F32" s="211">
        <v>274399.75</v>
      </c>
      <c r="G32" s="211">
        <v>41211.9</v>
      </c>
      <c r="H32" s="211">
        <v>51612.27</v>
      </c>
      <c r="I32" s="211">
        <v>5902.73</v>
      </c>
      <c r="J32" s="211">
        <v>14975.95</v>
      </c>
      <c r="K32" s="211">
        <v>654.58</v>
      </c>
      <c r="L32" s="211">
        <v>24385</v>
      </c>
      <c r="M32" s="211">
        <v>400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</row>
    <row r="33" spans="1:18" s="198" customFormat="1" ht="13.5" customHeight="1">
      <c r="A33" s="209" t="s">
        <v>385</v>
      </c>
      <c r="B33" s="217">
        <v>129</v>
      </c>
      <c r="C33" s="210">
        <f t="shared" si="0"/>
        <v>689.171757105943</v>
      </c>
      <c r="D33" s="211">
        <v>974889</v>
      </c>
      <c r="E33" s="211">
        <v>533418.94</v>
      </c>
      <c r="F33" s="211">
        <v>318205.42</v>
      </c>
      <c r="G33" s="211">
        <v>44188.4</v>
      </c>
      <c r="H33" s="211">
        <v>60522.47</v>
      </c>
      <c r="I33" s="211">
        <v>6925.44</v>
      </c>
      <c r="J33" s="211">
        <v>46152.66</v>
      </c>
      <c r="K33" s="211">
        <v>2486.3</v>
      </c>
      <c r="L33" s="211">
        <v>31391.25</v>
      </c>
      <c r="M33" s="211">
        <v>3730</v>
      </c>
      <c r="N33" s="211">
        <v>3050</v>
      </c>
      <c r="O33" s="211">
        <v>0</v>
      </c>
      <c r="P33" s="211">
        <v>0</v>
      </c>
      <c r="Q33" s="211">
        <v>0</v>
      </c>
      <c r="R33" s="211">
        <v>0</v>
      </c>
    </row>
    <row r="34" spans="1:18" s="198" customFormat="1" ht="13.5" customHeight="1">
      <c r="A34" s="209" t="s">
        <v>386</v>
      </c>
      <c r="B34" s="217">
        <v>120</v>
      </c>
      <c r="C34" s="210">
        <f t="shared" si="0"/>
        <v>854.1203472222222</v>
      </c>
      <c r="D34" s="211">
        <f>1087180+50000</f>
        <v>1137180</v>
      </c>
      <c r="E34" s="211">
        <v>614966.65</v>
      </c>
      <c r="F34" s="211">
        <v>387061.76</v>
      </c>
      <c r="G34" s="211">
        <v>50498.5</v>
      </c>
      <c r="H34" s="211">
        <v>57107.64</v>
      </c>
      <c r="I34" s="211">
        <v>8149.01</v>
      </c>
      <c r="J34" s="211">
        <v>40478.37</v>
      </c>
      <c r="K34" s="211">
        <v>12064.19</v>
      </c>
      <c r="L34" s="211">
        <v>32290.5</v>
      </c>
      <c r="M34" s="211">
        <v>5560</v>
      </c>
      <c r="N34" s="211">
        <v>3165</v>
      </c>
      <c r="O34" s="211">
        <v>3000</v>
      </c>
      <c r="P34" s="211">
        <v>3000</v>
      </c>
      <c r="Q34" s="211">
        <v>0</v>
      </c>
      <c r="R34" s="211">
        <v>0</v>
      </c>
    </row>
    <row r="35" spans="1:18" s="198" customFormat="1" ht="13.5" customHeight="1">
      <c r="A35" s="209" t="s">
        <v>387</v>
      </c>
      <c r="B35" s="217">
        <v>220.5</v>
      </c>
      <c r="C35" s="210">
        <f t="shared" si="0"/>
        <v>715.3160544217686</v>
      </c>
      <c r="D35" s="211">
        <f>1730537+30000</f>
        <v>1760537</v>
      </c>
      <c r="E35" s="211">
        <f>943863.14+2500</f>
        <v>946363.14</v>
      </c>
      <c r="F35" s="211">
        <v>569971.2</v>
      </c>
      <c r="G35" s="211">
        <v>86401.88</v>
      </c>
      <c r="H35" s="211">
        <v>110501.89</v>
      </c>
      <c r="I35" s="211">
        <v>12291.83</v>
      </c>
      <c r="J35" s="211">
        <v>68724.46</v>
      </c>
      <c r="K35" s="211">
        <v>2952</v>
      </c>
      <c r="L35" s="211">
        <v>55000</v>
      </c>
      <c r="M35" s="211">
        <v>12100</v>
      </c>
      <c r="N35" s="211">
        <v>1856.71</v>
      </c>
      <c r="O35" s="211">
        <v>0</v>
      </c>
      <c r="P35" s="211">
        <v>0</v>
      </c>
      <c r="Q35" s="211">
        <v>0</v>
      </c>
      <c r="R35" s="211">
        <v>0</v>
      </c>
    </row>
    <row r="36" spans="1:18" s="198" customFormat="1" ht="13.5" customHeight="1">
      <c r="A36" s="209" t="s">
        <v>388</v>
      </c>
      <c r="B36" s="217">
        <v>226</v>
      </c>
      <c r="C36" s="210">
        <f t="shared" si="0"/>
        <v>659.1644616519173</v>
      </c>
      <c r="D36" s="211">
        <v>1665835</v>
      </c>
      <c r="E36" s="211">
        <f>888827.01+5000</f>
        <v>893827.01</v>
      </c>
      <c r="F36" s="211">
        <v>559641.86</v>
      </c>
      <c r="G36" s="211">
        <v>79256.67</v>
      </c>
      <c r="H36" s="211">
        <v>110468.86</v>
      </c>
      <c r="I36" s="211">
        <v>12303.25</v>
      </c>
      <c r="J36" s="211">
        <v>27844.24</v>
      </c>
      <c r="K36" s="211">
        <v>3278.97</v>
      </c>
      <c r="L36" s="211">
        <v>51239</v>
      </c>
      <c r="M36" s="211">
        <v>760</v>
      </c>
      <c r="N36" s="211">
        <v>550</v>
      </c>
      <c r="O36" s="211">
        <v>0</v>
      </c>
      <c r="P36" s="211">
        <v>0</v>
      </c>
      <c r="Q36" s="211">
        <v>0</v>
      </c>
      <c r="R36" s="211">
        <v>0</v>
      </c>
    </row>
    <row r="37" spans="1:18" s="198" customFormat="1" ht="13.5" customHeight="1">
      <c r="A37" s="209" t="s">
        <v>389</v>
      </c>
      <c r="B37" s="217">
        <v>134</v>
      </c>
      <c r="C37" s="210">
        <f t="shared" si="0"/>
        <v>671.1027611940299</v>
      </c>
      <c r="D37" s="211">
        <v>1051741</v>
      </c>
      <c r="E37" s="211">
        <v>539566.62</v>
      </c>
      <c r="F37" s="211">
        <v>334970.97</v>
      </c>
      <c r="G37" s="211">
        <v>47133.61</v>
      </c>
      <c r="H37" s="211">
        <v>60475.66</v>
      </c>
      <c r="I37" s="211">
        <v>5880.65</v>
      </c>
      <c r="J37" s="211">
        <v>33828.96</v>
      </c>
      <c r="K37" s="211">
        <v>7179.42</v>
      </c>
      <c r="L37" s="211">
        <v>31510.64</v>
      </c>
      <c r="M37" s="211">
        <v>2480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</row>
    <row r="38" spans="1:18" s="198" customFormat="1" ht="13.5" customHeight="1">
      <c r="A38" s="209" t="s">
        <v>390</v>
      </c>
      <c r="B38" s="217">
        <v>187</v>
      </c>
      <c r="C38" s="210">
        <f t="shared" si="0"/>
        <v>751.9972192513369</v>
      </c>
      <c r="D38" s="211">
        <v>1527706</v>
      </c>
      <c r="E38" s="211">
        <v>843740.88</v>
      </c>
      <c r="F38" s="211">
        <v>511515.93</v>
      </c>
      <c r="G38" s="211">
        <v>71468.92</v>
      </c>
      <c r="H38" s="211">
        <v>94423.24</v>
      </c>
      <c r="I38" s="211">
        <v>11885.88</v>
      </c>
      <c r="J38" s="211">
        <v>39268.99</v>
      </c>
      <c r="K38" s="211">
        <v>4613</v>
      </c>
      <c r="L38" s="211">
        <v>45950</v>
      </c>
      <c r="M38" s="211">
        <v>3880</v>
      </c>
      <c r="N38" s="211">
        <v>790</v>
      </c>
      <c r="O38" s="211">
        <v>3000</v>
      </c>
      <c r="P38" s="211">
        <v>2999.99</v>
      </c>
      <c r="Q38" s="211">
        <v>0</v>
      </c>
      <c r="R38" s="211">
        <v>0</v>
      </c>
    </row>
    <row r="39" spans="1:18" s="198" customFormat="1" ht="13.5" customHeight="1">
      <c r="A39" s="209" t="s">
        <v>391</v>
      </c>
      <c r="B39" s="217">
        <v>138</v>
      </c>
      <c r="C39" s="210">
        <f t="shared" si="0"/>
        <v>696.1066545893719</v>
      </c>
      <c r="D39" s="211">
        <v>1127591</v>
      </c>
      <c r="E39" s="211">
        <v>576376.31</v>
      </c>
      <c r="F39" s="211">
        <v>354095.19</v>
      </c>
      <c r="G39" s="211">
        <v>53617.19</v>
      </c>
      <c r="H39" s="211">
        <v>65755.26</v>
      </c>
      <c r="I39" s="211">
        <v>6137.6</v>
      </c>
      <c r="J39" s="211">
        <v>40042.91</v>
      </c>
      <c r="K39" s="211">
        <v>600</v>
      </c>
      <c r="L39" s="211">
        <v>35511</v>
      </c>
      <c r="M39" s="211">
        <v>2130</v>
      </c>
      <c r="N39" s="211">
        <v>1100</v>
      </c>
      <c r="O39" s="211">
        <v>2000</v>
      </c>
      <c r="P39" s="211">
        <v>275</v>
      </c>
      <c r="Q39" s="211"/>
      <c r="R39" s="211"/>
    </row>
    <row r="40" spans="1:18" s="198" customFormat="1" ht="11.25">
      <c r="A40" s="209" t="s">
        <v>392</v>
      </c>
      <c r="B40" s="217">
        <v>218.7</v>
      </c>
      <c r="C40" s="210">
        <f t="shared" si="0"/>
        <v>728.5999542752629</v>
      </c>
      <c r="D40" s="211">
        <v>1776447</v>
      </c>
      <c r="E40" s="211">
        <v>956068.86</v>
      </c>
      <c r="F40" s="211">
        <v>621453.68</v>
      </c>
      <c r="G40" s="211">
        <v>85529.41</v>
      </c>
      <c r="H40" s="211">
        <v>112812.83</v>
      </c>
      <c r="I40" s="211">
        <v>14121.55</v>
      </c>
      <c r="J40" s="211">
        <v>42802.01</v>
      </c>
      <c r="K40" s="211">
        <v>2483.77</v>
      </c>
      <c r="L40" s="211">
        <v>55005</v>
      </c>
      <c r="M40" s="211"/>
      <c r="N40" s="211"/>
      <c r="O40" s="211"/>
      <c r="P40" s="211"/>
      <c r="Q40" s="211"/>
      <c r="R40" s="211"/>
    </row>
    <row r="41" spans="1:18" s="198" customFormat="1" ht="13.5" customHeight="1">
      <c r="A41" s="209" t="s">
        <v>393</v>
      </c>
      <c r="B41" s="217">
        <v>103</v>
      </c>
      <c r="C41" s="210">
        <f t="shared" si="0"/>
        <v>763.6878155339806</v>
      </c>
      <c r="D41" s="211">
        <f>844539+20000</f>
        <v>864539</v>
      </c>
      <c r="E41" s="211">
        <v>471959.07</v>
      </c>
      <c r="F41" s="211">
        <v>289177.05</v>
      </c>
      <c r="G41" s="211">
        <v>44649.44</v>
      </c>
      <c r="H41" s="211">
        <v>53172.2</v>
      </c>
      <c r="I41" s="211">
        <v>6756.96</v>
      </c>
      <c r="J41" s="211">
        <v>28133.67</v>
      </c>
      <c r="K41" s="211">
        <v>0</v>
      </c>
      <c r="L41" s="211">
        <v>29876</v>
      </c>
      <c r="M41" s="211">
        <v>3120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</row>
    <row r="42" spans="1:18" s="198" customFormat="1" ht="13.5" customHeight="1">
      <c r="A42" s="209" t="s">
        <v>394</v>
      </c>
      <c r="B42" s="217">
        <v>106</v>
      </c>
      <c r="C42" s="210">
        <f t="shared" si="0"/>
        <v>743.251996855346</v>
      </c>
      <c r="D42" s="211">
        <f>861837+40000</f>
        <v>901837</v>
      </c>
      <c r="E42" s="211">
        <v>472708.27</v>
      </c>
      <c r="F42" s="211">
        <v>295962.78</v>
      </c>
      <c r="G42" s="211">
        <v>44866.28</v>
      </c>
      <c r="H42" s="211">
        <v>54701.3</v>
      </c>
      <c r="I42" s="211">
        <v>6993.21</v>
      </c>
      <c r="J42" s="211">
        <v>28029.85</v>
      </c>
      <c r="K42" s="211">
        <v>344.4</v>
      </c>
      <c r="L42" s="211">
        <v>22886</v>
      </c>
      <c r="M42" s="211">
        <v>1900</v>
      </c>
      <c r="N42" s="211">
        <v>520</v>
      </c>
      <c r="O42" s="211">
        <v>0</v>
      </c>
      <c r="P42" s="211">
        <v>0</v>
      </c>
      <c r="Q42" s="211">
        <v>0</v>
      </c>
      <c r="R42" s="211">
        <v>0</v>
      </c>
    </row>
    <row r="43" spans="1:18" s="198" customFormat="1" ht="13.5" customHeight="1">
      <c r="A43" s="212" t="s">
        <v>395</v>
      </c>
      <c r="B43" s="213">
        <f>SUM(B6:B42)</f>
        <v>4795.56</v>
      </c>
      <c r="C43" s="214">
        <f t="shared" si="0"/>
        <v>728.985294035872</v>
      </c>
      <c r="D43" s="213">
        <f aca="true" t="shared" si="1" ref="D43:L43">SUM(D6:D42)</f>
        <v>39497408</v>
      </c>
      <c r="E43" s="213">
        <f t="shared" si="1"/>
        <v>20975356.3</v>
      </c>
      <c r="F43" s="213">
        <f t="shared" si="1"/>
        <v>13006029.439999998</v>
      </c>
      <c r="G43" s="213">
        <f t="shared" si="1"/>
        <v>1925874.9199999997</v>
      </c>
      <c r="H43" s="213">
        <f t="shared" si="1"/>
        <v>2446449.79</v>
      </c>
      <c r="I43" s="213">
        <f t="shared" si="1"/>
        <v>284120.98000000004</v>
      </c>
      <c r="J43" s="213">
        <f t="shared" si="1"/>
        <v>1098448.56</v>
      </c>
      <c r="K43" s="213">
        <f t="shared" si="1"/>
        <v>84155.83</v>
      </c>
      <c r="L43" s="213">
        <f t="shared" si="1"/>
        <v>1233492.76</v>
      </c>
      <c r="M43" s="213">
        <f aca="true" t="shared" si="2" ref="M43:R43">SUM(M6:M42)</f>
        <v>83950</v>
      </c>
      <c r="N43" s="213">
        <f t="shared" si="2"/>
        <v>30956.25</v>
      </c>
      <c r="O43" s="213">
        <f t="shared" si="2"/>
        <v>11000</v>
      </c>
      <c r="P43" s="213">
        <f t="shared" si="2"/>
        <v>9247.9</v>
      </c>
      <c r="Q43" s="213">
        <f t="shared" si="2"/>
        <v>1404</v>
      </c>
      <c r="R43" s="213">
        <f t="shared" si="2"/>
        <v>1404</v>
      </c>
    </row>
  </sheetData>
  <mergeCells count="9">
    <mergeCell ref="F4:L4"/>
    <mergeCell ref="A2:R2"/>
    <mergeCell ref="O4:P4"/>
    <mergeCell ref="Q4:R4"/>
    <mergeCell ref="D4:E4"/>
    <mergeCell ref="M4:N4"/>
    <mergeCell ref="A4:A5"/>
    <mergeCell ref="B4:B5"/>
    <mergeCell ref="C4:C5"/>
  </mergeCells>
  <printOptions/>
  <pageMargins left="0.5905511811023623" right="0.3937007874015748" top="0.5511811023622047" bottom="0.35433070866141736" header="0.5118110236220472" footer="0.1181102362204724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1" sqref="J61"/>
    </sheetView>
  </sheetViews>
  <sheetFormatPr defaultColWidth="9.00390625" defaultRowHeight="12.75"/>
  <cols>
    <col min="1" max="1" width="12.375" style="197" customWidth="1"/>
    <col min="2" max="2" width="7.625" style="197" customWidth="1"/>
    <col min="3" max="3" width="7.375" style="197" customWidth="1"/>
    <col min="4" max="4" width="5.375" style="197" customWidth="1"/>
    <col min="5" max="5" width="6.625" style="197" customWidth="1"/>
    <col min="6" max="7" width="5.75390625" style="197" customWidth="1"/>
    <col min="8" max="8" width="6.875" style="197" customWidth="1"/>
    <col min="9" max="9" width="5.375" style="197" bestFit="1" customWidth="1"/>
    <col min="10" max="10" width="7.375" style="197" customWidth="1"/>
    <col min="11" max="11" width="5.375" style="197" bestFit="1" customWidth="1"/>
    <col min="12" max="12" width="7.125" style="197" customWidth="1"/>
    <col min="13" max="13" width="6.375" style="197" bestFit="1" customWidth="1"/>
    <col min="14" max="14" width="5.75390625" style="197" bestFit="1" customWidth="1"/>
    <col min="15" max="16" width="5.75390625" style="197" customWidth="1"/>
    <col min="17" max="17" width="5.25390625" style="197" bestFit="1" customWidth="1"/>
    <col min="18" max="18" width="7.125" style="197" customWidth="1"/>
    <col min="19" max="19" width="5.75390625" style="197" bestFit="1" customWidth="1"/>
    <col min="20" max="20" width="7.00390625" style="197" bestFit="1" customWidth="1"/>
    <col min="21" max="21" width="5.75390625" style="197" bestFit="1" customWidth="1"/>
    <col min="22" max="22" width="6.125" style="197" bestFit="1" customWidth="1"/>
    <col min="23" max="24" width="4.875" style="197" bestFit="1" customWidth="1"/>
    <col min="25" max="25" width="6.125" style="197" customWidth="1"/>
    <col min="26" max="16384" width="9.125" style="197" customWidth="1"/>
  </cols>
  <sheetData>
    <row r="1" ht="11.25">
      <c r="Y1" s="86" t="s">
        <v>405</v>
      </c>
    </row>
    <row r="2" ht="18">
      <c r="A2" s="196" t="s">
        <v>406</v>
      </c>
    </row>
    <row r="3" ht="11.25">
      <c r="A3" s="215"/>
    </row>
    <row r="4" ht="11.25">
      <c r="A4" s="215"/>
    </row>
    <row r="5" spans="1:25" ht="20.25" customHeight="1">
      <c r="A5" s="255" t="s">
        <v>200</v>
      </c>
      <c r="B5" s="257" t="s">
        <v>402</v>
      </c>
      <c r="C5" s="262" t="s">
        <v>354</v>
      </c>
      <c r="D5" s="225" t="s">
        <v>399</v>
      </c>
      <c r="E5" s="226"/>
      <c r="F5" s="226"/>
      <c r="G5" s="226"/>
      <c r="H5" s="226"/>
      <c r="I5" s="226"/>
      <c r="J5" s="227"/>
      <c r="K5" s="225" t="s">
        <v>400</v>
      </c>
      <c r="L5" s="227"/>
      <c r="M5" s="224"/>
      <c r="N5" s="228" t="s">
        <v>401</v>
      </c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30"/>
    </row>
    <row r="6" spans="1:25" ht="11.25">
      <c r="A6" s="256"/>
      <c r="B6" s="258"/>
      <c r="C6" s="263"/>
      <c r="D6" s="231" t="s">
        <v>297</v>
      </c>
      <c r="E6" s="231"/>
      <c r="F6" s="231"/>
      <c r="G6" s="231"/>
      <c r="H6" s="231"/>
      <c r="I6" s="260" t="s">
        <v>298</v>
      </c>
      <c r="J6" s="260" t="s">
        <v>299</v>
      </c>
      <c r="K6" s="260" t="s">
        <v>298</v>
      </c>
      <c r="L6" s="260" t="s">
        <v>299</v>
      </c>
      <c r="M6" s="260" t="s">
        <v>300</v>
      </c>
      <c r="N6" s="233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5"/>
    </row>
    <row r="7" spans="1:25" s="241" customFormat="1" ht="22.5">
      <c r="A7" s="207"/>
      <c r="B7" s="236"/>
      <c r="C7" s="236"/>
      <c r="D7" s="237" t="s">
        <v>102</v>
      </c>
      <c r="E7" s="232" t="s">
        <v>303</v>
      </c>
      <c r="F7" s="232" t="s">
        <v>304</v>
      </c>
      <c r="G7" s="232" t="s">
        <v>305</v>
      </c>
      <c r="H7" s="232" t="s">
        <v>306</v>
      </c>
      <c r="I7" s="261"/>
      <c r="J7" s="261"/>
      <c r="K7" s="261"/>
      <c r="L7" s="261"/>
      <c r="M7" s="261"/>
      <c r="N7" s="238">
        <v>5</v>
      </c>
      <c r="O7" s="239">
        <v>6</v>
      </c>
      <c r="P7" s="239">
        <v>7</v>
      </c>
      <c r="Q7" s="239">
        <v>7.5</v>
      </c>
      <c r="R7" s="239">
        <v>8</v>
      </c>
      <c r="S7" s="239">
        <v>8.5</v>
      </c>
      <c r="T7" s="239">
        <v>9</v>
      </c>
      <c r="U7" s="239">
        <v>9.5</v>
      </c>
      <c r="V7" s="239">
        <v>10</v>
      </c>
      <c r="W7" s="239">
        <v>10.5</v>
      </c>
      <c r="X7" s="239">
        <v>11</v>
      </c>
      <c r="Y7" s="240" t="s">
        <v>403</v>
      </c>
    </row>
    <row r="8" spans="1:25" ht="11.25">
      <c r="A8" s="209" t="s">
        <v>358</v>
      </c>
      <c r="B8" s="217">
        <v>76.8</v>
      </c>
      <c r="C8" s="242">
        <v>3</v>
      </c>
      <c r="D8" s="243">
        <f aca="true" t="shared" si="0" ref="D8:D44">E8+F8+G8+H8</f>
        <v>7.38</v>
      </c>
      <c r="E8" s="243">
        <v>0.2</v>
      </c>
      <c r="F8" s="243">
        <v>2</v>
      </c>
      <c r="G8" s="243">
        <v>4.18</v>
      </c>
      <c r="H8" s="243">
        <v>1</v>
      </c>
      <c r="I8" s="243">
        <v>1</v>
      </c>
      <c r="J8" s="243">
        <v>4.25</v>
      </c>
      <c r="K8" s="243">
        <v>0.75</v>
      </c>
      <c r="L8" s="243">
        <v>1.75</v>
      </c>
      <c r="M8" s="243">
        <f aca="true" t="shared" si="1" ref="M8:M44">D8+I8+J8+K8+L8</f>
        <v>15.129999999999999</v>
      </c>
      <c r="N8" s="244">
        <v>2.66</v>
      </c>
      <c r="O8" s="244">
        <v>0</v>
      </c>
      <c r="P8" s="245">
        <v>0</v>
      </c>
      <c r="Q8" s="245">
        <v>0</v>
      </c>
      <c r="R8" s="245">
        <v>28.5</v>
      </c>
      <c r="S8" s="245">
        <v>0</v>
      </c>
      <c r="T8" s="245">
        <v>33</v>
      </c>
      <c r="U8" s="245">
        <v>0</v>
      </c>
      <c r="V8" s="245">
        <v>12.66</v>
      </c>
      <c r="W8" s="245">
        <v>0</v>
      </c>
      <c r="X8" s="245">
        <v>0</v>
      </c>
      <c r="Y8" s="246">
        <f aca="true" t="shared" si="2" ref="Y8:Y44">SUM(N8:X8)</f>
        <v>76.82</v>
      </c>
    </row>
    <row r="9" spans="1:25" ht="11.25">
      <c r="A9" s="209" t="s">
        <v>359</v>
      </c>
      <c r="B9" s="217">
        <v>114</v>
      </c>
      <c r="C9" s="242">
        <v>5</v>
      </c>
      <c r="D9" s="243">
        <f t="shared" si="0"/>
        <v>9.399999999999999</v>
      </c>
      <c r="E9" s="243">
        <v>0</v>
      </c>
      <c r="F9" s="243">
        <v>5.52</v>
      </c>
      <c r="G9" s="243">
        <v>2.88</v>
      </c>
      <c r="H9" s="243">
        <v>1</v>
      </c>
      <c r="I9" s="243">
        <v>1.5</v>
      </c>
      <c r="J9" s="243">
        <v>5.75</v>
      </c>
      <c r="K9" s="243">
        <v>0.5</v>
      </c>
      <c r="L9" s="243">
        <v>2.75</v>
      </c>
      <c r="M9" s="243">
        <f t="shared" si="1"/>
        <v>19.9</v>
      </c>
      <c r="N9" s="244">
        <v>1</v>
      </c>
      <c r="O9" s="244">
        <v>0</v>
      </c>
      <c r="P9" s="245">
        <v>4</v>
      </c>
      <c r="Q9" s="245">
        <v>1</v>
      </c>
      <c r="R9" s="245">
        <v>45</v>
      </c>
      <c r="S9" s="245">
        <v>8</v>
      </c>
      <c r="T9" s="245">
        <v>48</v>
      </c>
      <c r="U9" s="245">
        <v>3</v>
      </c>
      <c r="V9" s="245">
        <v>4</v>
      </c>
      <c r="W9" s="245">
        <v>0</v>
      </c>
      <c r="X9" s="245">
        <v>0</v>
      </c>
      <c r="Y9" s="246">
        <f t="shared" si="2"/>
        <v>114</v>
      </c>
    </row>
    <row r="10" spans="1:25" ht="11.25">
      <c r="A10" s="209" t="s">
        <v>360</v>
      </c>
      <c r="B10" s="217">
        <v>140</v>
      </c>
      <c r="C10" s="242">
        <v>5</v>
      </c>
      <c r="D10" s="243">
        <f t="shared" si="0"/>
        <v>11.27</v>
      </c>
      <c r="E10" s="243">
        <v>1</v>
      </c>
      <c r="F10" s="243">
        <v>1</v>
      </c>
      <c r="G10" s="243">
        <v>3.32</v>
      </c>
      <c r="H10" s="243">
        <v>5.95</v>
      </c>
      <c r="I10" s="243">
        <v>1.5</v>
      </c>
      <c r="J10" s="243">
        <v>7.5</v>
      </c>
      <c r="K10" s="243">
        <v>0.5</v>
      </c>
      <c r="L10" s="243">
        <v>3</v>
      </c>
      <c r="M10" s="243">
        <f t="shared" si="1"/>
        <v>23.77</v>
      </c>
      <c r="N10" s="244">
        <v>1</v>
      </c>
      <c r="O10" s="244">
        <v>2</v>
      </c>
      <c r="P10" s="245">
        <v>0</v>
      </c>
      <c r="Q10" s="245">
        <v>1</v>
      </c>
      <c r="R10" s="245">
        <v>9</v>
      </c>
      <c r="S10" s="245">
        <v>24</v>
      </c>
      <c r="T10" s="245">
        <v>44</v>
      </c>
      <c r="U10" s="245">
        <v>21</v>
      </c>
      <c r="V10" s="245">
        <v>30</v>
      </c>
      <c r="W10" s="245">
        <v>5</v>
      </c>
      <c r="X10" s="245">
        <v>3</v>
      </c>
      <c r="Y10" s="246">
        <f t="shared" si="2"/>
        <v>140</v>
      </c>
    </row>
    <row r="11" spans="1:25" ht="17.25" customHeight="1">
      <c r="A11" s="209" t="s">
        <v>361</v>
      </c>
      <c r="B11" s="217">
        <v>125</v>
      </c>
      <c r="C11" s="242">
        <v>5</v>
      </c>
      <c r="D11" s="243">
        <f t="shared" si="0"/>
        <v>13.08</v>
      </c>
      <c r="E11" s="243">
        <v>2</v>
      </c>
      <c r="F11" s="243">
        <v>2.33</v>
      </c>
      <c r="G11" s="243">
        <v>6.5</v>
      </c>
      <c r="H11" s="243">
        <v>2.25</v>
      </c>
      <c r="I11" s="243">
        <v>1.5</v>
      </c>
      <c r="J11" s="243">
        <v>8.25</v>
      </c>
      <c r="K11" s="243">
        <v>0.5</v>
      </c>
      <c r="L11" s="243">
        <v>3</v>
      </c>
      <c r="M11" s="243">
        <f t="shared" si="1"/>
        <v>26.33</v>
      </c>
      <c r="N11" s="244">
        <v>17</v>
      </c>
      <c r="O11" s="244">
        <v>3</v>
      </c>
      <c r="P11" s="244">
        <v>0</v>
      </c>
      <c r="Q11" s="244">
        <v>0</v>
      </c>
      <c r="R11" s="244">
        <v>71</v>
      </c>
      <c r="S11" s="244">
        <v>2</v>
      </c>
      <c r="T11" s="245">
        <v>24</v>
      </c>
      <c r="U11" s="245">
        <v>1</v>
      </c>
      <c r="V11" s="245">
        <v>7</v>
      </c>
      <c r="W11" s="245">
        <v>0</v>
      </c>
      <c r="X11" s="245">
        <v>0</v>
      </c>
      <c r="Y11" s="246">
        <f t="shared" si="2"/>
        <v>125</v>
      </c>
    </row>
    <row r="12" spans="1:25" ht="11.25">
      <c r="A12" s="209" t="s">
        <v>362</v>
      </c>
      <c r="B12" s="217">
        <v>98</v>
      </c>
      <c r="C12" s="242">
        <v>4</v>
      </c>
      <c r="D12" s="243">
        <f t="shared" si="0"/>
        <v>8.030000000000001</v>
      </c>
      <c r="E12" s="243">
        <v>1</v>
      </c>
      <c r="F12" s="243">
        <v>4.03</v>
      </c>
      <c r="G12" s="243">
        <v>0</v>
      </c>
      <c r="H12" s="243">
        <v>3</v>
      </c>
      <c r="I12" s="243">
        <v>1.5</v>
      </c>
      <c r="J12" s="243">
        <v>4.5</v>
      </c>
      <c r="K12" s="243">
        <v>0.5</v>
      </c>
      <c r="L12" s="243">
        <v>2</v>
      </c>
      <c r="M12" s="243">
        <f t="shared" si="1"/>
        <v>16.53</v>
      </c>
      <c r="N12" s="244">
        <v>14</v>
      </c>
      <c r="O12" s="244">
        <v>0</v>
      </c>
      <c r="P12" s="244">
        <v>1</v>
      </c>
      <c r="Q12" s="244">
        <v>0</v>
      </c>
      <c r="R12" s="244">
        <v>46</v>
      </c>
      <c r="S12" s="244">
        <v>6</v>
      </c>
      <c r="T12" s="245">
        <v>18</v>
      </c>
      <c r="U12" s="245">
        <v>2</v>
      </c>
      <c r="V12" s="245">
        <v>10</v>
      </c>
      <c r="W12" s="245">
        <v>1</v>
      </c>
      <c r="X12" s="245">
        <v>0</v>
      </c>
      <c r="Y12" s="246">
        <f t="shared" si="2"/>
        <v>98</v>
      </c>
    </row>
    <row r="13" spans="1:25" ht="11.25">
      <c r="A13" s="209" t="s">
        <v>363</v>
      </c>
      <c r="B13" s="217">
        <v>100</v>
      </c>
      <c r="C13" s="242">
        <v>4</v>
      </c>
      <c r="D13" s="243">
        <f t="shared" si="0"/>
        <v>8.899999999999999</v>
      </c>
      <c r="E13" s="243">
        <v>0</v>
      </c>
      <c r="F13" s="243">
        <v>1.8</v>
      </c>
      <c r="G13" s="243">
        <v>3</v>
      </c>
      <c r="H13" s="243">
        <v>4.1</v>
      </c>
      <c r="I13" s="243">
        <v>1</v>
      </c>
      <c r="J13" s="243">
        <v>5.75</v>
      </c>
      <c r="K13" s="243">
        <v>0.75</v>
      </c>
      <c r="L13" s="243">
        <v>2.5</v>
      </c>
      <c r="M13" s="243">
        <f t="shared" si="1"/>
        <v>18.9</v>
      </c>
      <c r="N13" s="244">
        <v>11.33</v>
      </c>
      <c r="O13" s="244">
        <v>0</v>
      </c>
      <c r="P13" s="245">
        <v>0</v>
      </c>
      <c r="Q13" s="245">
        <v>0</v>
      </c>
      <c r="R13" s="245">
        <v>26</v>
      </c>
      <c r="S13" s="245">
        <v>11.7</v>
      </c>
      <c r="T13" s="245">
        <v>30.3</v>
      </c>
      <c r="U13" s="245">
        <v>13.7</v>
      </c>
      <c r="V13" s="245">
        <v>5</v>
      </c>
      <c r="W13" s="245">
        <v>1</v>
      </c>
      <c r="X13" s="245">
        <v>1</v>
      </c>
      <c r="Y13" s="246">
        <f t="shared" si="2"/>
        <v>100.03</v>
      </c>
    </row>
    <row r="14" spans="1:25" ht="11.25">
      <c r="A14" s="209" t="s">
        <v>364</v>
      </c>
      <c r="B14" s="217">
        <v>108</v>
      </c>
      <c r="C14" s="242">
        <v>4</v>
      </c>
      <c r="D14" s="243">
        <f t="shared" si="0"/>
        <v>8.98</v>
      </c>
      <c r="E14" s="243">
        <v>0</v>
      </c>
      <c r="F14" s="243">
        <v>0.08</v>
      </c>
      <c r="G14" s="243">
        <v>3</v>
      </c>
      <c r="H14" s="243">
        <v>5.9</v>
      </c>
      <c r="I14" s="243">
        <v>1.35</v>
      </c>
      <c r="J14" s="243">
        <v>5.5</v>
      </c>
      <c r="K14" s="243">
        <v>0.5</v>
      </c>
      <c r="L14" s="243">
        <v>2.63</v>
      </c>
      <c r="M14" s="243">
        <f t="shared" si="1"/>
        <v>18.959999999999997</v>
      </c>
      <c r="N14" s="244">
        <v>6</v>
      </c>
      <c r="O14" s="244">
        <v>0</v>
      </c>
      <c r="P14" s="245">
        <v>0</v>
      </c>
      <c r="Q14" s="245">
        <v>0</v>
      </c>
      <c r="R14" s="245">
        <v>35</v>
      </c>
      <c r="S14" s="245">
        <v>0</v>
      </c>
      <c r="T14" s="245">
        <v>46</v>
      </c>
      <c r="U14" s="245">
        <v>0</v>
      </c>
      <c r="V14" s="245">
        <v>21</v>
      </c>
      <c r="W14" s="245">
        <v>0</v>
      </c>
      <c r="X14" s="245">
        <v>0</v>
      </c>
      <c r="Y14" s="246">
        <f t="shared" si="2"/>
        <v>108</v>
      </c>
    </row>
    <row r="15" spans="1:25" ht="11.25">
      <c r="A15" s="209" t="s">
        <v>365</v>
      </c>
      <c r="B15" s="217">
        <v>163</v>
      </c>
      <c r="C15" s="242">
        <v>6</v>
      </c>
      <c r="D15" s="243">
        <f t="shared" si="0"/>
        <v>12.72</v>
      </c>
      <c r="E15" s="243">
        <v>0.16</v>
      </c>
      <c r="F15" s="243">
        <v>6</v>
      </c>
      <c r="G15" s="243">
        <v>0.48</v>
      </c>
      <c r="H15" s="243">
        <v>6.08</v>
      </c>
      <c r="I15" s="243">
        <v>1.25</v>
      </c>
      <c r="J15" s="243">
        <v>7</v>
      </c>
      <c r="K15" s="243">
        <v>1</v>
      </c>
      <c r="L15" s="243">
        <v>3.5</v>
      </c>
      <c r="M15" s="243">
        <f t="shared" si="1"/>
        <v>25.47</v>
      </c>
      <c r="N15" s="244">
        <v>17</v>
      </c>
      <c r="O15" s="244">
        <v>0</v>
      </c>
      <c r="P15" s="244">
        <v>0</v>
      </c>
      <c r="Q15" s="244">
        <v>0</v>
      </c>
      <c r="R15" s="244">
        <v>67</v>
      </c>
      <c r="S15" s="244">
        <v>0</v>
      </c>
      <c r="T15" s="245">
        <v>55</v>
      </c>
      <c r="U15" s="245">
        <v>0</v>
      </c>
      <c r="V15" s="245">
        <v>24</v>
      </c>
      <c r="W15" s="245">
        <v>0</v>
      </c>
      <c r="X15" s="245">
        <v>0</v>
      </c>
      <c r="Y15" s="246">
        <f t="shared" si="2"/>
        <v>163</v>
      </c>
    </row>
    <row r="16" spans="1:25" ht="11.25">
      <c r="A16" s="209" t="s">
        <v>366</v>
      </c>
      <c r="B16" s="217">
        <v>70</v>
      </c>
      <c r="C16" s="242">
        <v>3</v>
      </c>
      <c r="D16" s="243">
        <f t="shared" si="0"/>
        <v>4.91</v>
      </c>
      <c r="E16" s="243">
        <v>0.15</v>
      </c>
      <c r="F16" s="243">
        <v>1</v>
      </c>
      <c r="G16" s="243">
        <v>3.76</v>
      </c>
      <c r="H16" s="243">
        <v>0</v>
      </c>
      <c r="I16" s="243">
        <v>1.5</v>
      </c>
      <c r="J16" s="243">
        <v>5.24</v>
      </c>
      <c r="K16" s="243">
        <v>0.5</v>
      </c>
      <c r="L16" s="243">
        <v>2</v>
      </c>
      <c r="M16" s="243">
        <f t="shared" si="1"/>
        <v>14.15</v>
      </c>
      <c r="N16" s="244">
        <v>7</v>
      </c>
      <c r="O16" s="244">
        <v>2</v>
      </c>
      <c r="P16" s="245">
        <v>20</v>
      </c>
      <c r="Q16" s="245">
        <v>4</v>
      </c>
      <c r="R16" s="245">
        <v>12</v>
      </c>
      <c r="S16" s="245">
        <v>11</v>
      </c>
      <c r="T16" s="245">
        <v>10</v>
      </c>
      <c r="U16" s="245">
        <v>2</v>
      </c>
      <c r="V16" s="245">
        <v>1</v>
      </c>
      <c r="W16" s="245">
        <v>1</v>
      </c>
      <c r="X16" s="245">
        <v>0</v>
      </c>
      <c r="Y16" s="246">
        <f t="shared" si="2"/>
        <v>70</v>
      </c>
    </row>
    <row r="17" spans="1:25" ht="11.25">
      <c r="A17" s="209" t="s">
        <v>367</v>
      </c>
      <c r="B17" s="217">
        <v>102.8</v>
      </c>
      <c r="C17" s="242">
        <v>4</v>
      </c>
      <c r="D17" s="243">
        <f t="shared" si="0"/>
        <v>9.280000000000001</v>
      </c>
      <c r="E17" s="243">
        <v>0</v>
      </c>
      <c r="F17" s="243">
        <v>2</v>
      </c>
      <c r="G17" s="243">
        <v>4.28</v>
      </c>
      <c r="H17" s="243">
        <v>3</v>
      </c>
      <c r="I17" s="243">
        <v>1</v>
      </c>
      <c r="J17" s="243">
        <v>5</v>
      </c>
      <c r="K17" s="243">
        <v>0.75</v>
      </c>
      <c r="L17" s="243">
        <v>2.5</v>
      </c>
      <c r="M17" s="243">
        <f t="shared" si="1"/>
        <v>18.53</v>
      </c>
      <c r="N17" s="244">
        <v>0</v>
      </c>
      <c r="O17" s="244">
        <v>0</v>
      </c>
      <c r="P17" s="244">
        <v>0</v>
      </c>
      <c r="Q17" s="244">
        <v>0</v>
      </c>
      <c r="R17" s="244">
        <v>27.8</v>
      </c>
      <c r="S17" s="244">
        <v>0</v>
      </c>
      <c r="T17" s="245">
        <v>50.2</v>
      </c>
      <c r="U17" s="245">
        <v>0</v>
      </c>
      <c r="V17" s="245">
        <v>20</v>
      </c>
      <c r="W17" s="245">
        <v>0</v>
      </c>
      <c r="X17" s="245">
        <v>4.8</v>
      </c>
      <c r="Y17" s="246">
        <f t="shared" si="2"/>
        <v>102.8</v>
      </c>
    </row>
    <row r="18" spans="1:25" ht="11.25">
      <c r="A18" s="209" t="s">
        <v>368</v>
      </c>
      <c r="B18" s="217">
        <v>111</v>
      </c>
      <c r="C18" s="242">
        <v>4</v>
      </c>
      <c r="D18" s="243">
        <f t="shared" si="0"/>
        <v>9.08</v>
      </c>
      <c r="E18" s="243">
        <v>0</v>
      </c>
      <c r="F18" s="243">
        <v>2.08</v>
      </c>
      <c r="G18" s="243">
        <v>2</v>
      </c>
      <c r="H18" s="243">
        <v>5</v>
      </c>
      <c r="I18" s="243">
        <v>1.35</v>
      </c>
      <c r="J18" s="243">
        <v>5</v>
      </c>
      <c r="K18" s="243">
        <v>0.5</v>
      </c>
      <c r="L18" s="243">
        <v>3</v>
      </c>
      <c r="M18" s="243">
        <f t="shared" si="1"/>
        <v>18.93</v>
      </c>
      <c r="N18" s="244">
        <v>16</v>
      </c>
      <c r="O18" s="244">
        <v>15</v>
      </c>
      <c r="P18" s="245">
        <v>0</v>
      </c>
      <c r="Q18" s="245">
        <v>0</v>
      </c>
      <c r="R18" s="245">
        <v>32</v>
      </c>
      <c r="S18" s="245">
        <v>0</v>
      </c>
      <c r="T18" s="245">
        <v>41</v>
      </c>
      <c r="U18" s="245">
        <v>0</v>
      </c>
      <c r="V18" s="245">
        <v>6</v>
      </c>
      <c r="W18" s="245">
        <v>0</v>
      </c>
      <c r="X18" s="245">
        <v>1</v>
      </c>
      <c r="Y18" s="246">
        <f t="shared" si="2"/>
        <v>111</v>
      </c>
    </row>
    <row r="19" spans="1:25" ht="11.25">
      <c r="A19" s="209" t="s">
        <v>369</v>
      </c>
      <c r="B19" s="217">
        <v>135</v>
      </c>
      <c r="C19" s="242">
        <v>5</v>
      </c>
      <c r="D19" s="243">
        <f t="shared" si="0"/>
        <v>10.440000000000001</v>
      </c>
      <c r="E19" s="243">
        <v>0</v>
      </c>
      <c r="F19" s="243">
        <v>2.89</v>
      </c>
      <c r="G19" s="243">
        <v>5.26</v>
      </c>
      <c r="H19" s="243">
        <v>2.29</v>
      </c>
      <c r="I19" s="243">
        <v>1.5</v>
      </c>
      <c r="J19" s="243">
        <v>5.36</v>
      </c>
      <c r="K19" s="243">
        <v>0.5</v>
      </c>
      <c r="L19" s="243">
        <v>3</v>
      </c>
      <c r="M19" s="243">
        <f t="shared" si="1"/>
        <v>20.8</v>
      </c>
      <c r="N19" s="244">
        <v>31</v>
      </c>
      <c r="O19" s="244">
        <v>1</v>
      </c>
      <c r="P19" s="245">
        <v>3</v>
      </c>
      <c r="Q19" s="245">
        <v>0</v>
      </c>
      <c r="R19" s="245">
        <v>59</v>
      </c>
      <c r="S19" s="245">
        <v>0</v>
      </c>
      <c r="T19" s="245">
        <v>29</v>
      </c>
      <c r="U19" s="245">
        <v>0</v>
      </c>
      <c r="V19" s="245">
        <v>12</v>
      </c>
      <c r="W19" s="245">
        <v>0</v>
      </c>
      <c r="X19" s="245">
        <v>0</v>
      </c>
      <c r="Y19" s="246">
        <f t="shared" si="2"/>
        <v>135</v>
      </c>
    </row>
    <row r="20" spans="1:25" ht="11.25">
      <c r="A20" s="209" t="s">
        <v>370</v>
      </c>
      <c r="B20" s="217">
        <v>132</v>
      </c>
      <c r="C20" s="242">
        <v>6</v>
      </c>
      <c r="D20" s="243">
        <f t="shared" si="0"/>
        <v>12.48</v>
      </c>
      <c r="E20" s="243">
        <v>2.06</v>
      </c>
      <c r="F20" s="243">
        <v>5.04</v>
      </c>
      <c r="G20" s="243">
        <v>4.25</v>
      </c>
      <c r="H20" s="243">
        <v>1.13</v>
      </c>
      <c r="I20" s="243">
        <v>1.5</v>
      </c>
      <c r="J20" s="243">
        <v>6.5</v>
      </c>
      <c r="K20" s="243">
        <v>0.5</v>
      </c>
      <c r="L20" s="243">
        <v>2.75</v>
      </c>
      <c r="M20" s="243">
        <f t="shared" si="1"/>
        <v>23.73</v>
      </c>
      <c r="N20" s="244">
        <v>7</v>
      </c>
      <c r="O20" s="244">
        <v>1</v>
      </c>
      <c r="P20" s="245">
        <v>9</v>
      </c>
      <c r="Q20" s="245">
        <v>1</v>
      </c>
      <c r="R20" s="245">
        <v>41</v>
      </c>
      <c r="S20" s="245">
        <v>4</v>
      </c>
      <c r="T20" s="245">
        <v>49</v>
      </c>
      <c r="U20" s="245">
        <v>7</v>
      </c>
      <c r="V20" s="245">
        <v>11</v>
      </c>
      <c r="W20" s="245">
        <v>1</v>
      </c>
      <c r="X20" s="245">
        <v>1</v>
      </c>
      <c r="Y20" s="246">
        <f t="shared" si="2"/>
        <v>132</v>
      </c>
    </row>
    <row r="21" spans="1:25" ht="11.25">
      <c r="A21" s="209" t="s">
        <v>371</v>
      </c>
      <c r="B21" s="217">
        <v>104.3</v>
      </c>
      <c r="C21" s="242">
        <v>4</v>
      </c>
      <c r="D21" s="243">
        <f t="shared" si="0"/>
        <v>8.26</v>
      </c>
      <c r="E21" s="243">
        <v>0</v>
      </c>
      <c r="F21" s="243">
        <v>2.15</v>
      </c>
      <c r="G21" s="243">
        <v>4.02</v>
      </c>
      <c r="H21" s="243">
        <v>2.09</v>
      </c>
      <c r="I21" s="243">
        <v>1.03</v>
      </c>
      <c r="J21" s="243">
        <v>4.75</v>
      </c>
      <c r="K21" s="243">
        <v>0.75</v>
      </c>
      <c r="L21" s="243">
        <v>2.5</v>
      </c>
      <c r="M21" s="243">
        <f t="shared" si="1"/>
        <v>17.29</v>
      </c>
      <c r="N21" s="244">
        <v>3.8</v>
      </c>
      <c r="O21" s="244">
        <v>2.5</v>
      </c>
      <c r="P21" s="245">
        <v>5</v>
      </c>
      <c r="Q21" s="245">
        <v>0</v>
      </c>
      <c r="R21" s="245">
        <v>48.2</v>
      </c>
      <c r="S21" s="245">
        <v>2.2</v>
      </c>
      <c r="T21" s="245">
        <v>27.3</v>
      </c>
      <c r="U21" s="245">
        <v>1</v>
      </c>
      <c r="V21" s="245">
        <v>14</v>
      </c>
      <c r="W21" s="245">
        <v>0</v>
      </c>
      <c r="X21" s="245">
        <v>0.3</v>
      </c>
      <c r="Y21" s="246">
        <f t="shared" si="2"/>
        <v>104.3</v>
      </c>
    </row>
    <row r="22" spans="1:25" ht="11.25">
      <c r="A22" s="209" t="s">
        <v>372</v>
      </c>
      <c r="B22" s="217">
        <v>117</v>
      </c>
      <c r="C22" s="242">
        <v>5</v>
      </c>
      <c r="D22" s="243">
        <f t="shared" si="0"/>
        <v>12.73</v>
      </c>
      <c r="E22" s="243">
        <v>0</v>
      </c>
      <c r="F22" s="243">
        <v>7.35</v>
      </c>
      <c r="G22" s="243">
        <v>3.2</v>
      </c>
      <c r="H22" s="243">
        <v>2.18</v>
      </c>
      <c r="I22" s="243">
        <v>1</v>
      </c>
      <c r="J22" s="243">
        <v>6</v>
      </c>
      <c r="K22" s="243">
        <v>0.75</v>
      </c>
      <c r="L22" s="243">
        <v>2.25</v>
      </c>
      <c r="M22" s="243">
        <f t="shared" si="1"/>
        <v>22.73</v>
      </c>
      <c r="N22" s="244">
        <v>4</v>
      </c>
      <c r="O22" s="244">
        <v>0</v>
      </c>
      <c r="P22" s="245">
        <v>5</v>
      </c>
      <c r="Q22" s="245">
        <v>0</v>
      </c>
      <c r="R22" s="245">
        <v>4</v>
      </c>
      <c r="S22" s="245">
        <v>0</v>
      </c>
      <c r="T22" s="245">
        <v>86</v>
      </c>
      <c r="U22" s="245">
        <v>0</v>
      </c>
      <c r="V22" s="245">
        <v>18</v>
      </c>
      <c r="W22" s="245">
        <v>0</v>
      </c>
      <c r="X22" s="245">
        <v>0</v>
      </c>
      <c r="Y22" s="246">
        <f t="shared" si="2"/>
        <v>117</v>
      </c>
    </row>
    <row r="23" spans="1:25" ht="11.25">
      <c r="A23" s="209" t="s">
        <v>373</v>
      </c>
      <c r="B23" s="217">
        <v>108</v>
      </c>
      <c r="C23" s="242">
        <v>4</v>
      </c>
      <c r="D23" s="243">
        <f t="shared" si="0"/>
        <v>8.55</v>
      </c>
      <c r="E23" s="243">
        <v>0.22</v>
      </c>
      <c r="F23" s="243">
        <v>3.78</v>
      </c>
      <c r="G23" s="243">
        <v>2.55</v>
      </c>
      <c r="H23" s="243">
        <v>2</v>
      </c>
      <c r="I23" s="243">
        <v>1.575</v>
      </c>
      <c r="J23" s="243">
        <v>4.75</v>
      </c>
      <c r="K23" s="243">
        <v>0.5</v>
      </c>
      <c r="L23" s="243">
        <v>2</v>
      </c>
      <c r="M23" s="243">
        <f t="shared" si="1"/>
        <v>17.375</v>
      </c>
      <c r="N23" s="244">
        <v>6.4</v>
      </c>
      <c r="O23" s="244">
        <v>2</v>
      </c>
      <c r="P23" s="245">
        <v>11</v>
      </c>
      <c r="Q23" s="245">
        <v>3.5</v>
      </c>
      <c r="R23" s="245">
        <v>40</v>
      </c>
      <c r="S23" s="245">
        <v>1</v>
      </c>
      <c r="T23" s="245">
        <v>32.3</v>
      </c>
      <c r="U23" s="245">
        <v>2.8</v>
      </c>
      <c r="V23" s="245">
        <v>9</v>
      </c>
      <c r="W23" s="245">
        <v>0</v>
      </c>
      <c r="X23" s="245">
        <v>0</v>
      </c>
      <c r="Y23" s="246">
        <f t="shared" si="2"/>
        <v>107.99999999999999</v>
      </c>
    </row>
    <row r="24" spans="1:25" ht="11.25">
      <c r="A24" s="209" t="s">
        <v>374</v>
      </c>
      <c r="B24" s="217">
        <v>158</v>
      </c>
      <c r="C24" s="242">
        <v>6</v>
      </c>
      <c r="D24" s="243">
        <f t="shared" si="0"/>
        <v>13.12</v>
      </c>
      <c r="E24" s="243">
        <v>0</v>
      </c>
      <c r="F24" s="243">
        <v>5.6</v>
      </c>
      <c r="G24" s="243">
        <v>4.12</v>
      </c>
      <c r="H24" s="243">
        <v>3.4</v>
      </c>
      <c r="I24" s="243">
        <v>1.525</v>
      </c>
      <c r="J24" s="243">
        <v>8</v>
      </c>
      <c r="K24" s="243">
        <v>0.5</v>
      </c>
      <c r="L24" s="243">
        <v>3</v>
      </c>
      <c r="M24" s="243">
        <f t="shared" si="1"/>
        <v>26.145</v>
      </c>
      <c r="N24" s="244">
        <v>9</v>
      </c>
      <c r="O24" s="244">
        <v>1</v>
      </c>
      <c r="P24" s="245">
        <v>8</v>
      </c>
      <c r="Q24" s="245">
        <v>1</v>
      </c>
      <c r="R24" s="245">
        <v>49</v>
      </c>
      <c r="S24" s="245">
        <v>11</v>
      </c>
      <c r="T24" s="245">
        <v>48</v>
      </c>
      <c r="U24" s="245">
        <v>17</v>
      </c>
      <c r="V24" s="245">
        <v>12</v>
      </c>
      <c r="W24" s="245">
        <v>1</v>
      </c>
      <c r="X24" s="245">
        <v>1</v>
      </c>
      <c r="Y24" s="246">
        <f t="shared" si="2"/>
        <v>158</v>
      </c>
    </row>
    <row r="25" spans="1:25" ht="11.25">
      <c r="A25" s="209" t="s">
        <v>375</v>
      </c>
      <c r="B25" s="217">
        <v>100.16</v>
      </c>
      <c r="C25" s="242">
        <v>4</v>
      </c>
      <c r="D25" s="243">
        <f t="shared" si="0"/>
        <v>8.5</v>
      </c>
      <c r="E25" s="243">
        <v>0</v>
      </c>
      <c r="F25" s="243">
        <v>1</v>
      </c>
      <c r="G25" s="243">
        <v>6.36</v>
      </c>
      <c r="H25" s="243">
        <v>1.14</v>
      </c>
      <c r="I25" s="243">
        <v>1.35</v>
      </c>
      <c r="J25" s="243">
        <v>5.25</v>
      </c>
      <c r="K25" s="243">
        <v>0.5</v>
      </c>
      <c r="L25" s="243">
        <v>2.5</v>
      </c>
      <c r="M25" s="243">
        <f t="shared" si="1"/>
        <v>18.1</v>
      </c>
      <c r="N25" s="244">
        <v>3</v>
      </c>
      <c r="O25" s="244">
        <v>7.83</v>
      </c>
      <c r="P25" s="245">
        <v>11.33</v>
      </c>
      <c r="Q25" s="245">
        <v>0</v>
      </c>
      <c r="R25" s="245">
        <v>48.67</v>
      </c>
      <c r="S25" s="245">
        <v>0</v>
      </c>
      <c r="T25" s="245">
        <v>25.3</v>
      </c>
      <c r="U25" s="245">
        <v>0</v>
      </c>
      <c r="V25" s="245">
        <v>4</v>
      </c>
      <c r="W25" s="245">
        <v>0</v>
      </c>
      <c r="X25" s="245">
        <v>0</v>
      </c>
      <c r="Y25" s="246">
        <f t="shared" si="2"/>
        <v>100.13</v>
      </c>
    </row>
    <row r="26" spans="1:25" ht="11.25">
      <c r="A26" s="209" t="s">
        <v>376</v>
      </c>
      <c r="B26" s="217">
        <v>122.1</v>
      </c>
      <c r="C26" s="242">
        <v>5</v>
      </c>
      <c r="D26" s="243">
        <f t="shared" si="0"/>
        <v>9.46</v>
      </c>
      <c r="E26" s="243">
        <v>0</v>
      </c>
      <c r="F26" s="243">
        <v>3.3</v>
      </c>
      <c r="G26" s="243">
        <v>4</v>
      </c>
      <c r="H26" s="243">
        <v>2.16</v>
      </c>
      <c r="I26" s="243">
        <v>1.5</v>
      </c>
      <c r="J26" s="243">
        <v>6.25</v>
      </c>
      <c r="K26" s="243">
        <v>0.5</v>
      </c>
      <c r="L26" s="243">
        <v>2.875</v>
      </c>
      <c r="M26" s="243">
        <f t="shared" si="1"/>
        <v>20.585</v>
      </c>
      <c r="N26" s="244">
        <v>26</v>
      </c>
      <c r="O26" s="244">
        <v>0</v>
      </c>
      <c r="P26" s="245">
        <v>0</v>
      </c>
      <c r="Q26" s="245">
        <v>0</v>
      </c>
      <c r="R26" s="245">
        <v>55.8</v>
      </c>
      <c r="S26" s="245">
        <v>7.5</v>
      </c>
      <c r="T26" s="245">
        <v>22.8</v>
      </c>
      <c r="U26" s="245">
        <v>2</v>
      </c>
      <c r="V26" s="245">
        <v>8</v>
      </c>
      <c r="W26" s="245">
        <v>0</v>
      </c>
      <c r="X26" s="245">
        <v>0</v>
      </c>
      <c r="Y26" s="246">
        <f t="shared" si="2"/>
        <v>122.1</v>
      </c>
    </row>
    <row r="27" spans="1:25" ht="11.25">
      <c r="A27" s="209" t="s">
        <v>377</v>
      </c>
      <c r="B27" s="217">
        <v>139</v>
      </c>
      <c r="C27" s="242">
        <v>5</v>
      </c>
      <c r="D27" s="243">
        <f t="shared" si="0"/>
        <v>14.82</v>
      </c>
      <c r="E27" s="243">
        <v>0.88</v>
      </c>
      <c r="F27" s="243">
        <v>4.8</v>
      </c>
      <c r="G27" s="243">
        <v>1</v>
      </c>
      <c r="H27" s="243">
        <v>8.14</v>
      </c>
      <c r="I27" s="243">
        <v>1.25</v>
      </c>
      <c r="J27" s="243">
        <v>6.5</v>
      </c>
      <c r="K27" s="243">
        <v>0.5</v>
      </c>
      <c r="L27" s="243">
        <v>3</v>
      </c>
      <c r="M27" s="243">
        <f t="shared" si="1"/>
        <v>26.07</v>
      </c>
      <c r="N27" s="244">
        <v>14</v>
      </c>
      <c r="O27" s="244">
        <v>4</v>
      </c>
      <c r="P27" s="245">
        <v>13</v>
      </c>
      <c r="Q27" s="245">
        <v>6</v>
      </c>
      <c r="R27" s="245">
        <v>36</v>
      </c>
      <c r="S27" s="245">
        <v>6</v>
      </c>
      <c r="T27" s="245">
        <v>44</v>
      </c>
      <c r="U27" s="245">
        <v>3</v>
      </c>
      <c r="V27" s="245">
        <v>12</v>
      </c>
      <c r="W27" s="245">
        <v>0</v>
      </c>
      <c r="X27" s="245">
        <v>1</v>
      </c>
      <c r="Y27" s="246">
        <f t="shared" si="2"/>
        <v>139</v>
      </c>
    </row>
    <row r="28" spans="1:25" ht="17.25" customHeight="1">
      <c r="A28" s="209" t="s">
        <v>378</v>
      </c>
      <c r="B28" s="217">
        <v>146</v>
      </c>
      <c r="C28" s="242">
        <v>6</v>
      </c>
      <c r="D28" s="243">
        <f t="shared" si="0"/>
        <v>13.86</v>
      </c>
      <c r="E28" s="243">
        <v>0.94</v>
      </c>
      <c r="F28" s="243">
        <v>5.16</v>
      </c>
      <c r="G28" s="243">
        <v>6.76</v>
      </c>
      <c r="H28" s="243">
        <v>1</v>
      </c>
      <c r="I28" s="243">
        <v>1</v>
      </c>
      <c r="J28" s="243">
        <v>7.2</v>
      </c>
      <c r="K28" s="243">
        <v>1</v>
      </c>
      <c r="L28" s="243">
        <v>3</v>
      </c>
      <c r="M28" s="243">
        <f t="shared" si="1"/>
        <v>26.06</v>
      </c>
      <c r="N28" s="244">
        <v>7</v>
      </c>
      <c r="O28" s="244">
        <v>3</v>
      </c>
      <c r="P28" s="245">
        <v>11</v>
      </c>
      <c r="Q28" s="245">
        <v>0</v>
      </c>
      <c r="R28" s="245">
        <v>57</v>
      </c>
      <c r="S28" s="245">
        <v>5</v>
      </c>
      <c r="T28" s="245">
        <v>43</v>
      </c>
      <c r="U28" s="245">
        <v>8</v>
      </c>
      <c r="V28" s="245">
        <v>11</v>
      </c>
      <c r="W28" s="245">
        <v>0</v>
      </c>
      <c r="X28" s="245">
        <v>1</v>
      </c>
      <c r="Y28" s="246">
        <f t="shared" si="2"/>
        <v>146</v>
      </c>
    </row>
    <row r="29" spans="1:25" ht="13.5" customHeight="1">
      <c r="A29" s="209" t="s">
        <v>379</v>
      </c>
      <c r="B29" s="217">
        <v>130</v>
      </c>
      <c r="C29" s="242">
        <v>5</v>
      </c>
      <c r="D29" s="243">
        <f t="shared" si="0"/>
        <v>10.93</v>
      </c>
      <c r="E29" s="243">
        <v>1.12</v>
      </c>
      <c r="F29" s="243">
        <v>3.47</v>
      </c>
      <c r="G29" s="243">
        <v>0.2</v>
      </c>
      <c r="H29" s="243">
        <v>6.14</v>
      </c>
      <c r="I29" s="243">
        <v>1.25</v>
      </c>
      <c r="J29" s="243">
        <v>6.87</v>
      </c>
      <c r="K29" s="243">
        <v>0.75</v>
      </c>
      <c r="L29" s="243">
        <v>2.88</v>
      </c>
      <c r="M29" s="243">
        <f t="shared" si="1"/>
        <v>22.68</v>
      </c>
      <c r="N29" s="244">
        <v>32</v>
      </c>
      <c r="O29" s="244">
        <v>0</v>
      </c>
      <c r="P29" s="244">
        <v>0</v>
      </c>
      <c r="Q29" s="244">
        <v>0</v>
      </c>
      <c r="R29" s="244">
        <v>52</v>
      </c>
      <c r="S29" s="244">
        <v>4</v>
      </c>
      <c r="T29" s="245">
        <v>25</v>
      </c>
      <c r="U29" s="245">
        <v>7</v>
      </c>
      <c r="V29" s="245">
        <v>7</v>
      </c>
      <c r="W29" s="245">
        <v>3</v>
      </c>
      <c r="X29" s="245">
        <v>0</v>
      </c>
      <c r="Y29" s="246">
        <f t="shared" si="2"/>
        <v>130</v>
      </c>
    </row>
    <row r="30" spans="1:25" ht="16.5" customHeight="1">
      <c r="A30" s="209" t="s">
        <v>380</v>
      </c>
      <c r="B30" s="217">
        <v>127.3</v>
      </c>
      <c r="C30" s="242">
        <v>5</v>
      </c>
      <c r="D30" s="243">
        <f t="shared" si="0"/>
        <v>10.9</v>
      </c>
      <c r="E30" s="243">
        <v>0</v>
      </c>
      <c r="F30" s="243">
        <v>4.18</v>
      </c>
      <c r="G30" s="243">
        <v>5</v>
      </c>
      <c r="H30" s="243">
        <v>1.72</v>
      </c>
      <c r="I30" s="243">
        <v>1.25</v>
      </c>
      <c r="J30" s="243">
        <v>7.25</v>
      </c>
      <c r="K30" s="243">
        <v>0.5</v>
      </c>
      <c r="L30" s="243">
        <v>3</v>
      </c>
      <c r="M30" s="243">
        <f t="shared" si="1"/>
        <v>22.9</v>
      </c>
      <c r="N30" s="244">
        <v>46</v>
      </c>
      <c r="O30" s="244">
        <v>0</v>
      </c>
      <c r="P30" s="245">
        <v>2.5</v>
      </c>
      <c r="Q30" s="245">
        <v>2</v>
      </c>
      <c r="R30" s="245">
        <v>35.8</v>
      </c>
      <c r="S30" s="245">
        <v>3.3</v>
      </c>
      <c r="T30" s="245">
        <v>22.7</v>
      </c>
      <c r="U30" s="245">
        <v>4.2</v>
      </c>
      <c r="V30" s="245">
        <v>9.33</v>
      </c>
      <c r="W30" s="245">
        <v>1.5</v>
      </c>
      <c r="X30" s="245">
        <v>0</v>
      </c>
      <c r="Y30" s="246">
        <f t="shared" si="2"/>
        <v>127.33</v>
      </c>
    </row>
    <row r="31" spans="1:25" ht="12.75" customHeight="1">
      <c r="A31" s="209" t="s">
        <v>381</v>
      </c>
      <c r="B31" s="217">
        <v>126</v>
      </c>
      <c r="C31" s="242">
        <v>5</v>
      </c>
      <c r="D31" s="243">
        <f t="shared" si="0"/>
        <v>10.84</v>
      </c>
      <c r="E31" s="243">
        <v>0</v>
      </c>
      <c r="F31" s="243">
        <v>3.8</v>
      </c>
      <c r="G31" s="243">
        <v>4</v>
      </c>
      <c r="H31" s="243">
        <v>3.04</v>
      </c>
      <c r="I31" s="243">
        <v>1.25</v>
      </c>
      <c r="J31" s="243">
        <v>7</v>
      </c>
      <c r="K31" s="243">
        <v>0.5</v>
      </c>
      <c r="L31" s="243">
        <v>2.75</v>
      </c>
      <c r="M31" s="243">
        <f t="shared" si="1"/>
        <v>22.34</v>
      </c>
      <c r="N31" s="244">
        <v>1</v>
      </c>
      <c r="O31" s="244">
        <v>0</v>
      </c>
      <c r="P31" s="245">
        <v>0</v>
      </c>
      <c r="Q31" s="245">
        <v>0</v>
      </c>
      <c r="R31" s="245">
        <v>60</v>
      </c>
      <c r="S31" s="245">
        <v>9</v>
      </c>
      <c r="T31" s="245">
        <v>32</v>
      </c>
      <c r="U31" s="245">
        <v>7</v>
      </c>
      <c r="V31" s="245">
        <v>14</v>
      </c>
      <c r="W31" s="245">
        <v>2</v>
      </c>
      <c r="X31" s="245">
        <v>1</v>
      </c>
      <c r="Y31" s="246">
        <f t="shared" si="2"/>
        <v>126</v>
      </c>
    </row>
    <row r="32" spans="1:25" ht="18.75" customHeight="1">
      <c r="A32" s="209" t="s">
        <v>382</v>
      </c>
      <c r="B32" s="218">
        <v>134.3</v>
      </c>
      <c r="C32" s="247">
        <v>5</v>
      </c>
      <c r="D32" s="243">
        <f t="shared" si="0"/>
        <v>12.08</v>
      </c>
      <c r="E32" s="248">
        <v>0</v>
      </c>
      <c r="F32" s="248">
        <v>2.08</v>
      </c>
      <c r="G32" s="248">
        <v>1</v>
      </c>
      <c r="H32" s="248">
        <v>9</v>
      </c>
      <c r="I32" s="248">
        <v>1.5</v>
      </c>
      <c r="J32" s="248">
        <v>7.725</v>
      </c>
      <c r="K32" s="248">
        <v>0.5</v>
      </c>
      <c r="L32" s="248">
        <v>3</v>
      </c>
      <c r="M32" s="243">
        <f t="shared" si="1"/>
        <v>24.805</v>
      </c>
      <c r="N32" s="249">
        <v>3.8</v>
      </c>
      <c r="O32" s="249">
        <v>4</v>
      </c>
      <c r="P32" s="249">
        <v>7.3</v>
      </c>
      <c r="Q32" s="249">
        <v>0.5</v>
      </c>
      <c r="R32" s="249">
        <v>40.8</v>
      </c>
      <c r="S32" s="249">
        <v>2</v>
      </c>
      <c r="T32" s="245">
        <v>39.5</v>
      </c>
      <c r="U32" s="245">
        <v>4.5</v>
      </c>
      <c r="V32" s="245">
        <v>29.7</v>
      </c>
      <c r="W32" s="245">
        <v>0.2</v>
      </c>
      <c r="X32" s="245">
        <v>2</v>
      </c>
      <c r="Y32" s="246">
        <f t="shared" si="2"/>
        <v>134.29999999999998</v>
      </c>
    </row>
    <row r="33" spans="1:25" ht="11.25">
      <c r="A33" s="209" t="s">
        <v>383</v>
      </c>
      <c r="B33" s="217">
        <v>124.1</v>
      </c>
      <c r="C33" s="242">
        <v>5</v>
      </c>
      <c r="D33" s="243">
        <f t="shared" si="0"/>
        <v>9.43</v>
      </c>
      <c r="E33" s="243">
        <v>2</v>
      </c>
      <c r="F33" s="243">
        <v>0</v>
      </c>
      <c r="G33" s="243">
        <v>2.28</v>
      </c>
      <c r="H33" s="243">
        <v>5.15</v>
      </c>
      <c r="I33" s="243">
        <v>1.5</v>
      </c>
      <c r="J33" s="243">
        <v>6.75</v>
      </c>
      <c r="K33" s="243">
        <v>0.5</v>
      </c>
      <c r="L33" s="243">
        <v>3</v>
      </c>
      <c r="M33" s="243">
        <f t="shared" si="1"/>
        <v>21.18</v>
      </c>
      <c r="N33" s="244">
        <v>27</v>
      </c>
      <c r="O33" s="244">
        <v>1.7</v>
      </c>
      <c r="P33" s="245">
        <v>0.8</v>
      </c>
      <c r="Q33" s="245">
        <v>0</v>
      </c>
      <c r="R33" s="245">
        <v>49.5</v>
      </c>
      <c r="S33" s="245">
        <v>0</v>
      </c>
      <c r="T33" s="245">
        <v>34.3</v>
      </c>
      <c r="U33" s="245">
        <v>1</v>
      </c>
      <c r="V33" s="245">
        <v>9.8</v>
      </c>
      <c r="W33" s="245">
        <v>0</v>
      </c>
      <c r="X33" s="245">
        <v>0</v>
      </c>
      <c r="Y33" s="246">
        <f t="shared" si="2"/>
        <v>124.1</v>
      </c>
    </row>
    <row r="34" spans="1:25" ht="11.25">
      <c r="A34" s="209" t="s">
        <v>384</v>
      </c>
      <c r="B34" s="217">
        <v>101.5</v>
      </c>
      <c r="C34" s="242">
        <v>4</v>
      </c>
      <c r="D34" s="243">
        <f t="shared" si="0"/>
        <v>8.350000000000001</v>
      </c>
      <c r="E34" s="243">
        <v>0</v>
      </c>
      <c r="F34" s="243">
        <v>2</v>
      </c>
      <c r="G34" s="243">
        <v>1.2</v>
      </c>
      <c r="H34" s="243">
        <v>5.15</v>
      </c>
      <c r="I34" s="243">
        <v>1.5</v>
      </c>
      <c r="J34" s="243">
        <v>4.75</v>
      </c>
      <c r="K34" s="243">
        <v>0.25</v>
      </c>
      <c r="L34" s="243">
        <v>2</v>
      </c>
      <c r="M34" s="243">
        <f t="shared" si="1"/>
        <v>16.85</v>
      </c>
      <c r="N34" s="244">
        <v>8.7</v>
      </c>
      <c r="O34" s="244">
        <v>0</v>
      </c>
      <c r="P34" s="244">
        <v>0.3</v>
      </c>
      <c r="Q34" s="244">
        <v>0</v>
      </c>
      <c r="R34" s="244">
        <v>43.8</v>
      </c>
      <c r="S34" s="244">
        <v>1.7</v>
      </c>
      <c r="T34" s="245">
        <v>31.2</v>
      </c>
      <c r="U34" s="245">
        <v>8</v>
      </c>
      <c r="V34" s="245">
        <v>6.8</v>
      </c>
      <c r="W34" s="245">
        <v>0</v>
      </c>
      <c r="X34" s="245">
        <v>1</v>
      </c>
      <c r="Y34" s="246">
        <f t="shared" si="2"/>
        <v>101.5</v>
      </c>
    </row>
    <row r="35" spans="1:25" ht="11.25">
      <c r="A35" s="209" t="s">
        <v>385</v>
      </c>
      <c r="B35" s="217">
        <v>129</v>
      </c>
      <c r="C35" s="242">
        <v>5</v>
      </c>
      <c r="D35" s="243">
        <f t="shared" si="0"/>
        <v>9.940000000000001</v>
      </c>
      <c r="E35" s="243">
        <v>1</v>
      </c>
      <c r="F35" s="243">
        <v>4.06</v>
      </c>
      <c r="G35" s="243">
        <v>2.68</v>
      </c>
      <c r="H35" s="243">
        <v>2.2</v>
      </c>
      <c r="I35" s="243">
        <v>1.5</v>
      </c>
      <c r="J35" s="243">
        <v>5.75</v>
      </c>
      <c r="K35" s="243">
        <v>0.5</v>
      </c>
      <c r="L35" s="243">
        <v>3</v>
      </c>
      <c r="M35" s="243">
        <f t="shared" si="1"/>
        <v>20.69</v>
      </c>
      <c r="N35" s="244">
        <v>27</v>
      </c>
      <c r="O35" s="244">
        <v>0</v>
      </c>
      <c r="P35" s="245">
        <v>0</v>
      </c>
      <c r="Q35" s="245">
        <v>0</v>
      </c>
      <c r="R35" s="245">
        <v>62</v>
      </c>
      <c r="S35" s="245">
        <v>0</v>
      </c>
      <c r="T35" s="245">
        <v>22</v>
      </c>
      <c r="U35" s="245">
        <v>0</v>
      </c>
      <c r="V35" s="245">
        <v>17</v>
      </c>
      <c r="W35" s="245">
        <v>0</v>
      </c>
      <c r="X35" s="245">
        <v>1</v>
      </c>
      <c r="Y35" s="246">
        <f t="shared" si="2"/>
        <v>129</v>
      </c>
    </row>
    <row r="36" spans="1:25" ht="11.25">
      <c r="A36" s="209" t="s">
        <v>386</v>
      </c>
      <c r="B36" s="217">
        <v>120</v>
      </c>
      <c r="C36" s="242">
        <v>5</v>
      </c>
      <c r="D36" s="243">
        <f t="shared" si="0"/>
        <v>11.325</v>
      </c>
      <c r="E36" s="243">
        <v>1.17</v>
      </c>
      <c r="F36" s="243">
        <v>3.425</v>
      </c>
      <c r="G36" s="243">
        <v>3.73</v>
      </c>
      <c r="H36" s="243">
        <v>3</v>
      </c>
      <c r="I36" s="243">
        <v>1.5</v>
      </c>
      <c r="J36" s="243">
        <v>6.88</v>
      </c>
      <c r="K36" s="243">
        <v>0.5</v>
      </c>
      <c r="L36" s="243">
        <v>2.85</v>
      </c>
      <c r="M36" s="243">
        <f t="shared" si="1"/>
        <v>23.055</v>
      </c>
      <c r="N36" s="244">
        <v>14</v>
      </c>
      <c r="O36" s="244">
        <v>0</v>
      </c>
      <c r="P36" s="245">
        <v>2</v>
      </c>
      <c r="Q36" s="245">
        <v>0</v>
      </c>
      <c r="R36" s="245">
        <v>40</v>
      </c>
      <c r="S36" s="245">
        <v>0</v>
      </c>
      <c r="T36" s="245">
        <v>51</v>
      </c>
      <c r="U36" s="245">
        <v>0</v>
      </c>
      <c r="V36" s="245">
        <v>13</v>
      </c>
      <c r="W36" s="245">
        <v>0</v>
      </c>
      <c r="X36" s="245">
        <v>0</v>
      </c>
      <c r="Y36" s="246">
        <f t="shared" si="2"/>
        <v>120</v>
      </c>
    </row>
    <row r="37" spans="1:25" ht="11.25">
      <c r="A37" s="209" t="s">
        <v>387</v>
      </c>
      <c r="B37" s="217">
        <v>220.5</v>
      </c>
      <c r="C37" s="242">
        <v>8</v>
      </c>
      <c r="D37" s="243">
        <f t="shared" si="0"/>
        <v>18.87</v>
      </c>
      <c r="E37" s="243">
        <v>1</v>
      </c>
      <c r="F37" s="243">
        <v>8</v>
      </c>
      <c r="G37" s="243">
        <v>3.17</v>
      </c>
      <c r="H37" s="243">
        <v>6.7</v>
      </c>
      <c r="I37" s="243">
        <v>1.75</v>
      </c>
      <c r="J37" s="243">
        <v>10.75</v>
      </c>
      <c r="K37" s="243">
        <v>1</v>
      </c>
      <c r="L37" s="243">
        <v>3.75</v>
      </c>
      <c r="M37" s="243">
        <f t="shared" si="1"/>
        <v>36.120000000000005</v>
      </c>
      <c r="N37" s="244">
        <v>11.8</v>
      </c>
      <c r="O37" s="244">
        <v>0</v>
      </c>
      <c r="P37" s="245">
        <v>0</v>
      </c>
      <c r="Q37" s="245">
        <v>0</v>
      </c>
      <c r="R37" s="245">
        <v>28.8</v>
      </c>
      <c r="S37" s="245">
        <v>0</v>
      </c>
      <c r="T37" s="245">
        <v>129.9</v>
      </c>
      <c r="U37" s="245">
        <v>0</v>
      </c>
      <c r="V37" s="245">
        <v>48</v>
      </c>
      <c r="W37" s="245">
        <v>0</v>
      </c>
      <c r="X37" s="245">
        <v>2</v>
      </c>
      <c r="Y37" s="246">
        <f t="shared" si="2"/>
        <v>220.5</v>
      </c>
    </row>
    <row r="38" spans="1:25" ht="11.25">
      <c r="A38" s="209" t="s">
        <v>388</v>
      </c>
      <c r="B38" s="217">
        <v>226</v>
      </c>
      <c r="C38" s="242">
        <v>8</v>
      </c>
      <c r="D38" s="243">
        <f t="shared" si="0"/>
        <v>16.18</v>
      </c>
      <c r="E38" s="243">
        <v>0.5</v>
      </c>
      <c r="F38" s="243">
        <v>6.25</v>
      </c>
      <c r="G38" s="243">
        <v>3</v>
      </c>
      <c r="H38" s="243">
        <v>6.43</v>
      </c>
      <c r="I38" s="243">
        <v>2</v>
      </c>
      <c r="J38" s="243">
        <v>9.75</v>
      </c>
      <c r="K38" s="243">
        <v>0.5</v>
      </c>
      <c r="L38" s="243">
        <v>4.75</v>
      </c>
      <c r="M38" s="243">
        <f t="shared" si="1"/>
        <v>33.18</v>
      </c>
      <c r="N38" s="244">
        <v>59.83</v>
      </c>
      <c r="O38" s="244">
        <v>2</v>
      </c>
      <c r="P38" s="245">
        <v>0.33</v>
      </c>
      <c r="Q38" s="245">
        <v>0</v>
      </c>
      <c r="R38" s="245">
        <v>60.67</v>
      </c>
      <c r="S38" s="245">
        <v>0</v>
      </c>
      <c r="T38" s="245">
        <v>77.17</v>
      </c>
      <c r="U38" s="245">
        <v>0</v>
      </c>
      <c r="V38" s="245">
        <v>26</v>
      </c>
      <c r="W38" s="245">
        <v>0</v>
      </c>
      <c r="X38" s="245">
        <v>0</v>
      </c>
      <c r="Y38" s="246">
        <f t="shared" si="2"/>
        <v>226</v>
      </c>
    </row>
    <row r="39" spans="1:25" ht="11.25">
      <c r="A39" s="209" t="s">
        <v>389</v>
      </c>
      <c r="B39" s="217">
        <v>134</v>
      </c>
      <c r="C39" s="242">
        <v>5</v>
      </c>
      <c r="D39" s="243">
        <f t="shared" si="0"/>
        <v>10.879999999999999</v>
      </c>
      <c r="E39" s="243">
        <v>0</v>
      </c>
      <c r="F39" s="243">
        <v>2.88</v>
      </c>
      <c r="G39" s="243">
        <v>4</v>
      </c>
      <c r="H39" s="243">
        <v>4</v>
      </c>
      <c r="I39" s="243">
        <v>1.5</v>
      </c>
      <c r="J39" s="243">
        <v>7.25</v>
      </c>
      <c r="K39" s="243">
        <v>0.5</v>
      </c>
      <c r="L39" s="243">
        <v>2.5</v>
      </c>
      <c r="M39" s="243">
        <f t="shared" si="1"/>
        <v>22.63</v>
      </c>
      <c r="N39" s="244">
        <v>9</v>
      </c>
      <c r="O39" s="244">
        <v>4</v>
      </c>
      <c r="P39" s="245">
        <v>12</v>
      </c>
      <c r="Q39" s="245">
        <v>8</v>
      </c>
      <c r="R39" s="245">
        <v>43</v>
      </c>
      <c r="S39" s="245">
        <v>6</v>
      </c>
      <c r="T39" s="245">
        <v>37</v>
      </c>
      <c r="U39" s="245">
        <v>7</v>
      </c>
      <c r="V39" s="245">
        <v>7</v>
      </c>
      <c r="W39" s="245">
        <v>1</v>
      </c>
      <c r="X39" s="245">
        <v>0</v>
      </c>
      <c r="Y39" s="246">
        <f t="shared" si="2"/>
        <v>134</v>
      </c>
    </row>
    <row r="40" spans="1:25" ht="11.25">
      <c r="A40" s="209" t="s">
        <v>390</v>
      </c>
      <c r="B40" s="217">
        <v>187</v>
      </c>
      <c r="C40" s="242">
        <v>7</v>
      </c>
      <c r="D40" s="243">
        <f t="shared" si="0"/>
        <v>17.009999999999998</v>
      </c>
      <c r="E40" s="243">
        <v>0.83</v>
      </c>
      <c r="F40" s="243">
        <v>4.52</v>
      </c>
      <c r="G40" s="243">
        <v>7.62</v>
      </c>
      <c r="H40" s="243">
        <v>4.04</v>
      </c>
      <c r="I40" s="243">
        <v>1.75</v>
      </c>
      <c r="J40" s="243">
        <v>9.25</v>
      </c>
      <c r="K40" s="243">
        <v>0.5</v>
      </c>
      <c r="L40" s="243">
        <v>4</v>
      </c>
      <c r="M40" s="243">
        <f t="shared" si="1"/>
        <v>32.51</v>
      </c>
      <c r="N40" s="244">
        <v>9</v>
      </c>
      <c r="O40" s="244">
        <v>0</v>
      </c>
      <c r="P40" s="245">
        <v>0</v>
      </c>
      <c r="Q40" s="245">
        <v>0</v>
      </c>
      <c r="R40" s="245">
        <v>94</v>
      </c>
      <c r="S40" s="245">
        <v>0</v>
      </c>
      <c r="T40" s="245">
        <v>69</v>
      </c>
      <c r="U40" s="245">
        <v>0</v>
      </c>
      <c r="V40" s="245">
        <v>14</v>
      </c>
      <c r="W40" s="245">
        <v>0</v>
      </c>
      <c r="X40" s="245">
        <v>1</v>
      </c>
      <c r="Y40" s="246">
        <f t="shared" si="2"/>
        <v>187</v>
      </c>
    </row>
    <row r="41" spans="1:25" ht="11.25">
      <c r="A41" s="209" t="s">
        <v>391</v>
      </c>
      <c r="B41" s="217">
        <v>138</v>
      </c>
      <c r="C41" s="242">
        <v>5</v>
      </c>
      <c r="D41" s="243">
        <f t="shared" si="0"/>
        <v>10.81</v>
      </c>
      <c r="E41" s="243">
        <v>0</v>
      </c>
      <c r="F41" s="243">
        <v>2.25</v>
      </c>
      <c r="G41" s="243">
        <v>3.56</v>
      </c>
      <c r="H41" s="243">
        <v>5</v>
      </c>
      <c r="I41" s="243">
        <v>1.25</v>
      </c>
      <c r="J41" s="243">
        <v>7.5</v>
      </c>
      <c r="K41" s="243">
        <v>0.75</v>
      </c>
      <c r="L41" s="243">
        <v>3</v>
      </c>
      <c r="M41" s="243">
        <f t="shared" si="1"/>
        <v>23.310000000000002</v>
      </c>
      <c r="N41" s="244">
        <v>16</v>
      </c>
      <c r="O41" s="244">
        <v>0</v>
      </c>
      <c r="P41" s="245">
        <v>10</v>
      </c>
      <c r="Q41" s="245">
        <v>0</v>
      </c>
      <c r="R41" s="245">
        <v>56</v>
      </c>
      <c r="S41" s="245">
        <v>3</v>
      </c>
      <c r="T41" s="245">
        <v>38</v>
      </c>
      <c r="U41" s="245">
        <v>5</v>
      </c>
      <c r="V41" s="245">
        <v>10</v>
      </c>
      <c r="W41" s="245">
        <v>0</v>
      </c>
      <c r="X41" s="245">
        <v>0</v>
      </c>
      <c r="Y41" s="246">
        <f t="shared" si="2"/>
        <v>138</v>
      </c>
    </row>
    <row r="42" spans="1:25" ht="11.25">
      <c r="A42" s="209" t="s">
        <v>404</v>
      </c>
      <c r="B42" s="217">
        <v>218.7</v>
      </c>
      <c r="C42" s="242">
        <v>8</v>
      </c>
      <c r="D42" s="243">
        <f t="shared" si="0"/>
        <v>17.36</v>
      </c>
      <c r="E42" s="243">
        <v>0</v>
      </c>
      <c r="F42" s="243">
        <v>4</v>
      </c>
      <c r="G42" s="243">
        <v>5.41</v>
      </c>
      <c r="H42" s="243">
        <v>7.95</v>
      </c>
      <c r="I42" s="243">
        <v>1.87</v>
      </c>
      <c r="J42" s="243">
        <v>15.13</v>
      </c>
      <c r="K42" s="243">
        <v>0</v>
      </c>
      <c r="L42" s="243">
        <v>0</v>
      </c>
      <c r="M42" s="243">
        <f t="shared" si="1"/>
        <v>34.36</v>
      </c>
      <c r="N42" s="244">
        <v>5</v>
      </c>
      <c r="O42" s="244">
        <v>2</v>
      </c>
      <c r="P42" s="245">
        <v>14.67</v>
      </c>
      <c r="Q42" s="245">
        <v>4</v>
      </c>
      <c r="R42" s="245">
        <v>41.17</v>
      </c>
      <c r="S42" s="245">
        <v>11.33</v>
      </c>
      <c r="T42" s="245">
        <v>70.33</v>
      </c>
      <c r="U42" s="245">
        <v>12.5</v>
      </c>
      <c r="V42" s="245">
        <v>40.5</v>
      </c>
      <c r="W42" s="245">
        <v>8</v>
      </c>
      <c r="X42" s="245">
        <f>5.83+3.33</f>
        <v>9.16</v>
      </c>
      <c r="Y42" s="246">
        <f t="shared" si="2"/>
        <v>218.66</v>
      </c>
    </row>
    <row r="43" spans="1:25" ht="11.25">
      <c r="A43" s="209" t="s">
        <v>393</v>
      </c>
      <c r="B43" s="217">
        <v>103</v>
      </c>
      <c r="C43" s="242">
        <v>4</v>
      </c>
      <c r="D43" s="243">
        <f t="shared" si="0"/>
        <v>9.18</v>
      </c>
      <c r="E43" s="243">
        <v>1.8</v>
      </c>
      <c r="F43" s="243">
        <v>2.33</v>
      </c>
      <c r="G43" s="243">
        <v>5.05</v>
      </c>
      <c r="H43" s="243">
        <v>0</v>
      </c>
      <c r="I43" s="243">
        <v>1</v>
      </c>
      <c r="J43" s="243">
        <v>6</v>
      </c>
      <c r="K43" s="243">
        <v>0.75</v>
      </c>
      <c r="L43" s="243">
        <v>3</v>
      </c>
      <c r="M43" s="243">
        <f t="shared" si="1"/>
        <v>19.93</v>
      </c>
      <c r="N43" s="244">
        <v>4</v>
      </c>
      <c r="O43" s="244">
        <v>0</v>
      </c>
      <c r="P43" s="245">
        <v>0</v>
      </c>
      <c r="Q43" s="245">
        <v>0</v>
      </c>
      <c r="R43" s="245">
        <v>33</v>
      </c>
      <c r="S43" s="245">
        <v>0</v>
      </c>
      <c r="T43" s="245">
        <v>36</v>
      </c>
      <c r="U43" s="245">
        <v>13</v>
      </c>
      <c r="V43" s="245">
        <v>12</v>
      </c>
      <c r="W43" s="245">
        <v>2</v>
      </c>
      <c r="X43" s="245">
        <v>3</v>
      </c>
      <c r="Y43" s="246">
        <f t="shared" si="2"/>
        <v>103</v>
      </c>
    </row>
    <row r="44" spans="1:25" s="215" customFormat="1" ht="11.25">
      <c r="A44" s="209" t="s">
        <v>394</v>
      </c>
      <c r="B44" s="217">
        <v>106</v>
      </c>
      <c r="C44" s="242">
        <v>4</v>
      </c>
      <c r="D44" s="243">
        <f t="shared" si="0"/>
        <v>9.129999999999999</v>
      </c>
      <c r="E44" s="243">
        <v>1</v>
      </c>
      <c r="F44" s="243">
        <v>0</v>
      </c>
      <c r="G44" s="243">
        <v>4.04</v>
      </c>
      <c r="H44" s="243">
        <v>4.09</v>
      </c>
      <c r="I44" s="243">
        <v>0.75</v>
      </c>
      <c r="J44" s="243">
        <v>5.75</v>
      </c>
      <c r="K44" s="243">
        <v>1</v>
      </c>
      <c r="L44" s="243">
        <v>2</v>
      </c>
      <c r="M44" s="243">
        <f t="shared" si="1"/>
        <v>18.63</v>
      </c>
      <c r="N44" s="244">
        <v>1</v>
      </c>
      <c r="O44" s="244">
        <v>0</v>
      </c>
      <c r="P44" s="245">
        <v>12</v>
      </c>
      <c r="Q44" s="245">
        <v>1</v>
      </c>
      <c r="R44" s="245">
        <v>58</v>
      </c>
      <c r="S44" s="245">
        <v>5</v>
      </c>
      <c r="T44" s="245">
        <v>22</v>
      </c>
      <c r="U44" s="245">
        <v>2</v>
      </c>
      <c r="V44" s="245">
        <v>5</v>
      </c>
      <c r="W44" s="245">
        <v>0</v>
      </c>
      <c r="X44" s="245">
        <v>0</v>
      </c>
      <c r="Y44" s="246">
        <f t="shared" si="2"/>
        <v>106</v>
      </c>
    </row>
    <row r="45" spans="1:25" ht="11.25">
      <c r="A45" s="250" t="s">
        <v>102</v>
      </c>
      <c r="B45" s="251">
        <f aca="true" t="shared" si="3" ref="B45:Y45">SUM(B8:B44)</f>
        <v>4795.56</v>
      </c>
      <c r="C45" s="252">
        <f t="shared" si="3"/>
        <v>185</v>
      </c>
      <c r="D45" s="259">
        <f t="shared" si="3"/>
        <v>408.46500000000003</v>
      </c>
      <c r="E45" s="259">
        <f t="shared" si="3"/>
        <v>19.03</v>
      </c>
      <c r="F45" s="259">
        <f t="shared" si="3"/>
        <v>122.15499999999999</v>
      </c>
      <c r="G45" s="259">
        <f t="shared" si="3"/>
        <v>130.86</v>
      </c>
      <c r="H45" s="259">
        <f t="shared" si="3"/>
        <v>136.42000000000002</v>
      </c>
      <c r="I45" s="259">
        <f t="shared" si="3"/>
        <v>50.8</v>
      </c>
      <c r="J45" s="259">
        <f t="shared" si="3"/>
        <v>248.655</v>
      </c>
      <c r="K45" s="259">
        <f t="shared" si="3"/>
        <v>21.75</v>
      </c>
      <c r="L45" s="259">
        <f t="shared" si="3"/>
        <v>100.98499999999999</v>
      </c>
      <c r="M45" s="259">
        <f t="shared" si="3"/>
        <v>830.6549999999999</v>
      </c>
      <c r="N45" s="259">
        <f t="shared" si="3"/>
        <v>479.32000000000005</v>
      </c>
      <c r="O45" s="259">
        <f t="shared" si="3"/>
        <v>58.03</v>
      </c>
      <c r="P45" s="259">
        <f t="shared" si="3"/>
        <v>163.23</v>
      </c>
      <c r="Q45" s="259">
        <f t="shared" si="3"/>
        <v>33</v>
      </c>
      <c r="R45" s="259">
        <f t="shared" si="3"/>
        <v>1636.51</v>
      </c>
      <c r="S45" s="259">
        <f t="shared" si="3"/>
        <v>144.73000000000002</v>
      </c>
      <c r="T45" s="259">
        <f t="shared" si="3"/>
        <v>1543.3</v>
      </c>
      <c r="U45" s="259">
        <f t="shared" si="3"/>
        <v>154.7</v>
      </c>
      <c r="V45" s="259">
        <f t="shared" si="3"/>
        <v>520.79</v>
      </c>
      <c r="W45" s="259">
        <f t="shared" si="3"/>
        <v>27.7</v>
      </c>
      <c r="X45" s="259">
        <f t="shared" si="3"/>
        <v>34.260000000000005</v>
      </c>
      <c r="Y45" s="253">
        <f t="shared" si="3"/>
        <v>4795.57</v>
      </c>
    </row>
    <row r="46" spans="1:25" ht="11.25" hidden="1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</row>
    <row r="48" ht="11.25">
      <c r="L48" s="254"/>
    </row>
  </sheetData>
  <mergeCells count="12">
    <mergeCell ref="A5:A6"/>
    <mergeCell ref="B5:B6"/>
    <mergeCell ref="C5:C6"/>
    <mergeCell ref="I6:I7"/>
    <mergeCell ref="D6:H6"/>
    <mergeCell ref="D5:J5"/>
    <mergeCell ref="K5:L5"/>
    <mergeCell ref="N5:Y6"/>
    <mergeCell ref="J6:J7"/>
    <mergeCell ref="K6:K7"/>
    <mergeCell ref="L6:L7"/>
    <mergeCell ref="M6:M7"/>
  </mergeCells>
  <printOptions/>
  <pageMargins left="0.4" right="0" top="0.69" bottom="0.1968503937007874" header="0.46" footer="0.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2013-07-31T13:11:04Z</cp:lastPrinted>
  <dcterms:created xsi:type="dcterms:W3CDTF">2013-07-31T11:49:56Z</dcterms:created>
  <dcterms:modified xsi:type="dcterms:W3CDTF">2013-07-31T13:11:15Z</dcterms:modified>
  <cp:category/>
  <cp:version/>
  <cp:contentType/>
  <cp:contentStatus/>
</cp:coreProperties>
</file>