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4" activeTab="5"/>
  </bookViews>
  <sheets>
    <sheet name="80101" sheetId="1" r:id="rId1"/>
    <sheet name="80103" sheetId="2" r:id="rId2"/>
    <sheet name="80104 zakł" sheetId="3" r:id="rId3"/>
    <sheet name="80110" sheetId="4" r:id="rId4"/>
    <sheet name="85401" sheetId="5" r:id="rId5"/>
    <sheet name="szkoły średnie" sheetId="6" r:id="rId6"/>
  </sheets>
  <definedNames>
    <definedName name="_xlnm.Print_Titles" localSheetId="0">'80101'!$A:$B</definedName>
    <definedName name="_xlnm.Print_Titles" localSheetId="2">'80104 zakł'!$3:$6</definedName>
    <definedName name="_xlnm.Print_Titles" localSheetId="3">'80110'!$A:$A</definedName>
    <definedName name="_xlnm.Print_Titles" localSheetId="5">'szkoły średnie'!$A:$A,'szkoły średnie'!$3:$3</definedName>
  </definedNames>
  <calcPr fullCalcOnLoad="1" fullPrecision="0"/>
</workbook>
</file>

<file path=xl/sharedStrings.xml><?xml version="1.0" encoding="utf-8"?>
<sst xmlns="http://schemas.openxmlformats.org/spreadsheetml/2006/main" count="470" uniqueCount="286">
  <si>
    <t>Jedn. organiz.</t>
  </si>
  <si>
    <t>Placówka</t>
  </si>
  <si>
    <t>Wydatki ogółem</t>
  </si>
  <si>
    <t>§ 4010</t>
  </si>
  <si>
    <t>§ 4040</t>
  </si>
  <si>
    <t>§ 4110</t>
  </si>
  <si>
    <t>§ 4120</t>
  </si>
  <si>
    <t>§ 3020</t>
  </si>
  <si>
    <t>§ 4440</t>
  </si>
  <si>
    <t>§ 4210</t>
  </si>
  <si>
    <t>§ 4260</t>
  </si>
  <si>
    <t>§ 4270</t>
  </si>
  <si>
    <t>§ 4300</t>
  </si>
  <si>
    <t>§ 4280</t>
  </si>
  <si>
    <t>Z.Sz.nr  2</t>
  </si>
  <si>
    <t>SP nr  2</t>
  </si>
  <si>
    <t>SP nr  6</t>
  </si>
  <si>
    <t>Z.Sz.nr  5</t>
  </si>
  <si>
    <t>SP nr  8</t>
  </si>
  <si>
    <t>Z.Sz.O.Nr 3</t>
  </si>
  <si>
    <t>SP nr  10</t>
  </si>
  <si>
    <t>SP nr 10</t>
  </si>
  <si>
    <t>Z.Sz.nr  6</t>
  </si>
  <si>
    <t>SP nr 11</t>
  </si>
  <si>
    <t>Z.Sz.nr  7</t>
  </si>
  <si>
    <t>Sp nr 12</t>
  </si>
  <si>
    <t>SP nr  13</t>
  </si>
  <si>
    <t>SP nr 13</t>
  </si>
  <si>
    <t>Z.Sport.Sz.O.</t>
  </si>
  <si>
    <t>SP nr 14</t>
  </si>
  <si>
    <t>SP nr  16</t>
  </si>
  <si>
    <t>SP nr 16</t>
  </si>
  <si>
    <t>SP nr  17</t>
  </si>
  <si>
    <t>SP nr 17</t>
  </si>
  <si>
    <t>SP nr 18</t>
  </si>
  <si>
    <t>SP nr  20</t>
  </si>
  <si>
    <t>SP nr 20</t>
  </si>
  <si>
    <t>SP nr  21</t>
  </si>
  <si>
    <t>SP nr 21</t>
  </si>
  <si>
    <t>SP nr  23</t>
  </si>
  <si>
    <t>SP nr 23</t>
  </si>
  <si>
    <t>SP nr  26</t>
  </si>
  <si>
    <t>SP nr 26</t>
  </si>
  <si>
    <t>SP nr  28</t>
  </si>
  <si>
    <t>SP nr 28</t>
  </si>
  <si>
    <t>SP nr  29</t>
  </si>
  <si>
    <t>SP nr 29</t>
  </si>
  <si>
    <t>Z,Sz, nr  9</t>
  </si>
  <si>
    <t>SP nr 31</t>
  </si>
  <si>
    <t>SP nr  33</t>
  </si>
  <si>
    <t>SP nr 33</t>
  </si>
  <si>
    <t>SP nr  34</t>
  </si>
  <si>
    <t>SP nr 34</t>
  </si>
  <si>
    <t>SP nr  35</t>
  </si>
  <si>
    <t>SP nr 35</t>
  </si>
  <si>
    <t>Z.Szk.O.Nr 5</t>
  </si>
  <si>
    <t>Gmn.nr 13</t>
  </si>
  <si>
    <t>SP nr  39</t>
  </si>
  <si>
    <t>SP nr 39</t>
  </si>
  <si>
    <t>SP nr  40</t>
  </si>
  <si>
    <t xml:space="preserve">SP nr 40 </t>
  </si>
  <si>
    <t>Z.Szk.O.Nr 4</t>
  </si>
  <si>
    <t>Z.Sz.nr  10</t>
  </si>
  <si>
    <t>SP nr 42</t>
  </si>
  <si>
    <t>Z.Sz.nr  11</t>
  </si>
  <si>
    <t>SP nr 43</t>
  </si>
  <si>
    <t>Z.Sz.nr  12</t>
  </si>
  <si>
    <t>Sp nr 44</t>
  </si>
  <si>
    <t>SP nr  45</t>
  </si>
  <si>
    <t>SP nr 45</t>
  </si>
  <si>
    <t>Z.Sz.nr  13</t>
  </si>
  <si>
    <t>SP nr 46</t>
  </si>
  <si>
    <t>Z.Sz.nr  14</t>
  </si>
  <si>
    <t>SP nr 47</t>
  </si>
  <si>
    <t>Z.Sz.nr  15</t>
  </si>
  <si>
    <t>SP nr 48</t>
  </si>
  <si>
    <t>Ilość dzieci</t>
  </si>
  <si>
    <t>koszt/1 ucznia</t>
  </si>
  <si>
    <t>§  4010</t>
  </si>
  <si>
    <t>§  4110</t>
  </si>
  <si>
    <t>§  4120</t>
  </si>
  <si>
    <t>§ 4240</t>
  </si>
  <si>
    <t>§ 4410</t>
  </si>
  <si>
    <t>Z.Sz nr  9</t>
  </si>
  <si>
    <t>SP nr  31</t>
  </si>
  <si>
    <t>SP nr  37</t>
  </si>
  <si>
    <t>Z.Sz nr 10</t>
  </si>
  <si>
    <t>SP nr  42</t>
  </si>
  <si>
    <t>Z.Sz.nr 11</t>
  </si>
  <si>
    <t>SP nr  43</t>
  </si>
  <si>
    <t>Z.Sz.nr 13</t>
  </si>
  <si>
    <t>SP nr  46</t>
  </si>
  <si>
    <t>Z.Sz.nr 14</t>
  </si>
  <si>
    <t>SP nr  47</t>
  </si>
  <si>
    <t>Z.Sz.nr 15</t>
  </si>
  <si>
    <t>SP nr  48</t>
  </si>
  <si>
    <t>Razem</t>
  </si>
  <si>
    <t xml:space="preserve"> </t>
  </si>
  <si>
    <t>liczba uczniów</t>
  </si>
  <si>
    <t>§ 4010 bez nieperiodycznych</t>
  </si>
  <si>
    <t>§ 4140</t>
  </si>
  <si>
    <t>§ 4430</t>
  </si>
  <si>
    <t>Razem wydatki rzeczowe</t>
  </si>
  <si>
    <t>Razem wydatki</t>
  </si>
  <si>
    <t>Gimnazjum Nr 1</t>
  </si>
  <si>
    <t>Gimnazjum Nr 2</t>
  </si>
  <si>
    <t>Gimnazjum Nr 3</t>
  </si>
  <si>
    <t>Gimnazjum Nr 4</t>
  </si>
  <si>
    <t>Gimnazjum Nr 5</t>
  </si>
  <si>
    <t>Gimnazjum Nr 6</t>
  </si>
  <si>
    <t>Gimnazjum Nr 7</t>
  </si>
  <si>
    <t>Gimnazjum Nr 8</t>
  </si>
  <si>
    <t>Gimnazjum Nr 9</t>
  </si>
  <si>
    <t>Gimnazjum Nr 10</t>
  </si>
  <si>
    <t>Gimnazjum Nr 11</t>
  </si>
  <si>
    <t>Gimnazjum Nr 12</t>
  </si>
  <si>
    <t>Gimnazjum Nr 13</t>
  </si>
  <si>
    <t>Gimnazjum Nr 14</t>
  </si>
  <si>
    <t>Gimnazjum Nr 15</t>
  </si>
  <si>
    <t>Gimnazjum Nr 16</t>
  </si>
  <si>
    <t>Gimnazjum Nr 17</t>
  </si>
  <si>
    <t>Gimnazjum Nr 18</t>
  </si>
  <si>
    <t>Gimnazjum Nr 19</t>
  </si>
  <si>
    <t>Gimnazjum Nr 20</t>
  </si>
  <si>
    <t>Gimnazjum Nr 23</t>
  </si>
  <si>
    <t>Gimnazjum Nr 24</t>
  </si>
  <si>
    <t>Ilość uczn</t>
  </si>
  <si>
    <t>wydatki ogółem</t>
  </si>
  <si>
    <t>wyd.rzecz.</t>
  </si>
  <si>
    <t>SP nr   2</t>
  </si>
  <si>
    <t>SP nr   6</t>
  </si>
  <si>
    <t>SP nr   8</t>
  </si>
  <si>
    <t>SP nr 12</t>
  </si>
  <si>
    <t>Z.Sp.Sz.Og.</t>
  </si>
  <si>
    <t xml:space="preserve">SP nr 28 </t>
  </si>
  <si>
    <t>Z.Sz. Nr 9</t>
  </si>
  <si>
    <t>SP nr 37</t>
  </si>
  <si>
    <t>SP nr 40</t>
  </si>
  <si>
    <t>Z.Sz. Nr 10</t>
  </si>
  <si>
    <t>Z.Sz. Nr 11</t>
  </si>
  <si>
    <t>Z.Sz. Nr 12</t>
  </si>
  <si>
    <t>SP nr 44</t>
  </si>
  <si>
    <t>Z.Sz. Nr 13</t>
  </si>
  <si>
    <t>Z.Sz. Nr 14</t>
  </si>
  <si>
    <t>Z.Sz. Nr 15</t>
  </si>
  <si>
    <t>Ogółem</t>
  </si>
  <si>
    <t>§4350</t>
  </si>
  <si>
    <t>§ 4170</t>
  </si>
  <si>
    <t>wydatki rzeczowe</t>
  </si>
  <si>
    <t>G 1</t>
  </si>
  <si>
    <t>SP nr  11</t>
  </si>
  <si>
    <t>Z.Szk.Nr 7</t>
  </si>
  <si>
    <t>G 3</t>
  </si>
  <si>
    <t>G 4</t>
  </si>
  <si>
    <t>G 6</t>
  </si>
  <si>
    <t>§4280</t>
  </si>
  <si>
    <t>Z.Szk.Og.Nr 6</t>
  </si>
  <si>
    <t>G 10</t>
  </si>
  <si>
    <t>G 11</t>
  </si>
  <si>
    <t>Gimn.dla doros.</t>
  </si>
  <si>
    <t>Wydatki rzeczowe</t>
  </si>
  <si>
    <t>koszt 1 ucznia</t>
  </si>
  <si>
    <t>SP Nr 37</t>
  </si>
  <si>
    <t>G 14</t>
  </si>
  <si>
    <t>§ 6050</t>
  </si>
  <si>
    <t>§ 6060</t>
  </si>
  <si>
    <t>§ 4220 R.DZ</t>
  </si>
  <si>
    <t>§ 3110</t>
  </si>
  <si>
    <t>§ 4220</t>
  </si>
  <si>
    <t>§ 4420</t>
  </si>
  <si>
    <t>DZIAŁ 801</t>
  </si>
  <si>
    <t>Zespół Szkół Ogólnokszt. Nr 6</t>
  </si>
  <si>
    <t>Zespół Szkół Specjalnych Nr 17</t>
  </si>
  <si>
    <t>Ośrodek Szkolno-Wych Nr 1</t>
  </si>
  <si>
    <t>Gimnazja Specjalne                         80111</t>
  </si>
  <si>
    <t>I LO</t>
  </si>
  <si>
    <t>II LO</t>
  </si>
  <si>
    <t>III LO</t>
  </si>
  <si>
    <t>IV LO</t>
  </si>
  <si>
    <t>V LO</t>
  </si>
  <si>
    <t>VI LO</t>
  </si>
  <si>
    <t>VII LO</t>
  </si>
  <si>
    <t>VIII LO</t>
  </si>
  <si>
    <t>IX LO</t>
  </si>
  <si>
    <t>X LO</t>
  </si>
  <si>
    <t>XII LO</t>
  </si>
  <si>
    <t>XIII LO</t>
  </si>
  <si>
    <t>XIV</t>
  </si>
  <si>
    <t>Kolegium Miejskie</t>
  </si>
  <si>
    <t>Licea Ogólnokształcące                  80120</t>
  </si>
  <si>
    <t>Zespół Szkół Administracyjno-Ekonomicznych</t>
  </si>
  <si>
    <t>Zespół Szkół Hotelarsko-Gastronomicznych</t>
  </si>
  <si>
    <t>Zespół Szkół Mechanicznych</t>
  </si>
  <si>
    <t>Zespół Szkół Usługowych</t>
  </si>
  <si>
    <t>Zespół Szkół Chłodniczych i Elektronicznych</t>
  </si>
  <si>
    <t>Zespół Szkół Budownictwa Okrętowego</t>
  </si>
  <si>
    <t>Zespół Szkół Zawodowych Nr 1</t>
  </si>
  <si>
    <t>Licea profilowane                            80123</t>
  </si>
  <si>
    <t>Zespół Szkół Budowlanych</t>
  </si>
  <si>
    <t>Zespół Szkół Zawodowych Nr 2</t>
  </si>
  <si>
    <t>Technikum Transportowe</t>
  </si>
  <si>
    <t>Szkoły Zawodowe                             80130</t>
  </si>
  <si>
    <t>Szkoła Muzyczna                             80132</t>
  </si>
  <si>
    <t xml:space="preserve">Specjalny Ośrodek Szkolno-Wych 1 </t>
  </si>
  <si>
    <t>Specjalny Ośrodek Szkolno-Wych 2</t>
  </si>
  <si>
    <t>Szkoły Zawodowe Specjalne    80134</t>
  </si>
  <si>
    <t>Zespół Szkół Budownictwa Okrętowego  80140</t>
  </si>
  <si>
    <t>Gdyński Ośrodek Dokształcania Nauczycieli           80141</t>
  </si>
  <si>
    <t>DZIAŁ 854</t>
  </si>
  <si>
    <t>Spec.Ośrodek Szk-Wych Nr 1</t>
  </si>
  <si>
    <t>Spec.Ośrodek Szk-Wych Nr 2</t>
  </si>
  <si>
    <t>Ośrodki Szkolno-Wychowawcze    85403</t>
  </si>
  <si>
    <t>Poradnia Psych-Pedagog Nr 1</t>
  </si>
  <si>
    <t>Poradnia Psych-Pedagog Nr 2</t>
  </si>
  <si>
    <t>Poradnia Psych-Pedagog Nr 3</t>
  </si>
  <si>
    <t>Poradnie Psychologiczno-Pedagogiczne       85406</t>
  </si>
  <si>
    <t>Młodzieżowy Dom Kultury             85407</t>
  </si>
  <si>
    <t>Internaty i bursy szkolne                 85410</t>
  </si>
  <si>
    <t>§ 4350</t>
  </si>
  <si>
    <t>Szkoły Podstawowe Specjalne                     80102</t>
  </si>
  <si>
    <t>Licea Ogólnokształcące Specjalne      80121</t>
  </si>
  <si>
    <t>Zespół Szkół Specjalnych Nr 17         85401</t>
  </si>
  <si>
    <t>Szkolne Schronisko Młodzieżowe    85417</t>
  </si>
  <si>
    <t>dotacje dla placówek niepublicznych</t>
  </si>
  <si>
    <t>wydatki realizowane przez Wydział Inwestycji</t>
  </si>
  <si>
    <t>wydatki realizowane przez Wydział Budżetu</t>
  </si>
  <si>
    <t>środki nierozdysponowane</t>
  </si>
  <si>
    <t>środki na prowadzenie świetlicy przez organizację pożytku publicznego</t>
  </si>
  <si>
    <t>mies. koszt ucznia</t>
  </si>
  <si>
    <t>Załącznik nr 1</t>
  </si>
  <si>
    <t>Załącznik nr 2</t>
  </si>
  <si>
    <t>Załącznik nr 3</t>
  </si>
  <si>
    <t>Plan finansowy przedszkoli samorządowych (zakłady budżetowe) na 2006 rok</t>
  </si>
  <si>
    <t>Nr plac.</t>
  </si>
  <si>
    <t>W TYM</t>
  </si>
  <si>
    <t>PRZYCHODY</t>
  </si>
  <si>
    <t>ROZCHODY</t>
  </si>
  <si>
    <t>dn.07.12.2005</t>
  </si>
  <si>
    <t>STAN ŚR</t>
  </si>
  <si>
    <t>w tym</t>
  </si>
  <si>
    <t>RAZEM</t>
  </si>
  <si>
    <t>Koszt</t>
  </si>
  <si>
    <t xml:space="preserve">poza </t>
  </si>
  <si>
    <t>min.</t>
  </si>
  <si>
    <t>OBR. na</t>
  </si>
  <si>
    <t>OGÓŁEM</t>
  </si>
  <si>
    <t>dotacje</t>
  </si>
  <si>
    <t>§ 83</t>
  </si>
  <si>
    <t>§092-</t>
  </si>
  <si>
    <t>§ 401</t>
  </si>
  <si>
    <t>§ 404</t>
  </si>
  <si>
    <t>§ 411</t>
  </si>
  <si>
    <t>§ 412</t>
  </si>
  <si>
    <t>§ 417</t>
  </si>
  <si>
    <t>§ 444</t>
  </si>
  <si>
    <t>§ 422</t>
  </si>
  <si>
    <t>pozostałe wydatki</t>
  </si>
  <si>
    <t>OBR.na</t>
  </si>
  <si>
    <t>mies.</t>
  </si>
  <si>
    <t>p.roku</t>
  </si>
  <si>
    <t>§ 097</t>
  </si>
  <si>
    <t>płace</t>
  </si>
  <si>
    <t>wyn.rocz.</t>
  </si>
  <si>
    <t>ZUS</t>
  </si>
  <si>
    <t>F.Pracy</t>
  </si>
  <si>
    <t>ZFŚS</t>
  </si>
  <si>
    <t>śr.żywn.</t>
  </si>
  <si>
    <t>k.roku</t>
  </si>
  <si>
    <t>1dz.</t>
  </si>
  <si>
    <t xml:space="preserve">PS   11  </t>
  </si>
  <si>
    <t xml:space="preserve">PS   21         </t>
  </si>
  <si>
    <t xml:space="preserve">PS   31        </t>
  </si>
  <si>
    <t>nagrody Prezydenta</t>
  </si>
  <si>
    <t>środki nierozdysp.dzieci niepeł.+wychow.</t>
  </si>
  <si>
    <t>BRM</t>
  </si>
  <si>
    <t>§ 251</t>
  </si>
  <si>
    <t>Razem:</t>
  </si>
  <si>
    <t>Załącznik nr 4</t>
  </si>
  <si>
    <t>Załącznik nr 5</t>
  </si>
  <si>
    <t>Załącznik nr 6</t>
  </si>
  <si>
    <t>dotacje przekazywane na podstawie porozumień</t>
  </si>
  <si>
    <t>Plany finansowe jednostek oświatowych na 2006 rok - szkoły podstawowe 80101</t>
  </si>
  <si>
    <t>Plany finansowe jednostek oświatowych na 2006 rok - oddziały przedszkolne przy szkołach podstawowych 80103</t>
  </si>
  <si>
    <t>Plany finansowe jednostek oświatowych na 2006 rok - gimnazja 80110</t>
  </si>
  <si>
    <t>Plany finansowe jednostek oświatowych na 2006 rok - świetlice szkolne 85401</t>
  </si>
  <si>
    <t>Plany finansowe jednostek oświatowych na 2006 rok - szkoły ponadpodstawowe i pozostałe placówki oświatowe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</si>
</sst>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000"/>
    <numFmt numFmtId="173" formatCode="0.00000"/>
    <numFmt numFmtId="174" formatCode="0.0000000"/>
    <numFmt numFmtId="175" formatCode="0.00000000"/>
    <numFmt numFmtId="176" formatCode="0.000000000"/>
    <numFmt numFmtId="177" formatCode="0.0000000000"/>
    <numFmt numFmtId="178" formatCode="0.000000"/>
    <numFmt numFmtId="179" formatCode="#,##0;&quot;-&quot;#,##0"/>
    <numFmt numFmtId="180" formatCode="#,##0;[Red]&quot;-&quot;#,##0"/>
    <numFmt numFmtId="181" formatCode="#,##0.00;&quot;-&quot;#,##0.00"/>
    <numFmt numFmtId="182" formatCode="#,##0.00;[Red]&quot;-&quot;#,##0.00"/>
    <numFmt numFmtId="183" formatCode="0\ \ "/>
    <numFmt numFmtId="184" formatCode="General_)"/>
    <numFmt numFmtId="185" formatCode="#\ ?/?"/>
    <numFmt numFmtId="186" formatCode="#\ ??/??"/>
    <numFmt numFmtId="187" formatCode="0_)"/>
    <numFmt numFmtId="188" formatCode="0\ "/>
    <numFmt numFmtId="189" formatCode="0.0%"/>
    <numFmt numFmtId="190" formatCode="_-* #,##0.0\ _z_ł_-;\-* #,##0.0\ _z_ł_-;_-* &quot;-&quot;??\ _z_ł_-;_-@_-"/>
    <numFmt numFmtId="191" formatCode="_-* #,##0\ _z_ł_-;\-* #,##0\ _z_ł_-;_-* &quot;-&quot;??\ _z_ł_-;_-@_-"/>
    <numFmt numFmtId="192" formatCode="_-* #,##0.000\ &quot;zł&quot;_-;\-* #,##0.000\ &quot;zł&quot;_-;_-* &quot;-&quot;??\ &quot;zł&quot;_-;_-@_-"/>
    <numFmt numFmtId="193" formatCode="_-* #,##0.000\ _z_ł_-;\-* #,##0.000\ _z_ł_-;_-* &quot;-&quot;??\ _z_ł_-;_-@_-"/>
    <numFmt numFmtId="194" formatCode="_-* #,##0.0000\ _z_ł_-;\-* #,##0.0000\ _z_ł_-;_-* &quot;-&quot;??\ _z_ł_-;_-@_-"/>
    <numFmt numFmtId="195" formatCode="#\.##0"/>
    <numFmt numFmtId="196" formatCode="##,##\.0"/>
    <numFmt numFmtId="197" formatCode="###,###.\O"/>
    <numFmt numFmtId="198" formatCode="###,###.0"/>
    <numFmt numFmtId="199" formatCode="#,###,##\.0"/>
    <numFmt numFmtId="200" formatCode="###,###.#"/>
    <numFmt numFmtId="201" formatCode="###.0"/>
    <numFmt numFmtId="202" formatCode="###,###,###.0"/>
    <numFmt numFmtId="203" formatCode="###,###,###.00"/>
    <numFmt numFmtId="204" formatCode="###,###,###"/>
    <numFmt numFmtId="205" formatCode="###,###"/>
    <numFmt numFmtId="206" formatCode="###,###.0.\O"/>
    <numFmt numFmtId="207" formatCode="###,###.00"/>
    <numFmt numFmtId="208" formatCode="00\-000"/>
    <numFmt numFmtId="209" formatCode="0.00;[Red]0.00"/>
    <numFmt numFmtId="210" formatCode="0.0000;[Red]0.0000"/>
    <numFmt numFmtId="211" formatCode="yy\-mm\-dd"/>
    <numFmt numFmtId="212" formatCode="dd\-mmm\-yy"/>
    <numFmt numFmtId="213" formatCode="dd\-mmm"/>
    <numFmt numFmtId="214" formatCode="mmm\-yy"/>
    <numFmt numFmtId="215" formatCode="yy\-mm\-dd\ hh:mm"/>
    <numFmt numFmtId="216" formatCode="#,##0.0000"/>
    <numFmt numFmtId="217" formatCode="#,##0.0\ _z_ł;[Red]\-#,##0.0\ _z_ł"/>
    <numFmt numFmtId="218" formatCode="#,##0.00000"/>
    <numFmt numFmtId="219" formatCode="0.0000%"/>
    <numFmt numFmtId="220" formatCode="0.00000%"/>
    <numFmt numFmtId="221" formatCode="0.000000%"/>
    <numFmt numFmtId="222" formatCode="0.0000000%"/>
    <numFmt numFmtId="223" formatCode="0.000%"/>
    <numFmt numFmtId="224" formatCode="d\-mmm\-yy"/>
    <numFmt numFmtId="225" formatCode="#,##0;[Red]#,##0"/>
    <numFmt numFmtId="226" formatCode="0.0;[Red]0.0"/>
    <numFmt numFmtId="227" formatCode="0;[Red]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0"/>
    </font>
    <font>
      <b/>
      <sz val="10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7"/>
      <name val="Arial CE"/>
      <family val="2"/>
    </font>
    <font>
      <i/>
      <sz val="7"/>
      <name val="Arial CE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1"/>
      <name val="Arial CE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1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i/>
      <sz val="7"/>
      <color indexed="10"/>
      <name val="Arial CE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6" fillId="0" borderId="1" xfId="0" applyFont="1" applyFill="1" applyBorder="1" applyAlignment="1">
      <alignment/>
    </xf>
    <xf numFmtId="3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30" fillId="0" borderId="0" xfId="0" applyFont="1" applyAlignment="1">
      <alignment vertical="top"/>
    </xf>
    <xf numFmtId="3" fontId="31" fillId="0" borderId="1" xfId="0" applyNumberFormat="1" applyFont="1" applyBorder="1" applyAlignment="1">
      <alignment wrapText="1"/>
    </xf>
    <xf numFmtId="3" fontId="31" fillId="0" borderId="2" xfId="0" applyNumberFormat="1" applyFont="1" applyBorder="1" applyAlignment="1">
      <alignment/>
    </xf>
    <xf numFmtId="0" fontId="31" fillId="0" borderId="2" xfId="0" applyFont="1" applyBorder="1" applyAlignment="1">
      <alignment/>
    </xf>
    <xf numFmtId="0" fontId="31" fillId="0" borderId="0" xfId="0" applyFont="1" applyAlignment="1">
      <alignment/>
    </xf>
    <xf numFmtId="3" fontId="32" fillId="0" borderId="1" xfId="0" applyNumberFormat="1" applyFont="1" applyBorder="1" applyAlignment="1">
      <alignment wrapText="1"/>
    </xf>
    <xf numFmtId="1" fontId="32" fillId="0" borderId="1" xfId="0" applyNumberFormat="1" applyFont="1" applyBorder="1" applyAlignment="1">
      <alignment wrapText="1"/>
    </xf>
    <xf numFmtId="2" fontId="32" fillId="0" borderId="1" xfId="0" applyNumberFormat="1" applyFont="1" applyBorder="1" applyAlignment="1">
      <alignment wrapText="1"/>
    </xf>
    <xf numFmtId="2" fontId="31" fillId="0" borderId="1" xfId="0" applyNumberFormat="1" applyFont="1" applyBorder="1" applyAlignment="1">
      <alignment wrapText="1"/>
    </xf>
    <xf numFmtId="1" fontId="31" fillId="0" borderId="1" xfId="0" applyNumberFormat="1" applyFont="1" applyBorder="1" applyAlignment="1">
      <alignment wrapText="1"/>
    </xf>
    <xf numFmtId="2" fontId="32" fillId="0" borderId="1" xfId="0" applyNumberFormat="1" applyFont="1" applyFill="1" applyBorder="1" applyAlignment="1">
      <alignment wrapText="1"/>
    </xf>
    <xf numFmtId="3" fontId="24" fillId="0" borderId="1" xfId="0" applyNumberFormat="1" applyFont="1" applyBorder="1" applyAlignment="1">
      <alignment wrapText="1"/>
    </xf>
    <xf numFmtId="3" fontId="24" fillId="0" borderId="3" xfId="0" applyNumberFormat="1" applyFont="1" applyBorder="1" applyAlignment="1">
      <alignment wrapText="1"/>
    </xf>
    <xf numFmtId="3" fontId="31" fillId="0" borderId="1" xfId="0" applyNumberFormat="1" applyFont="1" applyBorder="1" applyAlignment="1">
      <alignment/>
    </xf>
    <xf numFmtId="3" fontId="31" fillId="0" borderId="3" xfId="0" applyNumberFormat="1" applyFont="1" applyBorder="1" applyAlignment="1">
      <alignment/>
    </xf>
    <xf numFmtId="3" fontId="24" fillId="0" borderId="1" xfId="0" applyNumberFormat="1" applyFont="1" applyBorder="1" applyAlignment="1">
      <alignment/>
    </xf>
    <xf numFmtId="3" fontId="24" fillId="0" borderId="3" xfId="0" applyNumberFormat="1" applyFont="1" applyBorder="1" applyAlignment="1">
      <alignment/>
    </xf>
    <xf numFmtId="3" fontId="25" fillId="0" borderId="1" xfId="0" applyNumberFormat="1" applyFont="1" applyBorder="1" applyAlignment="1">
      <alignment/>
    </xf>
    <xf numFmtId="3" fontId="25" fillId="0" borderId="3" xfId="0" applyNumberFormat="1" applyFont="1" applyBorder="1" applyAlignment="1">
      <alignment/>
    </xf>
    <xf numFmtId="2" fontId="25" fillId="0" borderId="1" xfId="0" applyNumberFormat="1" applyFont="1" applyBorder="1" applyAlignment="1">
      <alignment wrapText="1"/>
    </xf>
    <xf numFmtId="0" fontId="25" fillId="0" borderId="0" xfId="0" applyFont="1" applyAlignment="1">
      <alignment/>
    </xf>
    <xf numFmtId="3" fontId="32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32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 horizontal="center"/>
    </xf>
    <xf numFmtId="3" fontId="31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4" fillId="0" borderId="2" xfId="0" applyFont="1" applyBorder="1" applyAlignment="1">
      <alignment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/>
    </xf>
    <xf numFmtId="0" fontId="24" fillId="0" borderId="5" xfId="0" applyFont="1" applyBorder="1" applyAlignment="1">
      <alignment/>
    </xf>
    <xf numFmtId="3" fontId="25" fillId="0" borderId="1" xfId="0" applyNumberFormat="1" applyFont="1" applyBorder="1" applyAlignment="1">
      <alignment horizontal="center"/>
    </xf>
    <xf numFmtId="3" fontId="24" fillId="0" borderId="6" xfId="0" applyNumberFormat="1" applyFont="1" applyBorder="1" applyAlignment="1">
      <alignment/>
    </xf>
    <xf numFmtId="3" fontId="32" fillId="0" borderId="1" xfId="0" applyNumberFormat="1" applyFont="1" applyFill="1" applyBorder="1" applyAlignment="1">
      <alignment wrapText="1"/>
    </xf>
    <xf numFmtId="0" fontId="25" fillId="0" borderId="0" xfId="0" applyFont="1" applyAlignment="1">
      <alignment wrapText="1"/>
    </xf>
    <xf numFmtId="3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2" fillId="0" borderId="7" xfId="0" applyFont="1" applyBorder="1" applyAlignment="1">
      <alignment horizontal="center" vertical="center" wrapText="1"/>
    </xf>
    <xf numFmtId="2" fontId="33" fillId="0" borderId="1" xfId="0" applyNumberFormat="1" applyFont="1" applyBorder="1" applyAlignment="1">
      <alignment vertical="center" wrapText="1"/>
    </xf>
    <xf numFmtId="3" fontId="6" fillId="0" borderId="7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0" xfId="18" applyFont="1" applyAlignment="1">
      <alignment vertical="center"/>
      <protection/>
    </xf>
    <xf numFmtId="3" fontId="24" fillId="0" borderId="0" xfId="18" applyNumberFormat="1" applyFont="1" applyAlignment="1">
      <alignment vertical="center"/>
      <protection/>
    </xf>
    <xf numFmtId="0" fontId="24" fillId="0" borderId="0" xfId="18" applyFont="1" applyAlignment="1">
      <alignment vertical="center"/>
      <protection/>
    </xf>
    <xf numFmtId="3" fontId="24" fillId="0" borderId="0" xfId="18" applyNumberFormat="1" applyFont="1" applyAlignment="1">
      <alignment vertical="center"/>
      <protection/>
    </xf>
    <xf numFmtId="0" fontId="25" fillId="0" borderId="0" xfId="18" applyFont="1" applyAlignment="1">
      <alignment vertical="center"/>
      <protection/>
    </xf>
    <xf numFmtId="0" fontId="14" fillId="0" borderId="0" xfId="18" applyAlignment="1">
      <alignment vertical="center"/>
      <protection/>
    </xf>
    <xf numFmtId="0" fontId="25" fillId="0" borderId="1" xfId="18" applyFont="1" applyBorder="1" applyAlignment="1">
      <alignment vertical="center"/>
      <protection/>
    </xf>
    <xf numFmtId="3" fontId="24" fillId="0" borderId="1" xfId="18" applyNumberFormat="1" applyFont="1" applyBorder="1" applyAlignment="1">
      <alignment vertical="center" wrapText="1"/>
      <protection/>
    </xf>
    <xf numFmtId="0" fontId="24" fillId="0" borderId="1" xfId="18" applyFont="1" applyBorder="1" applyAlignment="1">
      <alignment vertical="center" wrapText="1"/>
      <protection/>
    </xf>
    <xf numFmtId="0" fontId="24" fillId="0" borderId="1" xfId="18" applyFont="1" applyBorder="1" applyAlignment="1">
      <alignment horizontal="center" vertical="center" wrapText="1"/>
      <protection/>
    </xf>
    <xf numFmtId="0" fontId="14" fillId="0" borderId="0" xfId="18" applyFont="1" applyAlignment="1">
      <alignment vertical="center"/>
      <protection/>
    </xf>
    <xf numFmtId="2" fontId="25" fillId="0" borderId="1" xfId="18" applyNumberFormat="1" applyFont="1" applyBorder="1" applyAlignment="1">
      <alignment vertical="center" wrapText="1"/>
      <protection/>
    </xf>
    <xf numFmtId="3" fontId="25" fillId="0" borderId="1" xfId="18" applyNumberFormat="1" applyFont="1" applyBorder="1" applyAlignment="1">
      <alignment vertical="center" wrapText="1"/>
      <protection/>
    </xf>
    <xf numFmtId="1" fontId="25" fillId="0" borderId="1" xfId="18" applyNumberFormat="1" applyFont="1" applyBorder="1" applyAlignment="1">
      <alignment vertical="center" wrapText="1"/>
      <protection/>
    </xf>
    <xf numFmtId="3" fontId="24" fillId="0" borderId="1" xfId="18" applyNumberFormat="1" applyFont="1" applyBorder="1" applyAlignment="1">
      <alignment vertical="center"/>
      <protection/>
    </xf>
    <xf numFmtId="3" fontId="25" fillId="0" borderId="1" xfId="18" applyNumberFormat="1" applyFont="1" applyBorder="1" applyAlignment="1">
      <alignment vertical="center"/>
      <protection/>
    </xf>
    <xf numFmtId="3" fontId="7" fillId="0" borderId="0" xfId="18" applyNumberFormat="1" applyFont="1" applyBorder="1" applyAlignment="1">
      <alignment vertical="center"/>
      <protection/>
    </xf>
    <xf numFmtId="2" fontId="11" fillId="0" borderId="1" xfId="18" applyNumberFormat="1" applyFont="1" applyBorder="1" applyAlignment="1">
      <alignment vertical="center" wrapText="1"/>
      <protection/>
    </xf>
    <xf numFmtId="1" fontId="24" fillId="0" borderId="1" xfId="18" applyNumberFormat="1" applyFont="1" applyBorder="1" applyAlignment="1">
      <alignment vertical="center" wrapText="1"/>
      <protection/>
    </xf>
    <xf numFmtId="3" fontId="9" fillId="0" borderId="0" xfId="18" applyNumberFormat="1" applyFont="1" applyBorder="1" applyAlignment="1">
      <alignment vertical="center"/>
      <protection/>
    </xf>
    <xf numFmtId="2" fontId="6" fillId="0" borderId="0" xfId="18" applyNumberFormat="1" applyFont="1" applyBorder="1" applyAlignment="1">
      <alignment vertical="center" wrapText="1"/>
      <protection/>
    </xf>
    <xf numFmtId="3" fontId="13" fillId="0" borderId="0" xfId="18" applyNumberFormat="1" applyFont="1" applyBorder="1" applyAlignment="1">
      <alignment vertical="center" wrapText="1"/>
      <protection/>
    </xf>
    <xf numFmtId="1" fontId="5" fillId="0" borderId="0" xfId="18" applyNumberFormat="1" applyFont="1" applyBorder="1" applyAlignment="1">
      <alignment vertical="center" wrapText="1"/>
      <protection/>
    </xf>
    <xf numFmtId="3" fontId="19" fillId="0" borderId="0" xfId="18" applyNumberFormat="1" applyFont="1" applyBorder="1" applyAlignment="1">
      <alignment vertical="center"/>
      <protection/>
    </xf>
    <xf numFmtId="3" fontId="15" fillId="0" borderId="0" xfId="18" applyNumberFormat="1" applyFont="1" applyBorder="1" applyAlignment="1">
      <alignment vertical="center"/>
      <protection/>
    </xf>
    <xf numFmtId="3" fontId="16" fillId="0" borderId="0" xfId="18" applyNumberFormat="1" applyFont="1" applyBorder="1" applyAlignment="1">
      <alignment vertical="center"/>
      <protection/>
    </xf>
    <xf numFmtId="0" fontId="14" fillId="0" borderId="0" xfId="18" applyBorder="1" applyAlignment="1">
      <alignment vertical="center"/>
      <protection/>
    </xf>
    <xf numFmtId="2" fontId="9" fillId="0" borderId="0" xfId="18" applyNumberFormat="1" applyFont="1" applyBorder="1" applyAlignment="1">
      <alignment vertical="center" wrapText="1"/>
      <protection/>
    </xf>
    <xf numFmtId="3" fontId="16" fillId="0" borderId="0" xfId="18" applyNumberFormat="1" applyFont="1" applyBorder="1" applyAlignment="1">
      <alignment vertical="center"/>
      <protection/>
    </xf>
    <xf numFmtId="1" fontId="7" fillId="0" borderId="0" xfId="18" applyNumberFormat="1" applyFont="1" applyBorder="1" applyAlignment="1">
      <alignment vertical="center" wrapText="1"/>
      <protection/>
    </xf>
    <xf numFmtId="3" fontId="15" fillId="0" borderId="0" xfId="18" applyNumberFormat="1" applyFont="1" applyFill="1" applyBorder="1" applyAlignment="1">
      <alignment vertical="center" wrapText="1"/>
      <protection/>
    </xf>
    <xf numFmtId="3" fontId="18" fillId="0" borderId="0" xfId="18" applyNumberFormat="1" applyFont="1" applyFill="1" applyBorder="1" applyAlignment="1">
      <alignment vertical="center" wrapText="1"/>
      <protection/>
    </xf>
    <xf numFmtId="3" fontId="12" fillId="0" borderId="0" xfId="18" applyNumberFormat="1" applyFont="1" applyBorder="1" applyAlignment="1">
      <alignment vertical="center" wrapText="1"/>
      <protection/>
    </xf>
    <xf numFmtId="3" fontId="19" fillId="0" borderId="0" xfId="18" applyNumberFormat="1" applyFont="1" applyBorder="1" applyAlignment="1">
      <alignment vertical="center"/>
      <protection/>
    </xf>
    <xf numFmtId="2" fontId="6" fillId="0" borderId="0" xfId="18" applyNumberFormat="1" applyFont="1" applyBorder="1" applyAlignment="1">
      <alignment vertical="center" wrapText="1"/>
      <protection/>
    </xf>
    <xf numFmtId="3" fontId="7" fillId="0" borderId="0" xfId="18" applyNumberFormat="1" applyFont="1" applyBorder="1" applyAlignment="1">
      <alignment vertical="center" wrapText="1"/>
      <protection/>
    </xf>
    <xf numFmtId="2" fontId="29" fillId="0" borderId="0" xfId="18" applyNumberFormat="1" applyFont="1" applyBorder="1" applyAlignment="1">
      <alignment vertical="center" wrapText="1"/>
      <protection/>
    </xf>
    <xf numFmtId="3" fontId="17" fillId="0" borderId="0" xfId="18" applyNumberFormat="1" applyFont="1" applyBorder="1" applyAlignment="1">
      <alignment vertical="center"/>
      <protection/>
    </xf>
    <xf numFmtId="2" fontId="9" fillId="0" borderId="0" xfId="18" applyNumberFormat="1" applyFont="1" applyBorder="1" applyAlignment="1">
      <alignment vertical="center" wrapText="1"/>
      <protection/>
    </xf>
    <xf numFmtId="3" fontId="20" fillId="0" borderId="0" xfId="18" applyNumberFormat="1" applyFont="1" applyBorder="1" applyAlignment="1">
      <alignment vertical="center"/>
      <protection/>
    </xf>
    <xf numFmtId="2" fontId="1" fillId="0" borderId="0" xfId="18" applyNumberFormat="1" applyFont="1" applyBorder="1" applyAlignment="1">
      <alignment vertical="center" wrapText="1"/>
      <protection/>
    </xf>
    <xf numFmtId="1" fontId="12" fillId="0" borderId="0" xfId="18" applyNumberFormat="1" applyFont="1" applyBorder="1" applyAlignment="1">
      <alignment vertical="center" wrapText="1"/>
      <protection/>
    </xf>
    <xf numFmtId="0" fontId="14" fillId="0" borderId="0" xfId="18" applyFont="1" applyBorder="1" applyAlignment="1">
      <alignment vertical="center"/>
      <protection/>
    </xf>
    <xf numFmtId="3" fontId="23" fillId="0" borderId="0" xfId="18" applyNumberFormat="1" applyFont="1" applyBorder="1" applyAlignment="1">
      <alignment vertical="center"/>
      <protection/>
    </xf>
    <xf numFmtId="0" fontId="6" fillId="0" borderId="0" xfId="18" applyFont="1" applyBorder="1" applyAlignment="1">
      <alignment vertical="center"/>
      <protection/>
    </xf>
    <xf numFmtId="3" fontId="23" fillId="0" borderId="0" xfId="18" applyNumberFormat="1" applyFont="1" applyAlignment="1">
      <alignment vertical="center"/>
      <protection/>
    </xf>
    <xf numFmtId="3" fontId="9" fillId="0" borderId="0" xfId="18" applyNumberFormat="1" applyFont="1" applyAlignment="1">
      <alignment vertical="center"/>
      <protection/>
    </xf>
    <xf numFmtId="0" fontId="6" fillId="0" borderId="0" xfId="18" applyFont="1" applyAlignment="1">
      <alignment vertical="center"/>
      <protection/>
    </xf>
    <xf numFmtId="3" fontId="5" fillId="0" borderId="0" xfId="18" applyNumberFormat="1" applyFont="1" applyAlignment="1">
      <alignment vertical="center"/>
      <protection/>
    </xf>
    <xf numFmtId="3" fontId="10" fillId="0" borderId="0" xfId="18" applyNumberFormat="1" applyFont="1" applyBorder="1" applyAlignment="1">
      <alignment vertical="center"/>
      <protection/>
    </xf>
    <xf numFmtId="3" fontId="13" fillId="0" borderId="0" xfId="18" applyNumberFormat="1" applyFont="1" applyBorder="1" applyAlignment="1">
      <alignment vertical="center"/>
      <protection/>
    </xf>
    <xf numFmtId="3" fontId="5" fillId="0" borderId="0" xfId="18" applyNumberFormat="1" applyFont="1" applyBorder="1" applyAlignment="1">
      <alignment vertical="center"/>
      <protection/>
    </xf>
    <xf numFmtId="3" fontId="5" fillId="0" borderId="0" xfId="18" applyNumberFormat="1" applyFont="1" applyBorder="1" applyAlignment="1">
      <alignment horizontal="center" vertical="center"/>
      <protection/>
    </xf>
    <xf numFmtId="3" fontId="11" fillId="0" borderId="0" xfId="18" applyNumberFormat="1" applyFont="1" applyBorder="1" applyAlignment="1">
      <alignment vertical="center"/>
      <protection/>
    </xf>
    <xf numFmtId="3" fontId="12" fillId="0" borderId="0" xfId="18" applyNumberFormat="1" applyFont="1" applyBorder="1" applyAlignment="1">
      <alignment vertical="center"/>
      <protection/>
    </xf>
    <xf numFmtId="3" fontId="9" fillId="0" borderId="1" xfId="18" applyNumberFormat="1" applyFont="1" applyBorder="1" applyAlignment="1">
      <alignment horizontal="center" vertical="center" wrapText="1"/>
      <protection/>
    </xf>
    <xf numFmtId="3" fontId="35" fillId="0" borderId="0" xfId="0" applyNumberFormat="1" applyFont="1" applyAlignment="1">
      <alignment/>
    </xf>
    <xf numFmtId="3" fontId="6" fillId="0" borderId="0" xfId="18" applyNumberFormat="1" applyFont="1" applyBorder="1" applyAlignment="1">
      <alignment vertical="center" wrapText="1"/>
      <protection/>
    </xf>
    <xf numFmtId="3" fontId="5" fillId="0" borderId="0" xfId="18" applyNumberFormat="1" applyFont="1" applyBorder="1" applyAlignment="1">
      <alignment vertical="center" wrapText="1"/>
      <protection/>
    </xf>
    <xf numFmtId="0" fontId="7" fillId="0" borderId="7" xfId="0" applyFont="1" applyBorder="1" applyAlignment="1">
      <alignment horizontal="center" vertical="center" wrapText="1"/>
    </xf>
    <xf numFmtId="3" fontId="24" fillId="0" borderId="8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3" fontId="25" fillId="0" borderId="1" xfId="0" applyNumberFormat="1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19">
      <alignment/>
      <protection/>
    </xf>
    <xf numFmtId="0" fontId="4" fillId="0" borderId="0" xfId="0" applyFont="1" applyAlignment="1">
      <alignment vertical="top"/>
    </xf>
    <xf numFmtId="0" fontId="4" fillId="0" borderId="0" xfId="19" applyFont="1" applyBorder="1" applyAlignment="1">
      <alignment vertical="top"/>
      <protection/>
    </xf>
    <xf numFmtId="0" fontId="4" fillId="0" borderId="0" xfId="19" applyFont="1" applyBorder="1" applyAlignment="1">
      <alignment horizontal="centerContinuous" vertical="top"/>
      <protection/>
    </xf>
    <xf numFmtId="0" fontId="0" fillId="0" borderId="0" xfId="19" applyBorder="1" applyAlignment="1">
      <alignment vertical="top"/>
      <protection/>
    </xf>
    <xf numFmtId="0" fontId="0" fillId="0" borderId="0" xfId="19" applyAlignment="1">
      <alignment vertical="top"/>
      <protection/>
    </xf>
    <xf numFmtId="0" fontId="36" fillId="0" borderId="9" xfId="19" applyFont="1" applyBorder="1" applyAlignment="1">
      <alignment horizontal="centerContinuous" vertical="center"/>
      <protection/>
    </xf>
    <xf numFmtId="0" fontId="36" fillId="0" borderId="10" xfId="19" applyFont="1" applyBorder="1" applyAlignment="1">
      <alignment horizontal="centerContinuous" vertical="center"/>
      <protection/>
    </xf>
    <xf numFmtId="0" fontId="37" fillId="0" borderId="10" xfId="19" applyFont="1" applyBorder="1" applyAlignment="1">
      <alignment horizontal="centerContinuous" vertical="center"/>
      <protection/>
    </xf>
    <xf numFmtId="0" fontId="35" fillId="0" borderId="11" xfId="19" applyFont="1" applyBorder="1" applyAlignment="1">
      <alignment vertical="center"/>
      <protection/>
    </xf>
    <xf numFmtId="0" fontId="0" fillId="0" borderId="0" xfId="19" applyAlignment="1">
      <alignment vertical="center"/>
      <protection/>
    </xf>
    <xf numFmtId="0" fontId="36" fillId="0" borderId="1" xfId="19" applyFont="1" applyBorder="1" applyAlignment="1">
      <alignment horizontal="center" vertical="center"/>
      <protection/>
    </xf>
    <xf numFmtId="0" fontId="36" fillId="0" borderId="1" xfId="19" applyFont="1" applyBorder="1" applyAlignment="1">
      <alignment horizontal="centerContinuous" vertical="center"/>
      <protection/>
    </xf>
    <xf numFmtId="0" fontId="35" fillId="0" borderId="1" xfId="19" applyFont="1" applyBorder="1" applyAlignment="1">
      <alignment vertical="center"/>
      <protection/>
    </xf>
    <xf numFmtId="0" fontId="36" fillId="0" borderId="7" xfId="19" applyFont="1" applyBorder="1" applyAlignment="1">
      <alignment horizontal="centerContinuous" vertical="center"/>
      <protection/>
    </xf>
    <xf numFmtId="0" fontId="36" fillId="0" borderId="8" xfId="19" applyFont="1" applyBorder="1" applyAlignment="1">
      <alignment horizontal="centerContinuous" vertical="center"/>
      <protection/>
    </xf>
    <xf numFmtId="0" fontId="36" fillId="0" borderId="6" xfId="19" applyFont="1" applyBorder="1" applyAlignment="1">
      <alignment horizontal="centerContinuous" vertical="center"/>
      <protection/>
    </xf>
    <xf numFmtId="0" fontId="36" fillId="0" borderId="6" xfId="19" applyFont="1" applyBorder="1" applyAlignment="1">
      <alignment horizontal="center" vertical="center"/>
      <protection/>
    </xf>
    <xf numFmtId="0" fontId="36" fillId="0" borderId="12" xfId="19" applyFont="1" applyBorder="1" applyAlignment="1">
      <alignment horizontal="center" vertical="center"/>
      <protection/>
    </xf>
    <xf numFmtId="0" fontId="36" fillId="0" borderId="13" xfId="19" applyFont="1" applyBorder="1" applyAlignment="1">
      <alignment horizontal="center" vertical="center"/>
      <protection/>
    </xf>
    <xf numFmtId="0" fontId="35" fillId="0" borderId="12" xfId="19" applyFont="1" applyBorder="1" applyAlignment="1">
      <alignment horizontal="center" vertical="center"/>
      <protection/>
    </xf>
    <xf numFmtId="0" fontId="36" fillId="0" borderId="2" xfId="19" applyFont="1" applyBorder="1" applyAlignment="1">
      <alignment horizontal="center" vertical="center"/>
      <protection/>
    </xf>
    <xf numFmtId="0" fontId="36" fillId="0" borderId="14" xfId="19" applyFont="1" applyBorder="1" applyAlignment="1">
      <alignment horizontal="center" vertical="center"/>
      <protection/>
    </xf>
    <xf numFmtId="0" fontId="35" fillId="0" borderId="15" xfId="19" applyFont="1" applyBorder="1" applyAlignment="1">
      <alignment horizontal="center" vertical="center"/>
      <protection/>
    </xf>
    <xf numFmtId="0" fontId="36" fillId="0" borderId="15" xfId="19" applyFont="1" applyBorder="1" applyAlignment="1">
      <alignment horizontal="center" vertical="center"/>
      <protection/>
    </xf>
    <xf numFmtId="0" fontId="36" fillId="0" borderId="16" xfId="19" applyFont="1" applyBorder="1" applyAlignment="1">
      <alignment horizontal="center" vertical="center"/>
      <protection/>
    </xf>
    <xf numFmtId="0" fontId="36" fillId="0" borderId="16" xfId="19" applyFont="1" applyBorder="1" applyAlignment="1">
      <alignment vertical="center"/>
      <protection/>
    </xf>
    <xf numFmtId="0" fontId="36" fillId="0" borderId="17" xfId="19" applyFont="1" applyBorder="1" applyAlignment="1">
      <alignment horizontal="center" vertical="center"/>
      <protection/>
    </xf>
    <xf numFmtId="0" fontId="36" fillId="0" borderId="18" xfId="19" applyFont="1" applyBorder="1">
      <alignment/>
      <protection/>
    </xf>
    <xf numFmtId="0" fontId="35" fillId="0" borderId="2" xfId="19" applyFont="1" applyBorder="1">
      <alignment/>
      <protection/>
    </xf>
    <xf numFmtId="3" fontId="35" fillId="0" borderId="1" xfId="0" applyNumberFormat="1" applyFont="1" applyBorder="1" applyAlignment="1">
      <alignment/>
    </xf>
    <xf numFmtId="3" fontId="36" fillId="0" borderId="2" xfId="19" applyNumberFormat="1" applyFont="1" applyBorder="1" applyAlignment="1">
      <alignment horizontal="right"/>
      <protection/>
    </xf>
    <xf numFmtId="3" fontId="36" fillId="0" borderId="2" xfId="19" applyNumberFormat="1" applyFont="1" applyBorder="1">
      <alignment/>
      <protection/>
    </xf>
    <xf numFmtId="3" fontId="35" fillId="0" borderId="2" xfId="19" applyNumberFormat="1" applyFont="1" applyBorder="1">
      <alignment/>
      <protection/>
    </xf>
    <xf numFmtId="3" fontId="36" fillId="0" borderId="4" xfId="19" applyNumberFormat="1" applyFont="1" applyBorder="1">
      <alignment/>
      <protection/>
    </xf>
    <xf numFmtId="0" fontId="36" fillId="0" borderId="19" xfId="19" applyFont="1" applyBorder="1">
      <alignment/>
      <protection/>
    </xf>
    <xf numFmtId="0" fontId="35" fillId="0" borderId="1" xfId="19" applyFont="1" applyBorder="1">
      <alignment/>
      <protection/>
    </xf>
    <xf numFmtId="3" fontId="36" fillId="0" borderId="1" xfId="19" applyNumberFormat="1" applyFont="1" applyBorder="1" applyAlignment="1">
      <alignment horizontal="right"/>
      <protection/>
    </xf>
    <xf numFmtId="3" fontId="36" fillId="0" borderId="1" xfId="19" applyNumberFormat="1" applyFont="1" applyBorder="1">
      <alignment/>
      <protection/>
    </xf>
    <xf numFmtId="3" fontId="35" fillId="0" borderId="1" xfId="19" applyNumberFormat="1" applyFont="1" applyBorder="1">
      <alignment/>
      <protection/>
    </xf>
    <xf numFmtId="3" fontId="36" fillId="0" borderId="3" xfId="19" applyNumberFormat="1" applyFont="1" applyBorder="1">
      <alignment/>
      <protection/>
    </xf>
    <xf numFmtId="0" fontId="36" fillId="0" borderId="1" xfId="19" applyFont="1" applyBorder="1">
      <alignment/>
      <protection/>
    </xf>
    <xf numFmtId="0" fontId="36" fillId="0" borderId="12" xfId="19" applyFont="1" applyBorder="1">
      <alignment/>
      <protection/>
    </xf>
    <xf numFmtId="0" fontId="35" fillId="0" borderId="12" xfId="19" applyFont="1" applyBorder="1">
      <alignment/>
      <protection/>
    </xf>
    <xf numFmtId="3" fontId="35" fillId="0" borderId="12" xfId="0" applyNumberFormat="1" applyFont="1" applyBorder="1" applyAlignment="1">
      <alignment/>
    </xf>
    <xf numFmtId="3" fontId="36" fillId="0" borderId="12" xfId="19" applyNumberFormat="1" applyFont="1" applyBorder="1" applyAlignment="1">
      <alignment horizontal="right"/>
      <protection/>
    </xf>
    <xf numFmtId="3" fontId="36" fillId="0" borderId="12" xfId="19" applyNumberFormat="1" applyFont="1" applyBorder="1">
      <alignment/>
      <protection/>
    </xf>
    <xf numFmtId="3" fontId="35" fillId="0" borderId="12" xfId="19" applyNumberFormat="1" applyFont="1" applyBorder="1">
      <alignment/>
      <protection/>
    </xf>
    <xf numFmtId="0" fontId="36" fillId="0" borderId="20" xfId="19" applyFont="1" applyBorder="1">
      <alignment/>
      <protection/>
    </xf>
    <xf numFmtId="0" fontId="35" fillId="0" borderId="21" xfId="19" applyFont="1" applyBorder="1">
      <alignment/>
      <protection/>
    </xf>
    <xf numFmtId="3" fontId="35" fillId="0" borderId="21" xfId="19" applyNumberFormat="1" applyFont="1" applyBorder="1">
      <alignment/>
      <protection/>
    </xf>
    <xf numFmtId="3" fontId="36" fillId="0" borderId="22" xfId="19" applyNumberFormat="1" applyFont="1" applyBorder="1">
      <alignment/>
      <protection/>
    </xf>
    <xf numFmtId="0" fontId="36" fillId="0" borderId="23" xfId="19" applyFont="1" applyBorder="1">
      <alignment/>
      <protection/>
    </xf>
    <xf numFmtId="0" fontId="35" fillId="0" borderId="24" xfId="19" applyFont="1" applyBorder="1">
      <alignment/>
      <protection/>
    </xf>
    <xf numFmtId="0" fontId="21" fillId="0" borderId="24" xfId="19" applyFont="1" applyBorder="1">
      <alignment/>
      <protection/>
    </xf>
    <xf numFmtId="0" fontId="6" fillId="0" borderId="6" xfId="0" applyFont="1" applyBorder="1" applyAlignment="1">
      <alignment horizontal="left" wrapText="1"/>
    </xf>
    <xf numFmtId="0" fontId="22" fillId="0" borderId="5" xfId="19" applyFont="1" applyBorder="1">
      <alignment/>
      <protection/>
    </xf>
    <xf numFmtId="3" fontId="21" fillId="0" borderId="5" xfId="19" applyNumberFormat="1" applyFont="1" applyBorder="1">
      <alignment/>
      <protection/>
    </xf>
    <xf numFmtId="3" fontId="21" fillId="0" borderId="2" xfId="19" applyNumberFormat="1" applyFont="1" applyBorder="1" applyAlignment="1">
      <alignment/>
      <protection/>
    </xf>
    <xf numFmtId="3" fontId="21" fillId="0" borderId="2" xfId="19" applyNumberFormat="1" applyFont="1" applyBorder="1">
      <alignment/>
      <protection/>
    </xf>
    <xf numFmtId="3" fontId="21" fillId="0" borderId="2" xfId="19" applyNumberFormat="1" applyFont="1" applyBorder="1" applyAlignment="1">
      <alignment horizontal="right"/>
      <protection/>
    </xf>
    <xf numFmtId="3" fontId="22" fillId="0" borderId="2" xfId="19" applyNumberFormat="1" applyFont="1" applyBorder="1">
      <alignment/>
      <protection/>
    </xf>
    <xf numFmtId="3" fontId="22" fillId="0" borderId="2" xfId="19" applyNumberFormat="1" applyFont="1" applyBorder="1" applyAlignment="1">
      <alignment horizontal="right"/>
      <protection/>
    </xf>
    <xf numFmtId="3" fontId="36" fillId="0" borderId="1" xfId="19" applyNumberFormat="1" applyFont="1" applyBorder="1" applyAlignment="1">
      <alignment/>
      <protection/>
    </xf>
    <xf numFmtId="0" fontId="35" fillId="0" borderId="0" xfId="19" applyFont="1">
      <alignment/>
      <protection/>
    </xf>
    <xf numFmtId="3" fontId="6" fillId="0" borderId="0" xfId="19" applyNumberFormat="1" applyFont="1">
      <alignment/>
      <protection/>
    </xf>
    <xf numFmtId="3" fontId="0" fillId="0" borderId="0" xfId="19" applyNumberFormat="1">
      <alignment/>
      <protection/>
    </xf>
    <xf numFmtId="0" fontId="0" fillId="0" borderId="0" xfId="19" applyAlignment="1">
      <alignment horizontal="center"/>
      <protection/>
    </xf>
    <xf numFmtId="0" fontId="6" fillId="0" borderId="7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36" fillId="0" borderId="12" xfId="19" applyFont="1" applyBorder="1" applyAlignment="1">
      <alignment horizontal="center" vertical="center"/>
      <protection/>
    </xf>
    <xf numFmtId="0" fontId="36" fillId="0" borderId="25" xfId="19" applyFont="1" applyBorder="1" applyAlignment="1">
      <alignment horizontal="center" vertical="center"/>
      <protection/>
    </xf>
    <xf numFmtId="0" fontId="36" fillId="0" borderId="15" xfId="19" applyFont="1" applyBorder="1" applyAlignment="1">
      <alignment horizontal="center" vertical="center"/>
      <protection/>
    </xf>
    <xf numFmtId="0" fontId="35" fillId="0" borderId="12" xfId="19" applyFont="1" applyBorder="1" applyAlignment="1">
      <alignment horizontal="center" vertical="center" wrapText="1"/>
      <protection/>
    </xf>
    <xf numFmtId="0" fontId="35" fillId="0" borderId="15" xfId="19" applyFont="1" applyBorder="1" applyAlignment="1">
      <alignment horizontal="center" vertical="center" wrapText="1"/>
      <protection/>
    </xf>
    <xf numFmtId="0" fontId="36" fillId="0" borderId="26" xfId="19" applyFont="1" applyBorder="1" applyAlignment="1">
      <alignment horizontal="center" vertical="center"/>
      <protection/>
    </xf>
    <xf numFmtId="0" fontId="36" fillId="0" borderId="27" xfId="19" applyFont="1" applyBorder="1" applyAlignment="1">
      <alignment horizontal="center" vertical="center"/>
      <protection/>
    </xf>
    <xf numFmtId="0" fontId="36" fillId="0" borderId="23" xfId="19" applyFont="1" applyBorder="1" applyAlignment="1">
      <alignment horizontal="center" vertical="center"/>
      <protection/>
    </xf>
    <xf numFmtId="0" fontId="36" fillId="0" borderId="5" xfId="19" applyFont="1" applyBorder="1" applyAlignment="1">
      <alignment horizontal="center" vertical="center"/>
      <protection/>
    </xf>
    <xf numFmtId="0" fontId="36" fillId="0" borderId="28" xfId="19" applyFont="1" applyBorder="1" applyAlignment="1">
      <alignment horizontal="center" vertical="center"/>
      <protection/>
    </xf>
    <xf numFmtId="0" fontId="36" fillId="0" borderId="29" xfId="19" applyFont="1" applyBorder="1" applyAlignment="1">
      <alignment horizontal="center" vertical="center"/>
      <protection/>
    </xf>
    <xf numFmtId="0" fontId="36" fillId="0" borderId="30" xfId="19" applyFont="1" applyBorder="1" applyAlignment="1">
      <alignment horizontal="center" vertical="center"/>
      <protection/>
    </xf>
    <xf numFmtId="0" fontId="36" fillId="0" borderId="10" xfId="19" applyFont="1" applyBorder="1" applyAlignment="1">
      <alignment horizontal="center" vertical="center" wrapText="1"/>
      <protection/>
    </xf>
    <xf numFmtId="0" fontId="36" fillId="0" borderId="25" xfId="19" applyFont="1" applyBorder="1" applyAlignment="1">
      <alignment horizontal="center" vertical="center" wrapText="1"/>
      <protection/>
    </xf>
    <xf numFmtId="0" fontId="36" fillId="0" borderId="15" xfId="19" applyFont="1" applyBorder="1" applyAlignment="1">
      <alignment horizontal="center" vertical="center" wrapText="1"/>
      <protection/>
    </xf>
    <xf numFmtId="0" fontId="6" fillId="0" borderId="7" xfId="0" applyFont="1" applyBorder="1" applyAlignment="1">
      <alignment horizontal="left" wrapText="1"/>
    </xf>
    <xf numFmtId="0" fontId="35" fillId="0" borderId="7" xfId="0" applyFont="1" applyFill="1" applyBorder="1" applyAlignment="1">
      <alignment horizontal="left" wrapText="1"/>
    </xf>
    <xf numFmtId="0" fontId="35" fillId="0" borderId="8" xfId="0" applyFont="1" applyFill="1" applyBorder="1" applyAlignment="1">
      <alignment horizontal="left" wrapText="1"/>
    </xf>
    <xf numFmtId="0" fontId="35" fillId="0" borderId="6" xfId="0" applyFont="1" applyFill="1" applyBorder="1" applyAlignment="1">
      <alignment horizontal="left" wrapText="1"/>
    </xf>
    <xf numFmtId="0" fontId="35" fillId="0" borderId="7" xfId="0" applyFont="1" applyBorder="1" applyAlignment="1">
      <alignment horizontal="left" wrapText="1"/>
    </xf>
    <xf numFmtId="0" fontId="35" fillId="0" borderId="8" xfId="0" applyFont="1" applyBorder="1" applyAlignment="1">
      <alignment horizontal="left" wrapText="1"/>
    </xf>
    <xf numFmtId="0" fontId="35" fillId="0" borderId="6" xfId="0" applyFont="1" applyBorder="1" applyAlignment="1">
      <alignment horizontal="left" wrapText="1"/>
    </xf>
  </cellXfs>
  <cellStyles count="10">
    <cellStyle name="Normal" xfId="0"/>
    <cellStyle name="Comma" xfId="15"/>
    <cellStyle name="Comma [0]" xfId="16"/>
    <cellStyle name="Hyperlink" xfId="17"/>
    <cellStyle name="Normalny_gimnazja2" xfId="18"/>
    <cellStyle name="Normalny_OE 2006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" sqref="E2"/>
    </sheetView>
  </sheetViews>
  <sheetFormatPr defaultColWidth="9.00390625" defaultRowHeight="12.75"/>
  <cols>
    <col min="1" max="1" width="11.75390625" style="2" customWidth="1"/>
    <col min="2" max="2" width="7.625" style="2" customWidth="1"/>
    <col min="3" max="3" width="5.75390625" style="2" hidden="1" customWidth="1"/>
    <col min="4" max="4" width="5.75390625" style="13" hidden="1" customWidth="1"/>
    <col min="5" max="5" width="8.75390625" style="2" customWidth="1"/>
    <col min="6" max="6" width="5.625" style="2" customWidth="1"/>
    <col min="7" max="7" width="8.25390625" style="2" customWidth="1"/>
    <col min="8" max="8" width="7.00390625" style="2" customWidth="1"/>
    <col min="9" max="9" width="7.25390625" style="2" customWidth="1"/>
    <col min="10" max="10" width="7.00390625" style="2" customWidth="1"/>
    <col min="11" max="12" width="5.25390625" style="2" customWidth="1"/>
    <col min="13" max="13" width="6.25390625" style="2" customWidth="1"/>
    <col min="14" max="14" width="5.25390625" style="2" customWidth="1"/>
    <col min="15" max="15" width="7.125" style="2" customWidth="1"/>
    <col min="16" max="16" width="6.00390625" style="2" customWidth="1"/>
    <col min="17" max="17" width="5.375" style="2" customWidth="1"/>
    <col min="18" max="18" width="6.00390625" style="2" customWidth="1"/>
    <col min="19" max="19" width="5.125" style="2" customWidth="1"/>
    <col min="20" max="21" width="5.375" style="2" customWidth="1"/>
    <col min="22" max="22" width="7.625" style="2" customWidth="1"/>
    <col min="23" max="23" width="5.75390625" style="2" customWidth="1"/>
    <col min="24" max="24" width="6.375" style="2" customWidth="1"/>
    <col min="25" max="25" width="7.75390625" style="2" hidden="1" customWidth="1"/>
    <col min="26" max="16384" width="9.125" style="2" customWidth="1"/>
  </cols>
  <sheetData>
    <row r="1" ht="14.25" customHeight="1">
      <c r="X1" s="185" t="s">
        <v>229</v>
      </c>
    </row>
    <row r="2" spans="1:25" ht="25.5" customHeight="1">
      <c r="A2" s="8"/>
      <c r="B2" s="8"/>
      <c r="C2" s="8"/>
      <c r="D2" s="26"/>
      <c r="E2" s="50" t="s">
        <v>281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4.25" customHeight="1">
      <c r="A3" s="50"/>
      <c r="B3" s="8"/>
      <c r="C3" s="8"/>
      <c r="D3" s="26"/>
      <c r="E3" s="120"/>
      <c r="F3" s="8"/>
      <c r="G3" s="8"/>
      <c r="H3" s="52"/>
      <c r="I3" s="52"/>
      <c r="J3" s="52"/>
      <c r="K3" s="52"/>
      <c r="L3" s="52"/>
      <c r="M3" s="52"/>
      <c r="N3" s="8"/>
      <c r="O3" s="8"/>
      <c r="P3" s="8"/>
      <c r="Q3" s="8"/>
      <c r="R3" s="8"/>
      <c r="S3" s="8"/>
      <c r="T3" s="8"/>
      <c r="U3" s="8"/>
      <c r="V3" s="51"/>
      <c r="W3" s="51"/>
      <c r="X3" s="51"/>
      <c r="Y3" s="8"/>
    </row>
    <row r="4" spans="1:25" s="3" customFormat="1" ht="25.5" customHeight="1">
      <c r="A4" s="31" t="s">
        <v>0</v>
      </c>
      <c r="B4" s="31" t="s">
        <v>1</v>
      </c>
      <c r="C4" s="32" t="s">
        <v>126</v>
      </c>
      <c r="D4" s="33" t="s">
        <v>77</v>
      </c>
      <c r="E4" s="14" t="s">
        <v>127</v>
      </c>
      <c r="F4" s="68" t="s">
        <v>7</v>
      </c>
      <c r="G4" s="68" t="s">
        <v>3</v>
      </c>
      <c r="H4" s="69" t="s">
        <v>4</v>
      </c>
      <c r="I4" s="69" t="s">
        <v>5</v>
      </c>
      <c r="J4" s="69" t="s">
        <v>6</v>
      </c>
      <c r="K4" s="68" t="s">
        <v>100</v>
      </c>
      <c r="L4" s="68" t="s">
        <v>147</v>
      </c>
      <c r="M4" s="68" t="s">
        <v>9</v>
      </c>
      <c r="N4" s="68" t="s">
        <v>81</v>
      </c>
      <c r="O4" s="68" t="s">
        <v>10</v>
      </c>
      <c r="P4" s="68" t="s">
        <v>11</v>
      </c>
      <c r="Q4" s="68" t="s">
        <v>13</v>
      </c>
      <c r="R4" s="68" t="s">
        <v>12</v>
      </c>
      <c r="S4" s="68" t="s">
        <v>146</v>
      </c>
      <c r="T4" s="68" t="s">
        <v>82</v>
      </c>
      <c r="U4" s="68" t="s">
        <v>101</v>
      </c>
      <c r="V4" s="68" t="s">
        <v>8</v>
      </c>
      <c r="W4" s="68" t="s">
        <v>164</v>
      </c>
      <c r="X4" s="68" t="s">
        <v>165</v>
      </c>
      <c r="Y4" s="14" t="s">
        <v>128</v>
      </c>
    </row>
    <row r="5" spans="1:25" ht="11.25">
      <c r="A5" s="4" t="s">
        <v>14</v>
      </c>
      <c r="B5" s="4" t="s">
        <v>129</v>
      </c>
      <c r="C5" s="4">
        <v>91</v>
      </c>
      <c r="D5" s="34">
        <f aca="true" t="shared" si="0" ref="D5:D40">E5/C5/12</f>
        <v>386</v>
      </c>
      <c r="E5" s="15">
        <f>SUM(F5:X5)</f>
        <v>421908</v>
      </c>
      <c r="F5" s="15"/>
      <c r="G5" s="49">
        <v>277718</v>
      </c>
      <c r="H5" s="15">
        <v>35000</v>
      </c>
      <c r="I5" s="15">
        <v>55377</v>
      </c>
      <c r="J5" s="15">
        <v>7580</v>
      </c>
      <c r="K5" s="15"/>
      <c r="L5" s="15"/>
      <c r="M5" s="15">
        <f>2058+8000-8000</f>
        <v>2058</v>
      </c>
      <c r="N5" s="15"/>
      <c r="O5" s="15">
        <f>18800+1000-1000</f>
        <v>18800</v>
      </c>
      <c r="P5" s="15"/>
      <c r="Q5" s="15"/>
      <c r="R5" s="4">
        <f>3023+6000-6000</f>
        <v>3023</v>
      </c>
      <c r="S5" s="4">
        <v>3000</v>
      </c>
      <c r="T5" s="4"/>
      <c r="U5" s="15"/>
      <c r="V5" s="15">
        <v>19352</v>
      </c>
      <c r="W5" s="15"/>
      <c r="X5" s="15"/>
      <c r="Y5" s="15">
        <f aca="true" t="shared" si="1" ref="Y5:Y39">F5+K5+L5+M5+N5+P5+Q5+R5+S5+T5+U5</f>
        <v>8081</v>
      </c>
    </row>
    <row r="6" spans="1:25" ht="11.25">
      <c r="A6" s="4" t="s">
        <v>16</v>
      </c>
      <c r="B6" s="4" t="s">
        <v>130</v>
      </c>
      <c r="C6" s="4">
        <v>689</v>
      </c>
      <c r="D6" s="34">
        <f t="shared" si="0"/>
        <v>321</v>
      </c>
      <c r="E6" s="15">
        <f aca="true" t="shared" si="2" ref="E6:E34">SUM(F6:X6)</f>
        <v>2656997</v>
      </c>
      <c r="F6" s="15">
        <v>2000</v>
      </c>
      <c r="G6" s="49">
        <f>1801042-43300-5000</f>
        <v>1752742</v>
      </c>
      <c r="H6" s="15">
        <v>134343</v>
      </c>
      <c r="I6" s="15">
        <v>331452</v>
      </c>
      <c r="J6" s="15">
        <v>45366</v>
      </c>
      <c r="K6" s="15"/>
      <c r="L6" s="15"/>
      <c r="M6" s="15">
        <f>7192+22000+5000-22000</f>
        <v>12192</v>
      </c>
      <c r="N6" s="15">
        <v>2000</v>
      </c>
      <c r="O6" s="15">
        <f>213121-15000+3000-3000</f>
        <v>198121</v>
      </c>
      <c r="P6" s="15">
        <f>500+40000</f>
        <v>40500</v>
      </c>
      <c r="Q6" s="15">
        <v>3800</v>
      </c>
      <c r="R6" s="15">
        <v>20082</v>
      </c>
      <c r="S6" s="15">
        <v>2000</v>
      </c>
      <c r="T6" s="15">
        <v>1300</v>
      </c>
      <c r="U6" s="15"/>
      <c r="V6" s="15">
        <v>111099</v>
      </c>
      <c r="W6" s="15"/>
      <c r="X6" s="15"/>
      <c r="Y6" s="15">
        <f t="shared" si="1"/>
        <v>83874</v>
      </c>
    </row>
    <row r="7" spans="1:25" ht="11.25">
      <c r="A7" s="4" t="s">
        <v>17</v>
      </c>
      <c r="B7" s="4" t="s">
        <v>131</v>
      </c>
      <c r="C7" s="4">
        <v>249</v>
      </c>
      <c r="D7" s="34">
        <f t="shared" si="0"/>
        <v>407</v>
      </c>
      <c r="E7" s="15">
        <f t="shared" si="2"/>
        <v>1216651</v>
      </c>
      <c r="F7" s="15">
        <v>1500</v>
      </c>
      <c r="G7" s="49">
        <f>852888-18200</f>
        <v>834688</v>
      </c>
      <c r="H7" s="15">
        <v>59840</v>
      </c>
      <c r="I7" s="15">
        <v>158303</v>
      </c>
      <c r="J7" s="15">
        <v>21667</v>
      </c>
      <c r="K7" s="15"/>
      <c r="L7" s="15"/>
      <c r="M7" s="15">
        <f>3400+16000+3000-16000</f>
        <v>6400</v>
      </c>
      <c r="N7" s="15">
        <v>2700</v>
      </c>
      <c r="O7" s="15">
        <f>68000+4000-4000</f>
        <v>68000</v>
      </c>
      <c r="P7" s="15">
        <v>3000</v>
      </c>
      <c r="Q7" s="15">
        <v>3000</v>
      </c>
      <c r="R7" s="15">
        <f>5000+20000-20000</f>
        <v>5000</v>
      </c>
      <c r="S7" s="15">
        <v>900</v>
      </c>
      <c r="T7" s="15">
        <v>1000</v>
      </c>
      <c r="U7" s="15"/>
      <c r="V7" s="15">
        <v>50653</v>
      </c>
      <c r="W7" s="15"/>
      <c r="X7" s="15"/>
      <c r="Y7" s="15">
        <f t="shared" si="1"/>
        <v>23500</v>
      </c>
    </row>
    <row r="8" spans="1:25" ht="11.25">
      <c r="A8" s="4" t="s">
        <v>20</v>
      </c>
      <c r="B8" s="4" t="s">
        <v>21</v>
      </c>
      <c r="C8" s="4">
        <v>701</v>
      </c>
      <c r="D8" s="34">
        <f t="shared" si="0"/>
        <v>373</v>
      </c>
      <c r="E8" s="15">
        <f t="shared" si="2"/>
        <v>3140554</v>
      </c>
      <c r="F8" s="15">
        <v>5000</v>
      </c>
      <c r="G8" s="49">
        <f>2129938-18816-5000</f>
        <v>2106122</v>
      </c>
      <c r="H8" s="15">
        <v>173094</v>
      </c>
      <c r="I8" s="15">
        <v>405896</v>
      </c>
      <c r="J8" s="15">
        <v>55555</v>
      </c>
      <c r="K8" s="15"/>
      <c r="L8" s="15"/>
      <c r="M8" s="15">
        <f>3225+14640+7500-14640</f>
        <v>10725</v>
      </c>
      <c r="N8" s="15">
        <f>600+1500</f>
        <v>2100</v>
      </c>
      <c r="O8" s="15">
        <f>177296-5000+2270-2270</f>
        <v>172296</v>
      </c>
      <c r="P8" s="15">
        <v>18000</v>
      </c>
      <c r="Q8" s="15">
        <v>2100</v>
      </c>
      <c r="R8" s="15">
        <f>24900-381+5800-5800</f>
        <v>24519</v>
      </c>
      <c r="S8" s="15">
        <v>4400</v>
      </c>
      <c r="T8" s="15">
        <v>1000</v>
      </c>
      <c r="U8" s="15">
        <v>1500</v>
      </c>
      <c r="V8" s="15">
        <v>128247</v>
      </c>
      <c r="W8" s="15">
        <v>30000</v>
      </c>
      <c r="X8" s="15"/>
      <c r="Y8" s="15">
        <f t="shared" si="1"/>
        <v>69344</v>
      </c>
    </row>
    <row r="9" spans="1:25" ht="11.25">
      <c r="A9" s="4" t="s">
        <v>22</v>
      </c>
      <c r="B9" s="4" t="s">
        <v>23</v>
      </c>
      <c r="C9" s="4">
        <v>240</v>
      </c>
      <c r="D9" s="34">
        <f t="shared" si="0"/>
        <v>373</v>
      </c>
      <c r="E9" s="15">
        <f t="shared" si="2"/>
        <v>1072910</v>
      </c>
      <c r="F9" s="15">
        <v>2000</v>
      </c>
      <c r="G9" s="49">
        <v>700136</v>
      </c>
      <c r="H9" s="15">
        <v>57910</v>
      </c>
      <c r="I9" s="15">
        <v>134975</v>
      </c>
      <c r="J9" s="15">
        <v>18474</v>
      </c>
      <c r="K9" s="15"/>
      <c r="L9" s="15"/>
      <c r="M9" s="15">
        <f>5400-900+7000+4000-4000</f>
        <v>11500</v>
      </c>
      <c r="N9" s="15">
        <v>3000</v>
      </c>
      <c r="O9" s="15">
        <f>90335+1700-1700</f>
        <v>90335</v>
      </c>
      <c r="P9" s="15"/>
      <c r="Q9" s="15">
        <v>300</v>
      </c>
      <c r="R9" s="15">
        <f>11612+3500-3500</f>
        <v>11612</v>
      </c>
      <c r="S9" s="15"/>
      <c r="T9" s="4"/>
      <c r="U9" s="15">
        <v>2000</v>
      </c>
      <c r="V9" s="15">
        <v>40668</v>
      </c>
      <c r="W9" s="15"/>
      <c r="X9" s="15"/>
      <c r="Y9" s="15">
        <f t="shared" si="1"/>
        <v>30412</v>
      </c>
    </row>
    <row r="10" spans="1:25" ht="11.25">
      <c r="A10" s="4" t="s">
        <v>24</v>
      </c>
      <c r="B10" s="4" t="s">
        <v>132</v>
      </c>
      <c r="C10" s="4">
        <v>553</v>
      </c>
      <c r="D10" s="34">
        <f t="shared" si="0"/>
        <v>288</v>
      </c>
      <c r="E10" s="15">
        <f t="shared" si="2"/>
        <v>1913050</v>
      </c>
      <c r="F10" s="15">
        <v>830</v>
      </c>
      <c r="G10" s="49">
        <f>1267618-23842-5000</f>
        <v>1238776</v>
      </c>
      <c r="H10" s="15">
        <v>99181</v>
      </c>
      <c r="I10" s="15">
        <f>239299+300</f>
        <v>239599</v>
      </c>
      <c r="J10" s="15">
        <f>32753+43</f>
        <v>32796</v>
      </c>
      <c r="K10" s="15"/>
      <c r="L10" s="15">
        <v>1657</v>
      </c>
      <c r="M10" s="15">
        <f>12000+5000-5000</f>
        <v>12000</v>
      </c>
      <c r="N10" s="15">
        <v>900</v>
      </c>
      <c r="O10" s="15">
        <f>187282-5000+5000-5000</f>
        <v>182282</v>
      </c>
      <c r="P10" s="15">
        <f>2200+3560</f>
        <v>5760</v>
      </c>
      <c r="Q10" s="15">
        <v>2000</v>
      </c>
      <c r="R10" s="15">
        <f>11000+191+2000-2000</f>
        <v>11191</v>
      </c>
      <c r="S10" s="15"/>
      <c r="T10" s="4">
        <v>150</v>
      </c>
      <c r="U10" s="15">
        <v>900</v>
      </c>
      <c r="V10" s="15">
        <v>85028</v>
      </c>
      <c r="W10" s="15"/>
      <c r="X10" s="15"/>
      <c r="Y10" s="15">
        <f t="shared" si="1"/>
        <v>35388</v>
      </c>
    </row>
    <row r="11" spans="1:25" ht="11.25">
      <c r="A11" s="4" t="s">
        <v>26</v>
      </c>
      <c r="B11" s="4" t="s">
        <v>27</v>
      </c>
      <c r="C11" s="4">
        <v>272</v>
      </c>
      <c r="D11" s="34">
        <f t="shared" si="0"/>
        <v>460</v>
      </c>
      <c r="E11" s="15">
        <f t="shared" si="2"/>
        <v>1502219</v>
      </c>
      <c r="F11" s="15">
        <v>3855</v>
      </c>
      <c r="G11" s="49">
        <f>1039365-22092-5000</f>
        <v>1012273</v>
      </c>
      <c r="H11" s="15">
        <v>83906</v>
      </c>
      <c r="I11" s="15">
        <v>194939</v>
      </c>
      <c r="J11" s="15">
        <v>26682</v>
      </c>
      <c r="K11" s="15"/>
      <c r="L11" s="15">
        <f>500+1000-1000</f>
        <v>500</v>
      </c>
      <c r="M11" s="15">
        <f>3200+13000-13000</f>
        <v>3200</v>
      </c>
      <c r="N11" s="15">
        <f>2000-2000</f>
        <v>0</v>
      </c>
      <c r="O11" s="15">
        <f>101200+1000-1000</f>
        <v>101200</v>
      </c>
      <c r="P11" s="15">
        <f>4000+2000-2000</f>
        <v>4000</v>
      </c>
      <c r="Q11" s="15">
        <v>2000</v>
      </c>
      <c r="R11" s="15">
        <f>4999+11000-11000</f>
        <v>4999</v>
      </c>
      <c r="S11" s="15">
        <v>800</v>
      </c>
      <c r="T11" s="15">
        <v>800</v>
      </c>
      <c r="U11" s="15">
        <v>1000</v>
      </c>
      <c r="V11" s="15">
        <v>62065</v>
      </c>
      <c r="W11" s="15"/>
      <c r="X11" s="15"/>
      <c r="Y11" s="15">
        <f t="shared" si="1"/>
        <v>21154</v>
      </c>
    </row>
    <row r="12" spans="1:25" ht="11.25">
      <c r="A12" s="4" t="s">
        <v>133</v>
      </c>
      <c r="B12" s="4" t="s">
        <v>29</v>
      </c>
      <c r="C12" s="4">
        <v>176</v>
      </c>
      <c r="D12" s="34">
        <f t="shared" si="0"/>
        <v>496</v>
      </c>
      <c r="E12" s="15">
        <f>SUM(F12:X12)</f>
        <v>1047362</v>
      </c>
      <c r="F12" s="15">
        <f>2000+1500-1500</f>
        <v>2000</v>
      </c>
      <c r="G12" s="49">
        <f>669419-39934</f>
        <v>629485</v>
      </c>
      <c r="H12" s="15">
        <v>50860</v>
      </c>
      <c r="I12" s="15">
        <v>120895</v>
      </c>
      <c r="J12" s="15">
        <v>16547</v>
      </c>
      <c r="K12" s="15">
        <v>6800</v>
      </c>
      <c r="L12" s="15">
        <f>1000+1000-1000</f>
        <v>1000</v>
      </c>
      <c r="M12" s="15">
        <f>2000+40000-40000</f>
        <v>2000</v>
      </c>
      <c r="N12" s="15">
        <f>2000+2500-2500</f>
        <v>2000</v>
      </c>
      <c r="O12" s="15">
        <f>170468-5000+15000-15000</f>
        <v>165468</v>
      </c>
      <c r="P12" s="15">
        <f>2000+25000-25000</f>
        <v>2000</v>
      </c>
      <c r="Q12" s="15">
        <v>1500</v>
      </c>
      <c r="R12" s="15">
        <f>2000+622+15000-15000</f>
        <v>2622</v>
      </c>
      <c r="S12" s="15">
        <v>1000</v>
      </c>
      <c r="T12" s="4">
        <v>507</v>
      </c>
      <c r="U12" s="15">
        <v>1000</v>
      </c>
      <c r="V12" s="15">
        <v>41678</v>
      </c>
      <c r="W12" s="15"/>
      <c r="X12" s="15"/>
      <c r="Y12" s="15">
        <f t="shared" si="1"/>
        <v>22429</v>
      </c>
    </row>
    <row r="13" spans="1:25" ht="11.25">
      <c r="A13" s="4" t="s">
        <v>31</v>
      </c>
      <c r="B13" s="4" t="s">
        <v>31</v>
      </c>
      <c r="C13" s="4">
        <v>390</v>
      </c>
      <c r="D13" s="34">
        <f t="shared" si="0"/>
        <v>394</v>
      </c>
      <c r="E13" s="15">
        <f t="shared" si="2"/>
        <v>1842353</v>
      </c>
      <c r="F13" s="15">
        <v>1500</v>
      </c>
      <c r="G13" s="49">
        <f>1237844-34650-4127</f>
        <v>1199067</v>
      </c>
      <c r="H13" s="15">
        <v>95600</v>
      </c>
      <c r="I13" s="15">
        <v>228478</v>
      </c>
      <c r="J13" s="15">
        <v>31272</v>
      </c>
      <c r="K13" s="15"/>
      <c r="L13" s="15"/>
      <c r="M13" s="15">
        <f>10000+6000-6000</f>
        <v>10000</v>
      </c>
      <c r="N13" s="15">
        <f>1000+1000</f>
        <v>2000</v>
      </c>
      <c r="O13" s="15">
        <f>161739-10000+1500-1500</f>
        <v>151739</v>
      </c>
      <c r="P13" s="15">
        <f>3000+40000</f>
        <v>43000</v>
      </c>
      <c r="Q13" s="15"/>
      <c r="R13" s="15">
        <f>4252+4000-4000</f>
        <v>4252</v>
      </c>
      <c r="S13" s="15">
        <v>400</v>
      </c>
      <c r="T13" s="4">
        <v>2000</v>
      </c>
      <c r="U13" s="15">
        <v>2500</v>
      </c>
      <c r="V13" s="15">
        <v>70545</v>
      </c>
      <c r="W13" s="15"/>
      <c r="X13" s="15"/>
      <c r="Y13" s="15">
        <f t="shared" si="1"/>
        <v>65652</v>
      </c>
    </row>
    <row r="14" spans="1:25" ht="11.25">
      <c r="A14" s="4" t="s">
        <v>33</v>
      </c>
      <c r="B14" s="4" t="s">
        <v>33</v>
      </c>
      <c r="C14" s="4">
        <v>472</v>
      </c>
      <c r="D14" s="34">
        <f t="shared" si="0"/>
        <v>323</v>
      </c>
      <c r="E14" s="15">
        <f t="shared" si="2"/>
        <v>1831773</v>
      </c>
      <c r="F14" s="15">
        <v>1800</v>
      </c>
      <c r="G14" s="49">
        <f>1270515-16314-5000</f>
        <v>1249201</v>
      </c>
      <c r="H14" s="15">
        <v>104720</v>
      </c>
      <c r="I14" s="15">
        <v>241793</v>
      </c>
      <c r="J14" s="15">
        <v>33095</v>
      </c>
      <c r="K14" s="15">
        <v>9500</v>
      </c>
      <c r="L14" s="15"/>
      <c r="M14" s="15">
        <f>6400+8700+3000-8700</f>
        <v>9400</v>
      </c>
      <c r="N14" s="15">
        <f>2000+5000-5000</f>
        <v>2000</v>
      </c>
      <c r="O14" s="15">
        <f>84320+1300-1300</f>
        <v>84320</v>
      </c>
      <c r="P14" s="15">
        <f>2400+3000-3000</f>
        <v>2400</v>
      </c>
      <c r="Q14" s="15">
        <v>1800</v>
      </c>
      <c r="R14" s="15">
        <f>15016+154+7200-7200</f>
        <v>15170</v>
      </c>
      <c r="S14" s="15">
        <v>2450</v>
      </c>
      <c r="T14" s="4">
        <f>250+200-200</f>
        <v>250</v>
      </c>
      <c r="U14" s="15">
        <f>900-900</f>
        <v>0</v>
      </c>
      <c r="V14" s="15">
        <v>73874</v>
      </c>
      <c r="W14" s="15"/>
      <c r="X14" s="15"/>
      <c r="Y14" s="15">
        <f t="shared" si="1"/>
        <v>44770</v>
      </c>
    </row>
    <row r="15" spans="1:25" ht="11.25">
      <c r="A15" s="4" t="s">
        <v>34</v>
      </c>
      <c r="B15" s="4" t="s">
        <v>34</v>
      </c>
      <c r="C15" s="4">
        <v>842</v>
      </c>
      <c r="D15" s="34">
        <f t="shared" si="0"/>
        <v>263</v>
      </c>
      <c r="E15" s="15">
        <f t="shared" si="2"/>
        <v>2653862</v>
      </c>
      <c r="F15" s="15">
        <v>1500</v>
      </c>
      <c r="G15" s="49">
        <f>1858775-36900-5000</f>
        <v>1816875</v>
      </c>
      <c r="H15" s="15">
        <v>152911</v>
      </c>
      <c r="I15" s="15">
        <v>349647</v>
      </c>
      <c r="J15" s="15">
        <v>47857</v>
      </c>
      <c r="K15" s="15">
        <v>10000</v>
      </c>
      <c r="L15" s="15"/>
      <c r="M15" s="15">
        <f>13500+9380-9380</f>
        <v>13500</v>
      </c>
      <c r="N15" s="15">
        <f>4000+3856-3856</f>
        <v>4000</v>
      </c>
      <c r="O15" s="15">
        <f>115800-5000+1914-1914</f>
        <v>110800</v>
      </c>
      <c r="P15" s="15">
        <v>5000</v>
      </c>
      <c r="Q15" s="15">
        <v>2000</v>
      </c>
      <c r="R15" s="15">
        <f>17996-445+5000-5000</f>
        <v>17551</v>
      </c>
      <c r="S15" s="15">
        <v>1000</v>
      </c>
      <c r="T15" s="15">
        <v>500</v>
      </c>
      <c r="U15" s="15">
        <v>1500</v>
      </c>
      <c r="V15" s="15">
        <v>119221</v>
      </c>
      <c r="W15" s="15"/>
      <c r="X15" s="15"/>
      <c r="Y15" s="15">
        <f t="shared" si="1"/>
        <v>56551</v>
      </c>
    </row>
    <row r="16" spans="1:25" ht="11.25">
      <c r="A16" s="4" t="s">
        <v>36</v>
      </c>
      <c r="B16" s="4" t="s">
        <v>36</v>
      </c>
      <c r="C16" s="4">
        <v>438</v>
      </c>
      <c r="D16" s="34">
        <f t="shared" si="0"/>
        <v>305</v>
      </c>
      <c r="E16" s="15">
        <f t="shared" si="2"/>
        <v>1602480</v>
      </c>
      <c r="F16" s="15">
        <v>1200</v>
      </c>
      <c r="G16" s="49">
        <f>1128382-23730-5000</f>
        <v>1099652</v>
      </c>
      <c r="H16" s="15">
        <v>85500</v>
      </c>
      <c r="I16" s="15">
        <v>210449</v>
      </c>
      <c r="J16" s="15">
        <v>28804</v>
      </c>
      <c r="K16" s="15">
        <v>9600</v>
      </c>
      <c r="L16" s="15"/>
      <c r="M16" s="15">
        <f>7438+3500-3500</f>
        <v>7438</v>
      </c>
      <c r="N16" s="15">
        <f>1000+1000</f>
        <v>2000</v>
      </c>
      <c r="O16" s="15">
        <f>67700+500-500</f>
        <v>67700</v>
      </c>
      <c r="P16" s="15">
        <f>7000+3000-3000</f>
        <v>7000</v>
      </c>
      <c r="Q16" s="15">
        <v>1000</v>
      </c>
      <c r="R16" s="4">
        <f>11000+3000-3000</f>
        <v>11000</v>
      </c>
      <c r="S16" s="4">
        <v>1000</v>
      </c>
      <c r="T16" s="4">
        <v>1000</v>
      </c>
      <c r="U16" s="15"/>
      <c r="V16" s="15">
        <v>69137</v>
      </c>
      <c r="W16" s="15"/>
      <c r="X16" s="15"/>
      <c r="Y16" s="15">
        <f t="shared" si="1"/>
        <v>41238</v>
      </c>
    </row>
    <row r="17" spans="1:25" ht="11.25">
      <c r="A17" s="4" t="s">
        <v>38</v>
      </c>
      <c r="B17" s="4" t="s">
        <v>38</v>
      </c>
      <c r="C17" s="4">
        <v>507</v>
      </c>
      <c r="D17" s="34">
        <f t="shared" si="0"/>
        <v>342</v>
      </c>
      <c r="E17" s="15">
        <f t="shared" si="2"/>
        <v>2083151</v>
      </c>
      <c r="F17" s="15">
        <v>4000</v>
      </c>
      <c r="G17" s="49">
        <f>1472411-46500-5000</f>
        <v>1420911</v>
      </c>
      <c r="H17" s="15">
        <v>119200</v>
      </c>
      <c r="I17" s="15">
        <v>274695</v>
      </c>
      <c r="J17" s="15">
        <v>37598</v>
      </c>
      <c r="K17" s="15"/>
      <c r="L17" s="15"/>
      <c r="M17" s="15">
        <f>10145+30000-30000</f>
        <v>10145</v>
      </c>
      <c r="N17" s="15">
        <v>1000</v>
      </c>
      <c r="O17" s="15">
        <f>118771+10000-10000</f>
        <v>118771</v>
      </c>
      <c r="P17" s="15">
        <f>1000+25000-25000</f>
        <v>1000</v>
      </c>
      <c r="Q17" s="15">
        <v>1500</v>
      </c>
      <c r="R17" s="15">
        <f>7000+15000-15000</f>
        <v>7000</v>
      </c>
      <c r="S17" s="15">
        <v>1500</v>
      </c>
      <c r="T17" s="4">
        <v>500</v>
      </c>
      <c r="U17" s="15"/>
      <c r="V17" s="15">
        <v>85331</v>
      </c>
      <c r="W17" s="15"/>
      <c r="X17" s="15"/>
      <c r="Y17" s="15">
        <f t="shared" si="1"/>
        <v>26645</v>
      </c>
    </row>
    <row r="18" spans="1:25" ht="11.25">
      <c r="A18" s="4" t="s">
        <v>40</v>
      </c>
      <c r="B18" s="4" t="s">
        <v>40</v>
      </c>
      <c r="C18" s="4">
        <v>349</v>
      </c>
      <c r="D18" s="34">
        <f t="shared" si="0"/>
        <v>414</v>
      </c>
      <c r="E18" s="15">
        <f t="shared" si="2"/>
        <v>1735168</v>
      </c>
      <c r="F18" s="15">
        <v>1000</v>
      </c>
      <c r="G18" s="49">
        <f>1194626-30498</f>
        <v>1164128</v>
      </c>
      <c r="H18" s="15">
        <v>93850</v>
      </c>
      <c r="I18" s="15">
        <v>224348</v>
      </c>
      <c r="J18" s="15">
        <v>30707</v>
      </c>
      <c r="K18" s="15"/>
      <c r="L18" s="15"/>
      <c r="M18" s="15">
        <f>8200-1465+10000-10000</f>
        <v>6735</v>
      </c>
      <c r="N18" s="15">
        <f>1500+6500</f>
        <v>8000</v>
      </c>
      <c r="O18" s="15">
        <f>134643-5000+800-800</f>
        <v>129643</v>
      </c>
      <c r="P18" s="15">
        <f>968+15000-15000</f>
        <v>968</v>
      </c>
      <c r="Q18" s="15">
        <v>1000</v>
      </c>
      <c r="R18" s="15">
        <f>7300-1300+6000-6000</f>
        <v>6000</v>
      </c>
      <c r="S18" s="15">
        <v>1100</v>
      </c>
      <c r="T18" s="4">
        <v>500</v>
      </c>
      <c r="U18" s="15"/>
      <c r="V18" s="15">
        <v>67189</v>
      </c>
      <c r="W18" s="15"/>
      <c r="X18" s="15"/>
      <c r="Y18" s="15">
        <f t="shared" si="1"/>
        <v>25303</v>
      </c>
    </row>
    <row r="19" spans="1:25" ht="11.25">
      <c r="A19" s="4" t="s">
        <v>42</v>
      </c>
      <c r="B19" s="4" t="s">
        <v>42</v>
      </c>
      <c r="C19" s="4">
        <v>292</v>
      </c>
      <c r="D19" s="34">
        <f t="shared" si="0"/>
        <v>418</v>
      </c>
      <c r="E19" s="15">
        <f t="shared" si="2"/>
        <v>1464482</v>
      </c>
      <c r="F19" s="15">
        <f>1000+1000-1000</f>
        <v>1000</v>
      </c>
      <c r="G19" s="49">
        <f>991986-13210</f>
        <v>978776</v>
      </c>
      <c r="H19" s="15">
        <v>79180</v>
      </c>
      <c r="I19" s="15">
        <v>188379</v>
      </c>
      <c r="J19" s="15">
        <v>25784</v>
      </c>
      <c r="K19" s="15"/>
      <c r="L19" s="15"/>
      <c r="M19" s="15">
        <f>9130+1600+5000-1600</f>
        <v>14130</v>
      </c>
      <c r="N19" s="15">
        <v>500</v>
      </c>
      <c r="O19" s="15">
        <f>91285+800-800</f>
        <v>91285</v>
      </c>
      <c r="P19" s="15">
        <f>1500+14000</f>
        <v>15500</v>
      </c>
      <c r="Q19" s="15">
        <v>200</v>
      </c>
      <c r="R19" s="15">
        <f>10000+1600-1600</f>
        <v>10000</v>
      </c>
      <c r="S19" s="15">
        <v>400</v>
      </c>
      <c r="T19" s="4"/>
      <c r="U19" s="15"/>
      <c r="V19" s="15">
        <v>59348</v>
      </c>
      <c r="W19" s="15"/>
      <c r="X19" s="15"/>
      <c r="Y19" s="15">
        <f t="shared" si="1"/>
        <v>41730</v>
      </c>
    </row>
    <row r="20" spans="1:25" ht="11.25">
      <c r="A20" s="4" t="s">
        <v>134</v>
      </c>
      <c r="B20" s="4" t="s">
        <v>44</v>
      </c>
      <c r="C20" s="4">
        <v>261</v>
      </c>
      <c r="D20" s="34">
        <f t="shared" si="0"/>
        <v>527</v>
      </c>
      <c r="E20" s="15">
        <f t="shared" si="2"/>
        <v>1649957</v>
      </c>
      <c r="F20" s="15">
        <v>1000</v>
      </c>
      <c r="G20" s="49">
        <f>1162243-40602-5000</f>
        <v>1116641</v>
      </c>
      <c r="H20" s="15">
        <v>89474</v>
      </c>
      <c r="I20" s="15">
        <v>213754</v>
      </c>
      <c r="J20" s="15">
        <v>29257</v>
      </c>
      <c r="K20" s="15"/>
      <c r="L20" s="15"/>
      <c r="M20" s="15">
        <f>5766-89+16000-16000</f>
        <v>5677</v>
      </c>
      <c r="N20" s="15">
        <f>1500+500</f>
        <v>2000</v>
      </c>
      <c r="O20" s="15">
        <f>113420-5000+2000-2000</f>
        <v>108420</v>
      </c>
      <c r="P20" s="15">
        <v>5500</v>
      </c>
      <c r="Q20" s="15">
        <f>2000-2000</f>
        <v>0</v>
      </c>
      <c r="R20" s="15">
        <f>7000+10170-10170</f>
        <v>7000</v>
      </c>
      <c r="S20" s="15">
        <v>1000</v>
      </c>
      <c r="T20" s="4">
        <v>500</v>
      </c>
      <c r="U20" s="15"/>
      <c r="V20" s="15">
        <v>69734</v>
      </c>
      <c r="W20" s="15"/>
      <c r="X20" s="15"/>
      <c r="Y20" s="15">
        <f t="shared" si="1"/>
        <v>22677</v>
      </c>
    </row>
    <row r="21" spans="1:25" ht="11.25">
      <c r="A21" s="4" t="s">
        <v>46</v>
      </c>
      <c r="B21" s="4" t="s">
        <v>46</v>
      </c>
      <c r="C21" s="4">
        <v>409</v>
      </c>
      <c r="D21" s="34">
        <f t="shared" si="0"/>
        <v>359</v>
      </c>
      <c r="E21" s="15">
        <f t="shared" si="2"/>
        <v>1762660</v>
      </c>
      <c r="F21" s="15">
        <v>2500</v>
      </c>
      <c r="G21" s="49">
        <f>1180496-9657-5000</f>
        <v>1165839</v>
      </c>
      <c r="H21" s="15">
        <v>94995</v>
      </c>
      <c r="I21" s="15">
        <v>224244</v>
      </c>
      <c r="J21" s="15">
        <v>30693</v>
      </c>
      <c r="K21" s="15"/>
      <c r="L21" s="15"/>
      <c r="M21" s="15">
        <f>8300+4000-4000</f>
        <v>8300</v>
      </c>
      <c r="N21" s="15">
        <f>1000+4000</f>
        <v>5000</v>
      </c>
      <c r="O21" s="15">
        <f>142335+3000-3000</f>
        <v>142335</v>
      </c>
      <c r="P21" s="15">
        <v>1000</v>
      </c>
      <c r="Q21" s="15">
        <v>1800</v>
      </c>
      <c r="R21" s="15">
        <f>10500+3000-3000</f>
        <v>10500</v>
      </c>
      <c r="S21" s="15">
        <v>900</v>
      </c>
      <c r="T21" s="4">
        <v>411</v>
      </c>
      <c r="U21" s="15"/>
      <c r="V21" s="15">
        <v>74143</v>
      </c>
      <c r="W21" s="15"/>
      <c r="X21" s="15"/>
      <c r="Y21" s="15">
        <f t="shared" si="1"/>
        <v>30411</v>
      </c>
    </row>
    <row r="22" spans="1:25" ht="11.25">
      <c r="A22" s="4" t="s">
        <v>135</v>
      </c>
      <c r="B22" s="4" t="s">
        <v>48</v>
      </c>
      <c r="C22" s="4">
        <v>773</v>
      </c>
      <c r="D22" s="34">
        <f t="shared" si="0"/>
        <v>330</v>
      </c>
      <c r="E22" s="15">
        <f t="shared" si="2"/>
        <v>3065713</v>
      </c>
      <c r="F22" s="15">
        <v>3790</v>
      </c>
      <c r="G22" s="49">
        <f>1892413-50317-5000</f>
        <v>1837096</v>
      </c>
      <c r="H22" s="15">
        <v>155576</v>
      </c>
      <c r="I22" s="15">
        <v>355262</v>
      </c>
      <c r="J22" s="15">
        <v>48625</v>
      </c>
      <c r="K22" s="15"/>
      <c r="L22" s="15"/>
      <c r="M22" s="15">
        <f>11000+14500+1050-14500</f>
        <v>12050</v>
      </c>
      <c r="N22" s="15">
        <v>5000</v>
      </c>
      <c r="O22" s="15">
        <f>405129-15000+6500-6500</f>
        <v>390129</v>
      </c>
      <c r="P22" s="15">
        <f>6000+9000+5000+100000-9000</f>
        <v>111000</v>
      </c>
      <c r="Q22" s="15">
        <v>1980</v>
      </c>
      <c r="R22" s="15">
        <f>12753+10000-10000</f>
        <v>12753</v>
      </c>
      <c r="S22" s="15">
        <v>840</v>
      </c>
      <c r="T22" s="4">
        <v>1300</v>
      </c>
      <c r="U22" s="15"/>
      <c r="V22" s="15">
        <v>119312</v>
      </c>
      <c r="W22" s="15"/>
      <c r="X22" s="15">
        <v>11000</v>
      </c>
      <c r="Y22" s="15">
        <f t="shared" si="1"/>
        <v>148713</v>
      </c>
    </row>
    <row r="23" spans="1:25" ht="11.25">
      <c r="A23" s="4" t="s">
        <v>49</v>
      </c>
      <c r="B23" s="4" t="s">
        <v>50</v>
      </c>
      <c r="C23" s="4">
        <v>670</v>
      </c>
      <c r="D23" s="34">
        <f t="shared" si="0"/>
        <v>328</v>
      </c>
      <c r="E23" s="15">
        <f t="shared" si="2"/>
        <v>2633141</v>
      </c>
      <c r="F23" s="15">
        <v>1600</v>
      </c>
      <c r="G23" s="49">
        <f>1782842-49209-5000</f>
        <v>1728633</v>
      </c>
      <c r="H23" s="15">
        <v>144737</v>
      </c>
      <c r="I23" s="15">
        <v>332732</v>
      </c>
      <c r="J23" s="15">
        <v>45542</v>
      </c>
      <c r="K23" s="15"/>
      <c r="L23" s="15"/>
      <c r="M23" s="15">
        <f>16000+10000+3000-10000</f>
        <v>19000</v>
      </c>
      <c r="N23" s="15">
        <v>1500</v>
      </c>
      <c r="O23" s="15">
        <f>182000+5200-5200</f>
        <v>182000</v>
      </c>
      <c r="P23" s="15">
        <f>1000+3000+50000</f>
        <v>54000</v>
      </c>
      <c r="Q23" s="15"/>
      <c r="R23" s="15">
        <v>18012</v>
      </c>
      <c r="S23" s="15"/>
      <c r="T23" s="4">
        <v>500</v>
      </c>
      <c r="U23" s="15">
        <v>1000</v>
      </c>
      <c r="V23" s="15">
        <v>103885</v>
      </c>
      <c r="W23" s="15"/>
      <c r="X23" s="15"/>
      <c r="Y23" s="15">
        <f t="shared" si="1"/>
        <v>95612</v>
      </c>
    </row>
    <row r="24" spans="1:25" ht="11.25">
      <c r="A24" s="4" t="s">
        <v>51</v>
      </c>
      <c r="B24" s="4" t="s">
        <v>52</v>
      </c>
      <c r="C24" s="4">
        <v>266</v>
      </c>
      <c r="D24" s="34">
        <f t="shared" si="0"/>
        <v>588</v>
      </c>
      <c r="E24" s="15">
        <f t="shared" si="2"/>
        <v>1876359</v>
      </c>
      <c r="F24" s="15"/>
      <c r="G24" s="49">
        <f>1217419-9224-5000</f>
        <v>1203195</v>
      </c>
      <c r="H24" s="15">
        <v>98793</v>
      </c>
      <c r="I24" s="15">
        <v>231602</v>
      </c>
      <c r="J24" s="15">
        <v>31700</v>
      </c>
      <c r="K24" s="15"/>
      <c r="L24" s="15"/>
      <c r="M24" s="15">
        <f>6631+9000-9000</f>
        <v>6631</v>
      </c>
      <c r="N24" s="15">
        <f>1200+2000</f>
        <v>3200</v>
      </c>
      <c r="O24" s="15">
        <f>153200+4000-4000</f>
        <v>153200</v>
      </c>
      <c r="P24" s="15">
        <v>53000</v>
      </c>
      <c r="Q24" s="15"/>
      <c r="R24" s="15">
        <f>13800+10000-10000</f>
        <v>13800</v>
      </c>
      <c r="S24" s="15"/>
      <c r="T24" s="4">
        <v>100</v>
      </c>
      <c r="U24" s="15"/>
      <c r="V24" s="15">
        <v>81138</v>
      </c>
      <c r="W24" s="15"/>
      <c r="X24" s="15"/>
      <c r="Y24" s="15">
        <f t="shared" si="1"/>
        <v>76731</v>
      </c>
    </row>
    <row r="25" spans="1:25" ht="11.25">
      <c r="A25" s="4" t="s">
        <v>53</v>
      </c>
      <c r="B25" s="4" t="s">
        <v>54</v>
      </c>
      <c r="C25" s="4">
        <v>371</v>
      </c>
      <c r="D25" s="34">
        <f t="shared" si="0"/>
        <v>416</v>
      </c>
      <c r="E25" s="15">
        <f t="shared" si="2"/>
        <v>1852073</v>
      </c>
      <c r="F25" s="15">
        <v>1500</v>
      </c>
      <c r="G25" s="49">
        <f>1245936-14544-5000</f>
        <v>1226392</v>
      </c>
      <c r="H25" s="15">
        <v>101153</v>
      </c>
      <c r="I25" s="15">
        <v>236682</v>
      </c>
      <c r="J25" s="15">
        <v>32395</v>
      </c>
      <c r="K25" s="15"/>
      <c r="L25" s="15"/>
      <c r="M25" s="15">
        <f>8000+5000-5000</f>
        <v>8000</v>
      </c>
      <c r="N25" s="15">
        <f>3000+2000-2000</f>
        <v>3000</v>
      </c>
      <c r="O25" s="15">
        <f>150815+3000-3000</f>
        <v>150815</v>
      </c>
      <c r="P25" s="15">
        <v>2000</v>
      </c>
      <c r="Q25" s="15">
        <v>1000</v>
      </c>
      <c r="R25" s="15">
        <f>8500+5000-5000</f>
        <v>8500</v>
      </c>
      <c r="S25" s="15"/>
      <c r="T25" s="15"/>
      <c r="U25" s="15"/>
      <c r="V25" s="15">
        <v>80636</v>
      </c>
      <c r="W25" s="15"/>
      <c r="X25" s="15"/>
      <c r="Y25" s="15">
        <f t="shared" si="1"/>
        <v>24000</v>
      </c>
    </row>
    <row r="26" spans="1:25" ht="11.25">
      <c r="A26" s="4" t="s">
        <v>85</v>
      </c>
      <c r="B26" s="4" t="s">
        <v>136</v>
      </c>
      <c r="C26" s="4">
        <v>116</v>
      </c>
      <c r="D26" s="34">
        <f t="shared" si="0"/>
        <v>615</v>
      </c>
      <c r="E26" s="15">
        <f t="shared" si="2"/>
        <v>855659</v>
      </c>
      <c r="F26" s="15">
        <v>810</v>
      </c>
      <c r="G26" s="49">
        <f>559246-29682</f>
        <v>529564</v>
      </c>
      <c r="H26" s="15">
        <v>46003</v>
      </c>
      <c r="I26" s="15">
        <v>102428</v>
      </c>
      <c r="J26" s="15">
        <v>14019</v>
      </c>
      <c r="K26" s="15"/>
      <c r="L26" s="15"/>
      <c r="M26" s="15">
        <f>87458+4000</f>
        <v>91458</v>
      </c>
      <c r="N26" s="15">
        <f>700+500</f>
        <v>1200</v>
      </c>
      <c r="O26" s="15">
        <f>12140+250-250</f>
        <v>12140</v>
      </c>
      <c r="P26" s="15">
        <v>2000</v>
      </c>
      <c r="Q26" s="15">
        <v>600</v>
      </c>
      <c r="R26" s="4">
        <f>22078+2450-2450</f>
        <v>22078</v>
      </c>
      <c r="S26" s="4">
        <v>530</v>
      </c>
      <c r="T26" s="4"/>
      <c r="U26" s="15"/>
      <c r="V26" s="15">
        <v>32829</v>
      </c>
      <c r="W26" s="15"/>
      <c r="X26" s="15"/>
      <c r="Y26" s="15">
        <f t="shared" si="1"/>
        <v>118676</v>
      </c>
    </row>
    <row r="27" spans="1:25" ht="11.25">
      <c r="A27" s="4" t="s">
        <v>57</v>
      </c>
      <c r="B27" s="4" t="s">
        <v>58</v>
      </c>
      <c r="C27" s="4">
        <v>754</v>
      </c>
      <c r="D27" s="34">
        <f t="shared" si="0"/>
        <v>339</v>
      </c>
      <c r="E27" s="15">
        <f t="shared" si="2"/>
        <v>3066625</v>
      </c>
      <c r="F27" s="15">
        <v>3800</v>
      </c>
      <c r="G27" s="49">
        <f>2116866-112764-5000</f>
        <v>1999102</v>
      </c>
      <c r="H27" s="15">
        <v>174140</v>
      </c>
      <c r="I27" s="15">
        <v>386318</v>
      </c>
      <c r="J27" s="15">
        <v>52876</v>
      </c>
      <c r="K27" s="15">
        <v>15700</v>
      </c>
      <c r="L27" s="15"/>
      <c r="M27" s="15">
        <f>12054+3000+3200-3000</f>
        <v>15254</v>
      </c>
      <c r="N27" s="15">
        <v>1800</v>
      </c>
      <c r="O27" s="15">
        <f>273000-5000+800-800</f>
        <v>268000</v>
      </c>
      <c r="P27" s="15">
        <v>3000</v>
      </c>
      <c r="Q27" s="15">
        <v>4300</v>
      </c>
      <c r="R27" s="15">
        <f>10700+4200-4200</f>
        <v>10700</v>
      </c>
      <c r="S27" s="15">
        <v>500</v>
      </c>
      <c r="T27" s="4">
        <v>900</v>
      </c>
      <c r="U27" s="15">
        <v>3500</v>
      </c>
      <c r="V27" s="15">
        <v>126735</v>
      </c>
      <c r="W27" s="15"/>
      <c r="X27" s="15"/>
      <c r="Y27" s="15">
        <f t="shared" si="1"/>
        <v>59454</v>
      </c>
    </row>
    <row r="28" spans="1:25" ht="11.25">
      <c r="A28" s="4" t="s">
        <v>59</v>
      </c>
      <c r="B28" s="4" t="s">
        <v>137</v>
      </c>
      <c r="C28" s="4">
        <v>821</v>
      </c>
      <c r="D28" s="34">
        <f t="shared" si="0"/>
        <v>304</v>
      </c>
      <c r="E28" s="15">
        <f t="shared" si="2"/>
        <v>2999541</v>
      </c>
      <c r="F28" s="15">
        <v>1270</v>
      </c>
      <c r="G28" s="49">
        <f>2020252-43595-5000</f>
        <v>1971657</v>
      </c>
      <c r="H28" s="15">
        <v>164612</v>
      </c>
      <c r="I28" s="15">
        <v>379338</v>
      </c>
      <c r="J28" s="15">
        <v>51921</v>
      </c>
      <c r="K28" s="15">
        <v>16000</v>
      </c>
      <c r="L28" s="15">
        <v>4080</v>
      </c>
      <c r="M28" s="15">
        <f>9650+7000-7000</f>
        <v>9650</v>
      </c>
      <c r="N28" s="15">
        <v>1500</v>
      </c>
      <c r="O28" s="15">
        <f>177139-5000+3000-3000</f>
        <v>172139</v>
      </c>
      <c r="P28" s="15">
        <f>4000+9000+75000-9000</f>
        <v>79000</v>
      </c>
      <c r="Q28" s="15">
        <v>5530</v>
      </c>
      <c r="R28" s="15">
        <f>15546+4000-4000</f>
        <v>15546</v>
      </c>
      <c r="S28" s="15">
        <v>840</v>
      </c>
      <c r="T28" s="4">
        <v>900</v>
      </c>
      <c r="U28" s="15"/>
      <c r="V28" s="15">
        <v>125558</v>
      </c>
      <c r="W28" s="15"/>
      <c r="X28" s="15"/>
      <c r="Y28" s="15">
        <f t="shared" si="1"/>
        <v>134316</v>
      </c>
    </row>
    <row r="29" spans="1:25" ht="11.25">
      <c r="A29" s="4" t="s">
        <v>138</v>
      </c>
      <c r="B29" s="4" t="s">
        <v>63</v>
      </c>
      <c r="C29" s="4">
        <v>391</v>
      </c>
      <c r="D29" s="34">
        <f t="shared" si="0"/>
        <v>430</v>
      </c>
      <c r="E29" s="15">
        <f t="shared" si="2"/>
        <v>2016367</v>
      </c>
      <c r="F29" s="15">
        <v>2500</v>
      </c>
      <c r="G29" s="49">
        <f>1207692-22995-5000</f>
        <v>1179697</v>
      </c>
      <c r="H29" s="15">
        <v>101235</v>
      </c>
      <c r="I29" s="15">
        <v>228896</v>
      </c>
      <c r="J29" s="15">
        <v>31329</v>
      </c>
      <c r="K29" s="15"/>
      <c r="L29" s="15"/>
      <c r="M29" s="15">
        <f>10500+20000-20000</f>
        <v>10500</v>
      </c>
      <c r="N29" s="15">
        <f>3836-307+15000+750-15000</f>
        <v>4279</v>
      </c>
      <c r="O29" s="15">
        <f>387556-15168+5664-5664</f>
        <v>372388</v>
      </c>
      <c r="P29" s="15">
        <f>5000+27136-27136</f>
        <v>5000</v>
      </c>
      <c r="Q29" s="15">
        <v>1000</v>
      </c>
      <c r="R29" s="15">
        <f>5000+15000-15000</f>
        <v>5000</v>
      </c>
      <c r="S29" s="15">
        <v>1500</v>
      </c>
      <c r="T29" s="4">
        <v>500</v>
      </c>
      <c r="U29" s="15"/>
      <c r="V29" s="15">
        <v>72543</v>
      </c>
      <c r="W29" s="15"/>
      <c r="X29" s="15"/>
      <c r="Y29" s="15">
        <f t="shared" si="1"/>
        <v>30279</v>
      </c>
    </row>
    <row r="30" spans="1:25" ht="11.25">
      <c r="A30" s="4" t="s">
        <v>139</v>
      </c>
      <c r="B30" s="4" t="s">
        <v>65</v>
      </c>
      <c r="C30" s="4">
        <v>523</v>
      </c>
      <c r="D30" s="34">
        <f t="shared" si="0"/>
        <v>350</v>
      </c>
      <c r="E30" s="15">
        <f t="shared" si="2"/>
        <v>2194668</v>
      </c>
      <c r="F30" s="15">
        <v>5500</v>
      </c>
      <c r="G30" s="49">
        <f>1513122-25403-5000</f>
        <v>1482719</v>
      </c>
      <c r="H30" s="15">
        <v>116093</v>
      </c>
      <c r="I30" s="15">
        <v>283683</v>
      </c>
      <c r="J30" s="15">
        <v>38828</v>
      </c>
      <c r="K30" s="15"/>
      <c r="L30" s="15">
        <v>1000</v>
      </c>
      <c r="M30" s="15">
        <f>5202+17000+1000-17000</f>
        <v>6202</v>
      </c>
      <c r="N30" s="15">
        <v>3000</v>
      </c>
      <c r="O30" s="15">
        <f>164000+3000-3000</f>
        <v>164000</v>
      </c>
      <c r="P30" s="15">
        <v>1500</v>
      </c>
      <c r="Q30" s="15">
        <v>2000</v>
      </c>
      <c r="R30" s="15">
        <f>5500+15000-15000</f>
        <v>5500</v>
      </c>
      <c r="S30" s="15"/>
      <c r="T30" s="4">
        <v>561</v>
      </c>
      <c r="U30" s="15"/>
      <c r="V30" s="15">
        <v>84082</v>
      </c>
      <c r="W30" s="15"/>
      <c r="X30" s="15"/>
      <c r="Y30" s="15">
        <f t="shared" si="1"/>
        <v>25263</v>
      </c>
    </row>
    <row r="31" spans="1:25" ht="11.25">
      <c r="A31" s="4" t="s">
        <v>140</v>
      </c>
      <c r="B31" s="4" t="s">
        <v>141</v>
      </c>
      <c r="C31" s="4">
        <v>177</v>
      </c>
      <c r="D31" s="34">
        <f t="shared" si="0"/>
        <v>396</v>
      </c>
      <c r="E31" s="15">
        <f t="shared" si="2"/>
        <v>841661</v>
      </c>
      <c r="F31" s="15">
        <v>1620</v>
      </c>
      <c r="G31" s="49">
        <f>550885-23068</f>
        <v>527817</v>
      </c>
      <c r="H31" s="15">
        <v>38977</v>
      </c>
      <c r="I31" s="15">
        <v>99197</v>
      </c>
      <c r="J31" s="15">
        <v>13577</v>
      </c>
      <c r="K31" s="15">
        <v>6060</v>
      </c>
      <c r="L31" s="15"/>
      <c r="M31" s="15">
        <f>4188+2200+1200+3000-2200</f>
        <v>8388</v>
      </c>
      <c r="N31" s="15">
        <v>450</v>
      </c>
      <c r="O31" s="15">
        <f>110296+1803-1803</f>
        <v>110296</v>
      </c>
      <c r="P31" s="15">
        <f>300+1450-1450</f>
        <v>300</v>
      </c>
      <c r="Q31" s="15">
        <v>850</v>
      </c>
      <c r="R31" s="4">
        <f>2990+1547-1547</f>
        <v>2990</v>
      </c>
      <c r="S31" s="4"/>
      <c r="T31" s="4">
        <v>220</v>
      </c>
      <c r="U31" s="15"/>
      <c r="V31" s="15">
        <v>30919</v>
      </c>
      <c r="W31" s="15"/>
      <c r="X31" s="15"/>
      <c r="Y31" s="15">
        <f t="shared" si="1"/>
        <v>20878</v>
      </c>
    </row>
    <row r="32" spans="1:25" ht="11.25">
      <c r="A32" s="4" t="s">
        <v>68</v>
      </c>
      <c r="B32" s="4" t="s">
        <v>69</v>
      </c>
      <c r="C32" s="4">
        <v>225</v>
      </c>
      <c r="D32" s="34">
        <f t="shared" si="0"/>
        <v>403</v>
      </c>
      <c r="E32" s="15">
        <f t="shared" si="2"/>
        <v>1088184</v>
      </c>
      <c r="F32" s="15">
        <v>2000</v>
      </c>
      <c r="G32" s="49">
        <f>744465-9390</f>
        <v>735075</v>
      </c>
      <c r="H32" s="15">
        <v>57800</v>
      </c>
      <c r="I32" s="15">
        <v>139240</v>
      </c>
      <c r="J32" s="15">
        <v>19058</v>
      </c>
      <c r="K32" s="15">
        <v>5000</v>
      </c>
      <c r="L32" s="15">
        <v>500</v>
      </c>
      <c r="M32" s="15">
        <f>4346-266+1550-1550</f>
        <v>4080</v>
      </c>
      <c r="N32" s="15">
        <v>1000</v>
      </c>
      <c r="O32" s="15">
        <f>76704+1100-1100</f>
        <v>76704</v>
      </c>
      <c r="P32" s="15">
        <v>500</v>
      </c>
      <c r="Q32" s="15">
        <v>1800</v>
      </c>
      <c r="R32" s="4">
        <f>4800+1550-1550</f>
        <v>4800</v>
      </c>
      <c r="S32" s="4"/>
      <c r="T32" s="4">
        <v>1300</v>
      </c>
      <c r="U32" s="15"/>
      <c r="V32" s="15">
        <v>39327</v>
      </c>
      <c r="W32" s="15"/>
      <c r="X32" s="15"/>
      <c r="Y32" s="15">
        <f t="shared" si="1"/>
        <v>20980</v>
      </c>
    </row>
    <row r="33" spans="1:25" ht="11.25">
      <c r="A33" s="4" t="s">
        <v>142</v>
      </c>
      <c r="B33" s="4" t="s">
        <v>71</v>
      </c>
      <c r="C33" s="4">
        <v>554</v>
      </c>
      <c r="D33" s="34">
        <f t="shared" si="0"/>
        <v>350</v>
      </c>
      <c r="E33" s="15">
        <f t="shared" si="2"/>
        <v>2328669</v>
      </c>
      <c r="F33" s="15"/>
      <c r="G33" s="49">
        <f>1579295-38257-5000</f>
        <v>1536038</v>
      </c>
      <c r="H33" s="15">
        <v>111000</v>
      </c>
      <c r="I33" s="15">
        <v>295063</v>
      </c>
      <c r="J33" s="15">
        <v>40386</v>
      </c>
      <c r="K33" s="15"/>
      <c r="L33" s="15"/>
      <c r="M33" s="15">
        <f>15535+20000-20000</f>
        <v>15535</v>
      </c>
      <c r="N33" s="15">
        <f>3500+750</f>
        <v>4250</v>
      </c>
      <c r="O33" s="15">
        <f>216800-10000+6000-6000</f>
        <v>206800</v>
      </c>
      <c r="P33" s="15">
        <f>1800+3000+12000-3000</f>
        <v>13800</v>
      </c>
      <c r="Q33" s="15">
        <v>600</v>
      </c>
      <c r="R33" s="15">
        <f>6200+18000-18000</f>
        <v>6200</v>
      </c>
      <c r="S33" s="15"/>
      <c r="T33" s="4">
        <v>700</v>
      </c>
      <c r="U33" s="15">
        <v>1000</v>
      </c>
      <c r="V33" s="15">
        <v>97297</v>
      </c>
      <c r="W33" s="15"/>
      <c r="X33" s="15"/>
      <c r="Y33" s="15">
        <f t="shared" si="1"/>
        <v>42085</v>
      </c>
    </row>
    <row r="34" spans="1:25" ht="11.25">
      <c r="A34" s="4" t="s">
        <v>143</v>
      </c>
      <c r="B34" s="4" t="s">
        <v>73</v>
      </c>
      <c r="C34" s="4">
        <v>618</v>
      </c>
      <c r="D34" s="34">
        <f t="shared" si="0"/>
        <v>432</v>
      </c>
      <c r="E34" s="15">
        <f t="shared" si="2"/>
        <v>3205237</v>
      </c>
      <c r="F34" s="15">
        <f>1500+4500-4500</f>
        <v>1500</v>
      </c>
      <c r="G34" s="49">
        <f>2215771-14500-5000</f>
        <v>2196271</v>
      </c>
      <c r="H34" s="15">
        <v>176064</v>
      </c>
      <c r="I34" s="15">
        <v>420083</v>
      </c>
      <c r="J34" s="15">
        <v>57497</v>
      </c>
      <c r="K34" s="15"/>
      <c r="L34" s="15">
        <v>1500</v>
      </c>
      <c r="M34" s="15">
        <f>4792+27700+1000-27700</f>
        <v>5792</v>
      </c>
      <c r="N34" s="15">
        <f>2000+4500-4500</f>
        <v>2000</v>
      </c>
      <c r="O34" s="15">
        <f>191647+8300-8300</f>
        <v>191647</v>
      </c>
      <c r="P34" s="15">
        <f>5000+10000-10000</f>
        <v>5000</v>
      </c>
      <c r="Q34" s="15">
        <v>3407</v>
      </c>
      <c r="R34" s="15">
        <f>5000+15000-15000</f>
        <v>5000</v>
      </c>
      <c r="S34" s="15">
        <v>708</v>
      </c>
      <c r="T34" s="15">
        <v>450</v>
      </c>
      <c r="U34" s="15">
        <v>3500</v>
      </c>
      <c r="V34" s="15">
        <v>134818</v>
      </c>
      <c r="W34" s="15"/>
      <c r="X34" s="15"/>
      <c r="Y34" s="15">
        <f t="shared" si="1"/>
        <v>28857</v>
      </c>
    </row>
    <row r="35" spans="1:25" ht="11.25">
      <c r="A35" s="4" t="s">
        <v>144</v>
      </c>
      <c r="B35" s="4" t="s">
        <v>75</v>
      </c>
      <c r="C35" s="4">
        <v>291</v>
      </c>
      <c r="D35" s="34">
        <f>E35/C35/12</f>
        <v>350</v>
      </c>
      <c r="E35" s="15">
        <f>SUM(F35:X35)</f>
        <v>1223746</v>
      </c>
      <c r="F35" s="15">
        <v>1000</v>
      </c>
      <c r="G35" s="49">
        <v>728553</v>
      </c>
      <c r="H35" s="15">
        <v>63128</v>
      </c>
      <c r="I35" s="15">
        <v>141246</v>
      </c>
      <c r="J35" s="15">
        <v>19333</v>
      </c>
      <c r="K35" s="15"/>
      <c r="L35" s="15"/>
      <c r="M35" s="15">
        <f>6444-178+10000+1500-10000</f>
        <v>7766</v>
      </c>
      <c r="N35" s="15">
        <v>500</v>
      </c>
      <c r="O35" s="15">
        <f>199750-5000+5000-5000</f>
        <v>194750</v>
      </c>
      <c r="P35" s="15">
        <v>6000</v>
      </c>
      <c r="Q35" s="15">
        <v>1000</v>
      </c>
      <c r="R35" s="15">
        <f>5675+10000-10000</f>
        <v>5675</v>
      </c>
      <c r="S35" s="15">
        <v>1800</v>
      </c>
      <c r="T35" s="15">
        <v>100</v>
      </c>
      <c r="U35" s="15">
        <v>4000</v>
      </c>
      <c r="V35" s="15">
        <v>48895</v>
      </c>
      <c r="W35" s="15"/>
      <c r="X35" s="15"/>
      <c r="Y35" s="15">
        <f>F35+K35+L35+M35+N35+P35+Q35+R35+S35+T35+U35</f>
        <v>27841</v>
      </c>
    </row>
    <row r="36" spans="1:25" ht="11.25">
      <c r="A36" s="182" t="s">
        <v>226</v>
      </c>
      <c r="B36" s="183"/>
      <c r="C36" s="4"/>
      <c r="D36" s="34"/>
      <c r="E36" s="15">
        <f>SUM(F36:X36)</f>
        <v>213727</v>
      </c>
      <c r="F36" s="15"/>
      <c r="G36" s="49">
        <f>190975</f>
        <v>190975</v>
      </c>
      <c r="H36" s="15">
        <v>15624</v>
      </c>
      <c r="I36" s="15">
        <v>2128</v>
      </c>
      <c r="J36" s="15"/>
      <c r="K36" s="15"/>
      <c r="L36" s="15"/>
      <c r="M36" s="15"/>
      <c r="N36" s="15"/>
      <c r="O36" s="15"/>
      <c r="P36" s="15">
        <v>5000</v>
      </c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21.75" customHeight="1">
      <c r="A37" s="254" t="s">
        <v>223</v>
      </c>
      <c r="B37" s="255"/>
      <c r="C37" s="4"/>
      <c r="D37" s="34"/>
      <c r="E37" s="15">
        <v>1507703</v>
      </c>
      <c r="F37" s="15"/>
      <c r="G37" s="49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4" customHeight="1">
      <c r="A38" s="254" t="s">
        <v>224</v>
      </c>
      <c r="B38" s="255"/>
      <c r="C38" s="4"/>
      <c r="D38" s="34"/>
      <c r="E38" s="15">
        <v>2052000</v>
      </c>
      <c r="F38" s="15"/>
      <c r="G38" s="49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21.75" customHeight="1">
      <c r="A39" s="254" t="s">
        <v>225</v>
      </c>
      <c r="B39" s="255"/>
      <c r="C39" s="4">
        <v>291</v>
      </c>
      <c r="D39" s="34">
        <f t="shared" si="0"/>
        <v>90</v>
      </c>
      <c r="E39" s="15">
        <v>315000</v>
      </c>
      <c r="F39" s="15"/>
      <c r="G39" s="49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>
        <f t="shared" si="1"/>
        <v>0</v>
      </c>
    </row>
    <row r="40" spans="1:25" s="5" customFormat="1" ht="11.25">
      <c r="A40" s="4"/>
      <c r="B40" s="36" t="s">
        <v>96</v>
      </c>
      <c r="C40" s="15">
        <f>SUM(C5:C39)</f>
        <v>13772</v>
      </c>
      <c r="D40" s="35">
        <f t="shared" si="0"/>
        <v>381</v>
      </c>
      <c r="E40" s="16">
        <f aca="true" t="shared" si="3" ref="E40:Y40">SUM(E5:E39)</f>
        <v>62933610</v>
      </c>
      <c r="F40" s="16">
        <f t="shared" si="3"/>
        <v>59575</v>
      </c>
      <c r="G40" s="16">
        <f t="shared" si="3"/>
        <v>38835814</v>
      </c>
      <c r="H40" s="16">
        <f t="shared" si="3"/>
        <v>3174499</v>
      </c>
      <c r="I40" s="16">
        <f t="shared" si="3"/>
        <v>7431121</v>
      </c>
      <c r="J40" s="16">
        <f t="shared" si="3"/>
        <v>1016820</v>
      </c>
      <c r="K40" s="16">
        <f t="shared" si="3"/>
        <v>78660</v>
      </c>
      <c r="L40" s="16">
        <f t="shared" si="3"/>
        <v>10237</v>
      </c>
      <c r="M40" s="16">
        <f t="shared" si="3"/>
        <v>365706</v>
      </c>
      <c r="N40" s="16">
        <f t="shared" si="3"/>
        <v>71879</v>
      </c>
      <c r="O40" s="16">
        <f t="shared" si="3"/>
        <v>4646523</v>
      </c>
      <c r="P40" s="16">
        <f t="shared" si="3"/>
        <v>495728</v>
      </c>
      <c r="Q40" s="16">
        <f t="shared" si="3"/>
        <v>48067</v>
      </c>
      <c r="R40" s="16">
        <f t="shared" si="3"/>
        <v>308075</v>
      </c>
      <c r="S40" s="16">
        <f t="shared" si="3"/>
        <v>28568</v>
      </c>
      <c r="T40" s="16">
        <f t="shared" si="3"/>
        <v>17949</v>
      </c>
      <c r="U40" s="16">
        <f t="shared" si="3"/>
        <v>23400</v>
      </c>
      <c r="V40" s="16">
        <f t="shared" si="3"/>
        <v>2405286</v>
      </c>
      <c r="W40" s="16">
        <f t="shared" si="3"/>
        <v>30000</v>
      </c>
      <c r="X40" s="16">
        <f t="shared" si="3"/>
        <v>11000</v>
      </c>
      <c r="Y40" s="16">
        <f t="shared" si="3"/>
        <v>1502844</v>
      </c>
    </row>
    <row r="41" spans="3:5" ht="11.25">
      <c r="C41" s="2" t="s">
        <v>97</v>
      </c>
      <c r="E41" s="9"/>
    </row>
    <row r="42" spans="5:7" ht="11.25">
      <c r="E42" s="9"/>
      <c r="G42" s="177"/>
    </row>
    <row r="43" ht="11.25">
      <c r="G43" s="177"/>
    </row>
    <row r="44" ht="11.25">
      <c r="E44" s="9"/>
    </row>
    <row r="50" spans="1:10" ht="12">
      <c r="A50" s="24"/>
      <c r="B50" s="8"/>
      <c r="C50" s="8"/>
      <c r="D50" s="26"/>
      <c r="E50" s="8"/>
      <c r="F50" s="8"/>
      <c r="G50" s="8"/>
      <c r="H50" s="8"/>
      <c r="I50" s="8"/>
      <c r="J50" s="8"/>
    </row>
    <row r="51" spans="1:10" ht="11.25">
      <c r="A51" s="27"/>
      <c r="B51" s="27"/>
      <c r="C51" s="8"/>
      <c r="D51" s="26"/>
      <c r="E51" s="28"/>
      <c r="F51" s="29"/>
      <c r="G51" s="29"/>
      <c r="H51" s="8"/>
      <c r="I51" s="8"/>
      <c r="J51" s="28"/>
    </row>
    <row r="52" spans="1:10" ht="11.25">
      <c r="A52" s="8"/>
      <c r="B52" s="8"/>
      <c r="C52" s="8"/>
      <c r="D52" s="26"/>
      <c r="E52" s="7"/>
      <c r="F52" s="7"/>
      <c r="G52" s="7"/>
      <c r="H52" s="7"/>
      <c r="I52" s="7"/>
      <c r="J52" s="7"/>
    </row>
    <row r="53" spans="1:10" ht="11.25">
      <c r="A53" s="8"/>
      <c r="B53" s="8"/>
      <c r="C53" s="8"/>
      <c r="D53" s="26"/>
      <c r="E53" s="7"/>
      <c r="F53" s="7"/>
      <c r="G53" s="7"/>
      <c r="H53" s="7"/>
      <c r="I53" s="7"/>
      <c r="J53" s="7"/>
    </row>
    <row r="54" spans="1:10" ht="11.25">
      <c r="A54" s="8"/>
      <c r="B54" s="8"/>
      <c r="C54" s="8"/>
      <c r="D54" s="26"/>
      <c r="E54" s="7"/>
      <c r="F54" s="7"/>
      <c r="G54" s="7"/>
      <c r="H54" s="7"/>
      <c r="I54" s="7"/>
      <c r="J54" s="7"/>
    </row>
    <row r="55" spans="1:10" ht="11.25">
      <c r="A55" s="8"/>
      <c r="B55" s="8"/>
      <c r="C55" s="8"/>
      <c r="D55" s="26"/>
      <c r="E55" s="7"/>
      <c r="F55" s="7"/>
      <c r="G55" s="7"/>
      <c r="H55" s="7"/>
      <c r="I55" s="7"/>
      <c r="J55" s="7"/>
    </row>
    <row r="56" spans="1:10" ht="11.25">
      <c r="A56" s="8"/>
      <c r="B56" s="8"/>
      <c r="C56" s="8"/>
      <c r="D56" s="26"/>
      <c r="E56" s="7"/>
      <c r="F56" s="7"/>
      <c r="G56" s="7"/>
      <c r="H56" s="7"/>
      <c r="I56" s="7"/>
      <c r="J56" s="7"/>
    </row>
    <row r="57" spans="1:10" ht="11.25">
      <c r="A57" s="8"/>
      <c r="B57" s="8"/>
      <c r="C57" s="8"/>
      <c r="D57" s="26"/>
      <c r="E57" s="7"/>
      <c r="F57" s="7"/>
      <c r="G57" s="7"/>
      <c r="H57" s="7"/>
      <c r="I57" s="7"/>
      <c r="J57" s="7"/>
    </row>
    <row r="58" spans="1:10" ht="11.25">
      <c r="A58" s="8"/>
      <c r="B58" s="8"/>
      <c r="C58" s="8"/>
      <c r="D58" s="26"/>
      <c r="E58" s="7"/>
      <c r="F58" s="7"/>
      <c r="G58" s="7"/>
      <c r="H58" s="7"/>
      <c r="I58" s="7"/>
      <c r="J58" s="7"/>
    </row>
    <row r="59" spans="1:10" ht="11.25">
      <c r="A59" s="8"/>
      <c r="B59" s="8"/>
      <c r="C59" s="8"/>
      <c r="D59" s="26"/>
      <c r="E59" s="7"/>
      <c r="F59" s="7"/>
      <c r="G59" s="7"/>
      <c r="H59" s="7"/>
      <c r="I59" s="7"/>
      <c r="J59" s="7"/>
    </row>
    <row r="60" spans="1:10" ht="11.25">
      <c r="A60" s="8"/>
      <c r="B60" s="8"/>
      <c r="C60" s="8"/>
      <c r="D60" s="26"/>
      <c r="E60" s="7"/>
      <c r="F60" s="7"/>
      <c r="G60" s="7"/>
      <c r="H60" s="7"/>
      <c r="I60" s="7"/>
      <c r="J60" s="7"/>
    </row>
    <row r="61" spans="1:10" ht="11.25">
      <c r="A61" s="8"/>
      <c r="B61" s="8"/>
      <c r="C61" s="8"/>
      <c r="D61" s="26"/>
      <c r="E61" s="7"/>
      <c r="F61" s="7"/>
      <c r="G61" s="7"/>
      <c r="H61" s="7"/>
      <c r="I61" s="7"/>
      <c r="J61" s="7"/>
    </row>
    <row r="62" spans="1:10" ht="11.25">
      <c r="A62" s="8"/>
      <c r="B62" s="8"/>
      <c r="C62" s="8"/>
      <c r="D62" s="26"/>
      <c r="E62" s="7"/>
      <c r="F62" s="7"/>
      <c r="G62" s="7"/>
      <c r="H62" s="7"/>
      <c r="I62" s="7"/>
      <c r="J62" s="7"/>
    </row>
    <row r="63" spans="1:10" ht="11.25">
      <c r="A63" s="8"/>
      <c r="B63" s="8"/>
      <c r="C63" s="8"/>
      <c r="D63" s="26"/>
      <c r="E63" s="7"/>
      <c r="F63" s="7"/>
      <c r="G63" s="7"/>
      <c r="H63" s="7"/>
      <c r="I63" s="7"/>
      <c r="J63" s="7"/>
    </row>
    <row r="64" spans="1:10" ht="11.25">
      <c r="A64" s="8"/>
      <c r="B64" s="8"/>
      <c r="C64" s="8"/>
      <c r="D64" s="26"/>
      <c r="E64" s="7"/>
      <c r="F64" s="7"/>
      <c r="G64" s="7"/>
      <c r="H64" s="7"/>
      <c r="I64" s="7"/>
      <c r="J64" s="7"/>
    </row>
    <row r="65" spans="1:10" ht="11.25">
      <c r="A65" s="8"/>
      <c r="B65" s="8"/>
      <c r="C65" s="8"/>
      <c r="D65" s="26"/>
      <c r="E65" s="7"/>
      <c r="F65" s="7"/>
      <c r="G65" s="7"/>
      <c r="H65" s="7"/>
      <c r="I65" s="7"/>
      <c r="J65" s="7"/>
    </row>
    <row r="66" spans="1:10" ht="11.25">
      <c r="A66" s="8"/>
      <c r="B66" s="8"/>
      <c r="C66" s="8"/>
      <c r="D66" s="26"/>
      <c r="E66" s="7"/>
      <c r="F66" s="7"/>
      <c r="G66" s="7"/>
      <c r="H66" s="7"/>
      <c r="I66" s="7"/>
      <c r="J66" s="7"/>
    </row>
    <row r="67" spans="1:10" ht="11.25">
      <c r="A67" s="8"/>
      <c r="B67" s="8"/>
      <c r="C67" s="8"/>
      <c r="D67" s="26"/>
      <c r="E67" s="7"/>
      <c r="F67" s="7"/>
      <c r="G67" s="7"/>
      <c r="H67" s="7"/>
      <c r="I67" s="7"/>
      <c r="J67" s="7"/>
    </row>
    <row r="68" spans="1:10" ht="11.25">
      <c r="A68" s="8"/>
      <c r="B68" s="8"/>
      <c r="C68" s="8"/>
      <c r="D68" s="26"/>
      <c r="E68" s="7"/>
      <c r="F68" s="7"/>
      <c r="G68" s="7"/>
      <c r="H68" s="7"/>
      <c r="I68" s="7"/>
      <c r="J68" s="7"/>
    </row>
    <row r="69" spans="1:10" ht="11.25">
      <c r="A69" s="8"/>
      <c r="B69" s="8"/>
      <c r="C69" s="8"/>
      <c r="D69" s="26"/>
      <c r="E69" s="7"/>
      <c r="F69" s="7"/>
      <c r="G69" s="7"/>
      <c r="H69" s="7"/>
      <c r="I69" s="7"/>
      <c r="J69" s="7"/>
    </row>
    <row r="70" spans="1:10" ht="11.25">
      <c r="A70" s="8"/>
      <c r="B70" s="8"/>
      <c r="C70" s="8"/>
      <c r="D70" s="26"/>
      <c r="E70" s="7"/>
      <c r="F70" s="7"/>
      <c r="G70" s="7"/>
      <c r="H70" s="7"/>
      <c r="I70" s="7"/>
      <c r="J70" s="7"/>
    </row>
    <row r="71" spans="1:10" ht="11.25">
      <c r="A71" s="8"/>
      <c r="B71" s="8"/>
      <c r="C71" s="8"/>
      <c r="D71" s="26"/>
      <c r="E71" s="7"/>
      <c r="F71" s="7"/>
      <c r="G71" s="7"/>
      <c r="H71" s="7"/>
      <c r="I71" s="7"/>
      <c r="J71" s="7"/>
    </row>
    <row r="72" spans="1:10" ht="11.25">
      <c r="A72" s="8"/>
      <c r="B72" s="8"/>
      <c r="C72" s="8"/>
      <c r="D72" s="26"/>
      <c r="E72" s="7"/>
      <c r="F72" s="7"/>
      <c r="G72" s="7"/>
      <c r="H72" s="7"/>
      <c r="I72" s="7"/>
      <c r="J72" s="7"/>
    </row>
    <row r="73" spans="1:10" ht="11.25">
      <c r="A73" s="8"/>
      <c r="B73" s="8"/>
      <c r="C73" s="8"/>
      <c r="D73" s="26"/>
      <c r="E73" s="7"/>
      <c r="F73" s="7"/>
      <c r="G73" s="7"/>
      <c r="H73" s="7"/>
      <c r="I73" s="7"/>
      <c r="J73" s="7"/>
    </row>
    <row r="74" spans="1:10" ht="11.25">
      <c r="A74" s="8"/>
      <c r="B74" s="8"/>
      <c r="C74" s="8"/>
      <c r="D74" s="26"/>
      <c r="E74" s="7"/>
      <c r="F74" s="7"/>
      <c r="G74" s="7"/>
      <c r="H74" s="7"/>
      <c r="I74" s="7"/>
      <c r="J74" s="7"/>
    </row>
    <row r="75" spans="1:10" ht="11.25">
      <c r="A75" s="8"/>
      <c r="B75" s="8"/>
      <c r="C75" s="8"/>
      <c r="D75" s="26"/>
      <c r="E75" s="7"/>
      <c r="F75" s="7"/>
      <c r="G75" s="7"/>
      <c r="H75" s="7"/>
      <c r="I75" s="7"/>
      <c r="J75" s="7"/>
    </row>
    <row r="76" spans="1:10" ht="11.25">
      <c r="A76" s="8"/>
      <c r="B76" s="8"/>
      <c r="C76" s="8"/>
      <c r="D76" s="26"/>
      <c r="E76" s="7"/>
      <c r="F76" s="7"/>
      <c r="G76" s="7"/>
      <c r="H76" s="7"/>
      <c r="I76" s="7"/>
      <c r="J76" s="7"/>
    </row>
    <row r="77" spans="1:10" ht="11.25">
      <c r="A77" s="8"/>
      <c r="B77" s="8"/>
      <c r="C77" s="8"/>
      <c r="D77" s="26"/>
      <c r="E77" s="7"/>
      <c r="F77" s="7"/>
      <c r="G77" s="7"/>
      <c r="H77" s="7"/>
      <c r="I77" s="7"/>
      <c r="J77" s="7"/>
    </row>
    <row r="78" spans="1:10" ht="11.25">
      <c r="A78" s="8"/>
      <c r="B78" s="8"/>
      <c r="C78" s="8"/>
      <c r="D78" s="26"/>
      <c r="E78" s="7"/>
      <c r="F78" s="7"/>
      <c r="G78" s="7"/>
      <c r="H78" s="7"/>
      <c r="I78" s="7"/>
      <c r="J78" s="7"/>
    </row>
    <row r="79" spans="1:10" ht="11.25">
      <c r="A79" s="8"/>
      <c r="B79" s="8"/>
      <c r="C79" s="8"/>
      <c r="D79" s="26"/>
      <c r="E79" s="7"/>
      <c r="F79" s="7"/>
      <c r="G79" s="7"/>
      <c r="H79" s="7"/>
      <c r="I79" s="7"/>
      <c r="J79" s="7"/>
    </row>
    <row r="80" spans="1:10" ht="11.25">
      <c r="A80" s="8"/>
      <c r="B80" s="8"/>
      <c r="C80" s="8"/>
      <c r="D80" s="26"/>
      <c r="E80" s="7"/>
      <c r="F80" s="7"/>
      <c r="G80" s="7"/>
      <c r="H80" s="7"/>
      <c r="I80" s="7"/>
      <c r="J80" s="7"/>
    </row>
    <row r="81" spans="1:10" ht="11.25">
      <c r="A81" s="8"/>
      <c r="B81" s="8"/>
      <c r="C81" s="8"/>
      <c r="D81" s="26"/>
      <c r="E81" s="7"/>
      <c r="F81" s="7"/>
      <c r="G81" s="7"/>
      <c r="H81" s="7"/>
      <c r="I81" s="7"/>
      <c r="J81" s="7"/>
    </row>
    <row r="82" spans="1:10" ht="11.25">
      <c r="A82" s="8"/>
      <c r="B82" s="8"/>
      <c r="C82" s="8"/>
      <c r="D82" s="26"/>
      <c r="E82" s="7"/>
      <c r="F82" s="7"/>
      <c r="G82" s="7"/>
      <c r="H82" s="7"/>
      <c r="I82" s="7"/>
      <c r="J82" s="7"/>
    </row>
    <row r="83" spans="1:10" ht="11.25">
      <c r="A83" s="8"/>
      <c r="B83" s="8"/>
      <c r="C83" s="8"/>
      <c r="D83" s="26"/>
      <c r="E83" s="7"/>
      <c r="F83" s="7"/>
      <c r="G83" s="7"/>
      <c r="H83" s="7"/>
      <c r="I83" s="7"/>
      <c r="J83" s="7"/>
    </row>
    <row r="84" spans="1:10" ht="11.25">
      <c r="A84" s="8"/>
      <c r="B84" s="8"/>
      <c r="C84" s="8"/>
      <c r="D84" s="26"/>
      <c r="E84" s="7"/>
      <c r="F84" s="7"/>
      <c r="G84" s="7"/>
      <c r="H84" s="7"/>
      <c r="I84" s="7"/>
      <c r="J84" s="7"/>
    </row>
    <row r="85" spans="1:10" ht="11.25">
      <c r="A85" s="8"/>
      <c r="B85" s="8"/>
      <c r="C85" s="8"/>
      <c r="D85" s="26"/>
      <c r="E85" s="7"/>
      <c r="F85" s="7"/>
      <c r="G85" s="7"/>
      <c r="H85" s="7"/>
      <c r="I85" s="7"/>
      <c r="J85" s="7"/>
    </row>
    <row r="86" spans="1:10" ht="11.25">
      <c r="A86" s="8"/>
      <c r="B86" s="8"/>
      <c r="C86" s="8"/>
      <c r="D86" s="26"/>
      <c r="E86" s="7"/>
      <c r="F86" s="7"/>
      <c r="G86" s="7"/>
      <c r="H86" s="7"/>
      <c r="I86" s="7"/>
      <c r="J86" s="7"/>
    </row>
    <row r="87" spans="1:10" ht="11.25">
      <c r="A87" s="8"/>
      <c r="B87" s="8"/>
      <c r="C87" s="8"/>
      <c r="D87" s="26"/>
      <c r="E87" s="7"/>
      <c r="F87" s="7"/>
      <c r="G87" s="7"/>
      <c r="H87" s="7"/>
      <c r="I87" s="7"/>
      <c r="J87" s="7"/>
    </row>
    <row r="88" spans="1:10" ht="11.25">
      <c r="A88" s="8"/>
      <c r="B88" s="8"/>
      <c r="C88" s="8"/>
      <c r="D88" s="26"/>
      <c r="E88" s="7"/>
      <c r="F88" s="7"/>
      <c r="G88" s="7"/>
      <c r="H88" s="7"/>
      <c r="I88" s="7"/>
      <c r="J88" s="7"/>
    </row>
    <row r="89" spans="1:10" ht="11.25">
      <c r="A89" s="8"/>
      <c r="B89" s="8"/>
      <c r="C89" s="8"/>
      <c r="D89" s="26"/>
      <c r="E89" s="7"/>
      <c r="F89" s="7"/>
      <c r="G89" s="7"/>
      <c r="H89" s="7"/>
      <c r="I89" s="7"/>
      <c r="J89" s="7"/>
    </row>
    <row r="90" spans="1:10" ht="11.25">
      <c r="A90" s="8"/>
      <c r="B90" s="8"/>
      <c r="C90" s="8"/>
      <c r="D90" s="26"/>
      <c r="E90" s="30"/>
      <c r="F90" s="30"/>
      <c r="G90" s="30"/>
      <c r="H90" s="7"/>
      <c r="I90" s="7"/>
      <c r="J90" s="7"/>
    </row>
    <row r="91" spans="1:10" ht="11.25">
      <c r="A91" s="8"/>
      <c r="B91" s="8"/>
      <c r="C91" s="8"/>
      <c r="D91" s="26"/>
      <c r="E91" s="8"/>
      <c r="F91" s="8"/>
      <c r="G91" s="8"/>
      <c r="H91" s="8"/>
      <c r="I91" s="8"/>
      <c r="J91" s="8"/>
    </row>
  </sheetData>
  <mergeCells count="3">
    <mergeCell ref="A37:B37"/>
    <mergeCell ref="A38:B38"/>
    <mergeCell ref="A39:B39"/>
  </mergeCells>
  <printOptions/>
  <pageMargins left="0.71" right="0.3" top="0.89" bottom="0.3937007874015748" header="0.15748031496062992" footer="0.15748031496062992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workbookViewId="0" topLeftCell="A1">
      <pane xSplit="3" ySplit="4" topLeftCell="E1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"/>
    </sheetView>
  </sheetViews>
  <sheetFormatPr defaultColWidth="9.00390625" defaultRowHeight="12.75"/>
  <cols>
    <col min="1" max="1" width="11.125" style="10" customWidth="1"/>
    <col min="2" max="2" width="8.375" style="10" customWidth="1"/>
    <col min="3" max="3" width="5.125" style="10" hidden="1" customWidth="1"/>
    <col min="4" max="4" width="7.00390625" style="11" hidden="1" customWidth="1"/>
    <col min="5" max="5" width="7.625" style="10" customWidth="1"/>
    <col min="6" max="6" width="5.125" style="10" customWidth="1"/>
    <col min="7" max="7" width="7.75390625" style="55" customWidth="1"/>
    <col min="8" max="8" width="6.25390625" style="10" customWidth="1"/>
    <col min="9" max="9" width="6.875" style="10" customWidth="1"/>
    <col min="10" max="10" width="6.125" style="10" customWidth="1"/>
    <col min="11" max="11" width="6.00390625" style="10" customWidth="1"/>
    <col min="12" max="14" width="6.625" style="10" customWidth="1"/>
    <col min="15" max="15" width="5.625" style="10" customWidth="1"/>
    <col min="16" max="16" width="5.375" style="10" customWidth="1"/>
    <col min="17" max="17" width="5.875" style="10" customWidth="1"/>
    <col min="18" max="18" width="5.75390625" style="10" customWidth="1"/>
    <col min="19" max="19" width="6.00390625" style="10" customWidth="1"/>
    <col min="20" max="20" width="7.75390625" style="10" hidden="1" customWidth="1"/>
    <col min="21" max="16384" width="9.125" style="10" customWidth="1"/>
  </cols>
  <sheetData>
    <row r="1" ht="12">
      <c r="S1" s="185" t="s">
        <v>230</v>
      </c>
    </row>
    <row r="2" spans="1:18" ht="14.25">
      <c r="A2" s="119" t="s">
        <v>282</v>
      </c>
      <c r="F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4" spans="1:20" s="67" customFormat="1" ht="33.75">
      <c r="A4" s="56" t="s">
        <v>0</v>
      </c>
      <c r="B4" s="56" t="s">
        <v>1</v>
      </c>
      <c r="C4" s="56" t="s">
        <v>76</v>
      </c>
      <c r="D4" s="65" t="s">
        <v>77</v>
      </c>
      <c r="E4" s="56" t="s">
        <v>2</v>
      </c>
      <c r="F4" s="56" t="s">
        <v>7</v>
      </c>
      <c r="G4" s="56" t="s">
        <v>78</v>
      </c>
      <c r="H4" s="56" t="s">
        <v>4</v>
      </c>
      <c r="I4" s="62" t="s">
        <v>79</v>
      </c>
      <c r="J4" s="62" t="s">
        <v>80</v>
      </c>
      <c r="K4" s="62" t="s">
        <v>100</v>
      </c>
      <c r="L4" s="56" t="s">
        <v>9</v>
      </c>
      <c r="M4" s="56" t="s">
        <v>81</v>
      </c>
      <c r="N4" s="56" t="s">
        <v>10</v>
      </c>
      <c r="O4" s="56" t="s">
        <v>11</v>
      </c>
      <c r="P4" s="56" t="s">
        <v>13</v>
      </c>
      <c r="Q4" s="56" t="s">
        <v>12</v>
      </c>
      <c r="R4" s="56" t="s">
        <v>82</v>
      </c>
      <c r="S4" s="56" t="s">
        <v>8</v>
      </c>
      <c r="T4" s="66" t="s">
        <v>148</v>
      </c>
    </row>
    <row r="5" spans="1:20" ht="12">
      <c r="A5" s="64" t="s">
        <v>20</v>
      </c>
      <c r="B5" s="64" t="s">
        <v>20</v>
      </c>
      <c r="C5" s="4">
        <v>78</v>
      </c>
      <c r="D5" s="34">
        <f aca="true" t="shared" si="0" ref="D5:D28">E5/C5/12</f>
        <v>229</v>
      </c>
      <c r="E5" s="16">
        <f>SUM(F5:S5)</f>
        <v>214761</v>
      </c>
      <c r="F5" s="49">
        <v>670</v>
      </c>
      <c r="G5" s="49">
        <v>126226</v>
      </c>
      <c r="H5" s="15">
        <v>10227</v>
      </c>
      <c r="I5" s="15">
        <v>24100</v>
      </c>
      <c r="J5" s="15">
        <v>3299</v>
      </c>
      <c r="K5" s="15"/>
      <c r="L5" s="15">
        <f>3200+199</f>
        <v>3399</v>
      </c>
      <c r="M5" s="15">
        <v>700</v>
      </c>
      <c r="N5" s="15">
        <v>34380</v>
      </c>
      <c r="O5" s="15"/>
      <c r="P5" s="15"/>
      <c r="Q5" s="15">
        <v>3000</v>
      </c>
      <c r="R5" s="15"/>
      <c r="S5" s="4">
        <v>8760</v>
      </c>
      <c r="T5" s="15">
        <f>F5+L5+M5+O5+P5+Q5+K5+R5</f>
        <v>7769</v>
      </c>
    </row>
    <row r="6" spans="1:20" ht="12">
      <c r="A6" s="64" t="s">
        <v>22</v>
      </c>
      <c r="B6" s="64" t="s">
        <v>150</v>
      </c>
      <c r="C6" s="4">
        <v>24</v>
      </c>
      <c r="D6" s="34">
        <f t="shared" si="0"/>
        <v>141</v>
      </c>
      <c r="E6" s="16">
        <f aca="true" t="shared" si="1" ref="E6:E25">SUM(F6:S6)</f>
        <v>40741</v>
      </c>
      <c r="F6" s="49"/>
      <c r="G6" s="49">
        <v>29359</v>
      </c>
      <c r="H6" s="15">
        <v>842</v>
      </c>
      <c r="I6" s="15">
        <v>5406</v>
      </c>
      <c r="J6" s="15">
        <v>740</v>
      </c>
      <c r="K6" s="15"/>
      <c r="L6" s="15">
        <v>590</v>
      </c>
      <c r="M6" s="15">
        <v>1800</v>
      </c>
      <c r="N6" s="15"/>
      <c r="O6" s="15"/>
      <c r="P6" s="15"/>
      <c r="Q6" s="15"/>
      <c r="R6" s="15"/>
      <c r="S6" s="4">
        <v>2004</v>
      </c>
      <c r="T6" s="15">
        <f aca="true" t="shared" si="2" ref="T6:T25">F6+L6+M6+O6+P6+Q6+K6+R6</f>
        <v>2390</v>
      </c>
    </row>
    <row r="7" spans="1:20" ht="12">
      <c r="A7" s="64" t="s">
        <v>151</v>
      </c>
      <c r="B7" s="64" t="s">
        <v>132</v>
      </c>
      <c r="C7" s="4">
        <v>59</v>
      </c>
      <c r="D7" s="34">
        <f t="shared" si="0"/>
        <v>149</v>
      </c>
      <c r="E7" s="16">
        <f t="shared" si="1"/>
        <v>105625</v>
      </c>
      <c r="F7" s="49">
        <v>107</v>
      </c>
      <c r="G7" s="49">
        <v>71833</v>
      </c>
      <c r="H7" s="15">
        <v>3355</v>
      </c>
      <c r="I7" s="15">
        <v>13213</v>
      </c>
      <c r="J7" s="15">
        <v>1808</v>
      </c>
      <c r="K7" s="15"/>
      <c r="L7" s="15">
        <f>3269-100</f>
        <v>3169</v>
      </c>
      <c r="M7" s="15">
        <v>1500</v>
      </c>
      <c r="N7" s="15">
        <v>5532</v>
      </c>
      <c r="O7" s="15"/>
      <c r="P7" s="15"/>
      <c r="Q7" s="15">
        <v>1100</v>
      </c>
      <c r="R7" s="15"/>
      <c r="S7" s="4">
        <v>4008</v>
      </c>
      <c r="T7" s="15">
        <f t="shared" si="2"/>
        <v>5876</v>
      </c>
    </row>
    <row r="8" spans="1:20" ht="12">
      <c r="A8" s="64" t="s">
        <v>27</v>
      </c>
      <c r="B8" s="64" t="s">
        <v>27</v>
      </c>
      <c r="C8" s="4">
        <v>29</v>
      </c>
      <c r="D8" s="34">
        <f>E8/C8/12</f>
        <v>123</v>
      </c>
      <c r="E8" s="16">
        <f t="shared" si="1"/>
        <v>42679</v>
      </c>
      <c r="F8" s="49"/>
      <c r="G8" s="49">
        <v>26298</v>
      </c>
      <c r="H8" s="15">
        <v>2150</v>
      </c>
      <c r="I8" s="15">
        <v>5092</v>
      </c>
      <c r="J8" s="15">
        <v>697</v>
      </c>
      <c r="K8" s="15"/>
      <c r="L8" s="15">
        <v>1088</v>
      </c>
      <c r="M8" s="15">
        <v>800</v>
      </c>
      <c r="N8" s="15">
        <v>3550</v>
      </c>
      <c r="O8" s="15"/>
      <c r="P8" s="15"/>
      <c r="Q8" s="15">
        <v>1000</v>
      </c>
      <c r="R8" s="15"/>
      <c r="S8" s="4">
        <v>2004</v>
      </c>
      <c r="T8" s="15">
        <f t="shared" si="2"/>
        <v>2888</v>
      </c>
    </row>
    <row r="9" spans="1:20" ht="12">
      <c r="A9" s="64" t="s">
        <v>30</v>
      </c>
      <c r="B9" s="64" t="s">
        <v>30</v>
      </c>
      <c r="C9" s="4">
        <v>30</v>
      </c>
      <c r="D9" s="34">
        <f t="shared" si="0"/>
        <v>125</v>
      </c>
      <c r="E9" s="16">
        <f t="shared" si="1"/>
        <v>44926</v>
      </c>
      <c r="F9" s="49"/>
      <c r="G9" s="49">
        <v>28843</v>
      </c>
      <c r="H9" s="15">
        <v>600</v>
      </c>
      <c r="I9" s="15">
        <v>5270</v>
      </c>
      <c r="J9" s="15">
        <v>721</v>
      </c>
      <c r="K9" s="15"/>
      <c r="L9" s="15">
        <v>1388</v>
      </c>
      <c r="M9" s="15"/>
      <c r="N9" s="15">
        <v>4500</v>
      </c>
      <c r="O9" s="15">
        <v>600</v>
      </c>
      <c r="P9" s="15"/>
      <c r="Q9" s="15">
        <v>1000</v>
      </c>
      <c r="R9" s="15"/>
      <c r="S9" s="4">
        <v>2004</v>
      </c>
      <c r="T9" s="15">
        <f t="shared" si="2"/>
        <v>2988</v>
      </c>
    </row>
    <row r="10" spans="1:20" ht="12">
      <c r="A10" s="64" t="s">
        <v>32</v>
      </c>
      <c r="B10" s="64" t="s">
        <v>32</v>
      </c>
      <c r="C10" s="4">
        <v>56</v>
      </c>
      <c r="D10" s="34">
        <f>E10/C10/12</f>
        <v>146</v>
      </c>
      <c r="E10" s="16">
        <f t="shared" si="1"/>
        <v>98074</v>
      </c>
      <c r="F10" s="49"/>
      <c r="G10" s="49">
        <v>64738</v>
      </c>
      <c r="H10" s="15">
        <v>5150</v>
      </c>
      <c r="I10" s="15">
        <v>12510</v>
      </c>
      <c r="J10" s="15">
        <v>1712</v>
      </c>
      <c r="K10" s="15"/>
      <c r="L10" s="15">
        <v>3108</v>
      </c>
      <c r="M10" s="15">
        <v>1200</v>
      </c>
      <c r="N10" s="15">
        <v>4378</v>
      </c>
      <c r="O10" s="15">
        <v>100</v>
      </c>
      <c r="P10" s="15">
        <v>170</v>
      </c>
      <c r="Q10" s="15">
        <v>1000</v>
      </c>
      <c r="R10" s="15"/>
      <c r="S10" s="4">
        <v>4008</v>
      </c>
      <c r="T10" s="15">
        <f t="shared" si="2"/>
        <v>5578</v>
      </c>
    </row>
    <row r="11" spans="1:20" ht="12">
      <c r="A11" s="64" t="s">
        <v>35</v>
      </c>
      <c r="B11" s="64" t="s">
        <v>35</v>
      </c>
      <c r="C11" s="4">
        <v>46</v>
      </c>
      <c r="D11" s="34">
        <f t="shared" si="0"/>
        <v>146</v>
      </c>
      <c r="E11" s="16">
        <f t="shared" si="1"/>
        <v>80526</v>
      </c>
      <c r="F11" s="49">
        <v>300</v>
      </c>
      <c r="G11" s="49">
        <v>52198</v>
      </c>
      <c r="H11" s="15">
        <v>4500</v>
      </c>
      <c r="I11" s="15">
        <v>10149</v>
      </c>
      <c r="J11" s="15">
        <v>1389</v>
      </c>
      <c r="K11" s="15">
        <v>400</v>
      </c>
      <c r="L11" s="15">
        <v>1700</v>
      </c>
      <c r="M11" s="15">
        <v>700</v>
      </c>
      <c r="N11" s="15">
        <v>3300</v>
      </c>
      <c r="O11" s="15">
        <v>1082</v>
      </c>
      <c r="P11" s="15"/>
      <c r="Q11" s="15">
        <v>800</v>
      </c>
      <c r="R11" s="15"/>
      <c r="S11" s="4">
        <v>4008</v>
      </c>
      <c r="T11" s="15">
        <f t="shared" si="2"/>
        <v>4982</v>
      </c>
    </row>
    <row r="12" spans="1:20" ht="12">
      <c r="A12" s="64" t="s">
        <v>37</v>
      </c>
      <c r="B12" s="64" t="s">
        <v>37</v>
      </c>
      <c r="C12" s="4">
        <v>49</v>
      </c>
      <c r="D12" s="34">
        <f t="shared" si="0"/>
        <v>134</v>
      </c>
      <c r="E12" s="16">
        <f t="shared" si="1"/>
        <v>78663</v>
      </c>
      <c r="F12" s="49">
        <v>200</v>
      </c>
      <c r="G12" s="49">
        <v>52255</v>
      </c>
      <c r="H12" s="15">
        <v>3900</v>
      </c>
      <c r="I12" s="15">
        <v>10052</v>
      </c>
      <c r="J12" s="15">
        <v>1376</v>
      </c>
      <c r="K12" s="15"/>
      <c r="L12" s="15">
        <v>1980</v>
      </c>
      <c r="M12" s="15">
        <v>800</v>
      </c>
      <c r="N12" s="15">
        <v>2192</v>
      </c>
      <c r="O12" s="15">
        <v>1200</v>
      </c>
      <c r="P12" s="15">
        <v>200</v>
      </c>
      <c r="Q12" s="15">
        <v>500</v>
      </c>
      <c r="R12" s="15"/>
      <c r="S12" s="4">
        <v>4008</v>
      </c>
      <c r="T12" s="15">
        <f t="shared" si="2"/>
        <v>4880</v>
      </c>
    </row>
    <row r="13" spans="1:20" ht="12">
      <c r="A13" s="64" t="s">
        <v>39</v>
      </c>
      <c r="B13" s="64" t="s">
        <v>39</v>
      </c>
      <c r="C13" s="4">
        <v>45</v>
      </c>
      <c r="D13" s="34">
        <f t="shared" si="0"/>
        <v>156</v>
      </c>
      <c r="E13" s="16">
        <f t="shared" si="1"/>
        <v>84399</v>
      </c>
      <c r="F13" s="49">
        <v>100</v>
      </c>
      <c r="G13" s="49">
        <v>56575</v>
      </c>
      <c r="H13" s="15">
        <v>4670</v>
      </c>
      <c r="I13" s="15">
        <v>10963</v>
      </c>
      <c r="J13" s="15">
        <v>1501</v>
      </c>
      <c r="K13" s="15"/>
      <c r="L13" s="15">
        <f>1800-500</f>
        <v>1300</v>
      </c>
      <c r="M13" s="15">
        <v>1100</v>
      </c>
      <c r="N13" s="15">
        <v>2200</v>
      </c>
      <c r="O13" s="15">
        <v>1300</v>
      </c>
      <c r="P13" s="15">
        <v>100</v>
      </c>
      <c r="Q13" s="15">
        <f>879-297</f>
        <v>582</v>
      </c>
      <c r="R13" s="15"/>
      <c r="S13" s="4">
        <v>4008</v>
      </c>
      <c r="T13" s="15">
        <f t="shared" si="2"/>
        <v>4482</v>
      </c>
    </row>
    <row r="14" spans="1:20" ht="12">
      <c r="A14" s="64" t="s">
        <v>41</v>
      </c>
      <c r="B14" s="64" t="s">
        <v>41</v>
      </c>
      <c r="C14" s="4">
        <v>46</v>
      </c>
      <c r="D14" s="34">
        <f t="shared" si="0"/>
        <v>160</v>
      </c>
      <c r="E14" s="16">
        <f t="shared" si="1"/>
        <v>88244</v>
      </c>
      <c r="F14" s="49">
        <v>100</v>
      </c>
      <c r="G14" s="49">
        <v>60179</v>
      </c>
      <c r="H14" s="15">
        <v>4618</v>
      </c>
      <c r="I14" s="15">
        <v>11599</v>
      </c>
      <c r="J14" s="15">
        <v>1588</v>
      </c>
      <c r="K14" s="15"/>
      <c r="L14" s="15">
        <v>3782</v>
      </c>
      <c r="M14" s="15">
        <v>200</v>
      </c>
      <c r="N14" s="15">
        <v>1670</v>
      </c>
      <c r="O14" s="15"/>
      <c r="P14" s="15"/>
      <c r="Q14" s="15">
        <v>500</v>
      </c>
      <c r="R14" s="15"/>
      <c r="S14" s="4">
        <v>4008</v>
      </c>
      <c r="T14" s="15">
        <f t="shared" si="2"/>
        <v>4582</v>
      </c>
    </row>
    <row r="15" spans="1:20" ht="12">
      <c r="A15" s="64" t="s">
        <v>45</v>
      </c>
      <c r="B15" s="64" t="s">
        <v>45</v>
      </c>
      <c r="C15" s="4">
        <v>53</v>
      </c>
      <c r="D15" s="34">
        <f t="shared" si="0"/>
        <v>158</v>
      </c>
      <c r="E15" s="16">
        <f t="shared" si="1"/>
        <v>100455</v>
      </c>
      <c r="F15" s="49">
        <v>400</v>
      </c>
      <c r="G15" s="49">
        <v>64900</v>
      </c>
      <c r="H15" s="15">
        <v>5620</v>
      </c>
      <c r="I15" s="15">
        <v>12623</v>
      </c>
      <c r="J15" s="15">
        <v>1728</v>
      </c>
      <c r="K15" s="15"/>
      <c r="L15" s="15">
        <v>2179</v>
      </c>
      <c r="M15" s="15">
        <v>400</v>
      </c>
      <c r="N15" s="15">
        <v>5739</v>
      </c>
      <c r="O15" s="15">
        <v>400</v>
      </c>
      <c r="P15" s="15"/>
      <c r="Q15" s="15">
        <v>1700</v>
      </c>
      <c r="R15" s="15">
        <v>200</v>
      </c>
      <c r="S15" s="4">
        <v>4566</v>
      </c>
      <c r="T15" s="15">
        <f t="shared" si="2"/>
        <v>5279</v>
      </c>
    </row>
    <row r="16" spans="1:20" ht="12">
      <c r="A16" s="64" t="s">
        <v>83</v>
      </c>
      <c r="B16" s="64" t="s">
        <v>84</v>
      </c>
      <c r="C16" s="4">
        <v>94</v>
      </c>
      <c r="D16" s="34">
        <f t="shared" si="0"/>
        <v>158</v>
      </c>
      <c r="E16" s="16">
        <f t="shared" si="1"/>
        <v>177707</v>
      </c>
      <c r="F16" s="49"/>
      <c r="G16" s="49">
        <v>101136</v>
      </c>
      <c r="H16" s="15">
        <v>8741</v>
      </c>
      <c r="I16" s="15">
        <v>19668</v>
      </c>
      <c r="J16" s="15">
        <v>2692</v>
      </c>
      <c r="K16" s="15"/>
      <c r="L16" s="15">
        <v>4000</v>
      </c>
      <c r="M16" s="15">
        <v>3000</v>
      </c>
      <c r="N16" s="15">
        <v>27651</v>
      </c>
      <c r="O16" s="15">
        <v>1362</v>
      </c>
      <c r="P16" s="15"/>
      <c r="Q16" s="15">
        <v>1000</v>
      </c>
      <c r="R16" s="15"/>
      <c r="S16" s="4">
        <v>8457</v>
      </c>
      <c r="T16" s="15">
        <f t="shared" si="2"/>
        <v>9362</v>
      </c>
    </row>
    <row r="17" spans="1:20" ht="12">
      <c r="A17" s="64" t="s">
        <v>51</v>
      </c>
      <c r="B17" s="64" t="s">
        <v>51</v>
      </c>
      <c r="C17" s="4">
        <v>43</v>
      </c>
      <c r="D17" s="34">
        <f t="shared" si="0"/>
        <v>211</v>
      </c>
      <c r="E17" s="16">
        <f t="shared" si="1"/>
        <v>108914</v>
      </c>
      <c r="F17" s="49"/>
      <c r="G17" s="49">
        <f>75064-5650</f>
        <v>69414</v>
      </c>
      <c r="H17" s="15">
        <v>5853</v>
      </c>
      <c r="I17" s="15">
        <v>13473</v>
      </c>
      <c r="J17" s="15">
        <v>1844</v>
      </c>
      <c r="K17" s="15"/>
      <c r="L17" s="15">
        <v>1983</v>
      </c>
      <c r="M17" s="15">
        <v>300</v>
      </c>
      <c r="N17" s="15">
        <v>8035</v>
      </c>
      <c r="O17" s="15"/>
      <c r="P17" s="15"/>
      <c r="Q17" s="15">
        <v>2000</v>
      </c>
      <c r="R17" s="15"/>
      <c r="S17" s="4">
        <v>6012</v>
      </c>
      <c r="T17" s="15">
        <f t="shared" si="2"/>
        <v>4283</v>
      </c>
    </row>
    <row r="18" spans="1:20" ht="12">
      <c r="A18" s="64" t="s">
        <v>53</v>
      </c>
      <c r="B18" s="64" t="s">
        <v>53</v>
      </c>
      <c r="C18" s="4">
        <v>52</v>
      </c>
      <c r="D18" s="34">
        <f t="shared" si="0"/>
        <v>145</v>
      </c>
      <c r="E18" s="16">
        <f t="shared" si="1"/>
        <v>90434</v>
      </c>
      <c r="F18" s="49"/>
      <c r="G18" s="49">
        <v>60291</v>
      </c>
      <c r="H18" s="15">
        <v>5107</v>
      </c>
      <c r="I18" s="15">
        <v>11706</v>
      </c>
      <c r="J18" s="15">
        <v>1602</v>
      </c>
      <c r="K18" s="15"/>
      <c r="L18" s="15">
        <v>1000</v>
      </c>
      <c r="M18" s="15">
        <f>1000+2000</f>
        <v>3000</v>
      </c>
      <c r="N18" s="15">
        <v>2000</v>
      </c>
      <c r="O18" s="15"/>
      <c r="P18" s="15"/>
      <c r="Q18" s="15">
        <v>1179</v>
      </c>
      <c r="R18" s="15"/>
      <c r="S18" s="4">
        <v>4549</v>
      </c>
      <c r="T18" s="15">
        <f t="shared" si="2"/>
        <v>5179</v>
      </c>
    </row>
    <row r="19" spans="1:20" ht="12">
      <c r="A19" s="64" t="s">
        <v>85</v>
      </c>
      <c r="B19" s="64" t="s">
        <v>85</v>
      </c>
      <c r="C19" s="4">
        <v>18</v>
      </c>
      <c r="D19" s="34">
        <f t="shared" si="0"/>
        <v>215</v>
      </c>
      <c r="E19" s="16">
        <f t="shared" si="1"/>
        <v>46511</v>
      </c>
      <c r="F19" s="49">
        <v>80</v>
      </c>
      <c r="G19" s="49">
        <f>38165-7398</f>
        <v>30767</v>
      </c>
      <c r="H19" s="15">
        <v>2679</v>
      </c>
      <c r="I19" s="15">
        <v>5987</v>
      </c>
      <c r="J19" s="15">
        <v>819</v>
      </c>
      <c r="K19" s="15"/>
      <c r="L19" s="15">
        <v>450</v>
      </c>
      <c r="M19" s="15">
        <v>400</v>
      </c>
      <c r="N19" s="15">
        <v>2462</v>
      </c>
      <c r="O19" s="15"/>
      <c r="P19" s="15"/>
      <c r="Q19" s="15">
        <v>863</v>
      </c>
      <c r="R19" s="15"/>
      <c r="S19" s="4">
        <v>2004</v>
      </c>
      <c r="T19" s="15">
        <f t="shared" si="2"/>
        <v>1793</v>
      </c>
    </row>
    <row r="20" spans="1:20" ht="12">
      <c r="A20" s="64" t="s">
        <v>59</v>
      </c>
      <c r="B20" s="64" t="s">
        <v>59</v>
      </c>
      <c r="C20" s="4">
        <v>70</v>
      </c>
      <c r="D20" s="34">
        <f t="shared" si="0"/>
        <v>188</v>
      </c>
      <c r="E20" s="16">
        <f t="shared" si="1"/>
        <v>157840</v>
      </c>
      <c r="F20" s="49">
        <v>65</v>
      </c>
      <c r="G20" s="49">
        <v>101213</v>
      </c>
      <c r="H20" s="15">
        <v>9302</v>
      </c>
      <c r="I20" s="15">
        <v>19783</v>
      </c>
      <c r="J20" s="15">
        <v>2708</v>
      </c>
      <c r="K20" s="15"/>
      <c r="L20" s="15">
        <v>3741</v>
      </c>
      <c r="M20" s="15">
        <v>500</v>
      </c>
      <c r="N20" s="15">
        <v>11478</v>
      </c>
      <c r="O20" s="15">
        <v>800</v>
      </c>
      <c r="P20" s="15">
        <v>198</v>
      </c>
      <c r="Q20" s="15">
        <v>1668</v>
      </c>
      <c r="R20" s="15"/>
      <c r="S20" s="4">
        <v>6384</v>
      </c>
      <c r="T20" s="15">
        <f t="shared" si="2"/>
        <v>6972</v>
      </c>
    </row>
    <row r="21" spans="1:20" ht="12">
      <c r="A21" s="64" t="s">
        <v>86</v>
      </c>
      <c r="B21" s="64" t="s">
        <v>87</v>
      </c>
      <c r="C21" s="4">
        <v>36</v>
      </c>
      <c r="D21" s="34">
        <f t="shared" si="0"/>
        <v>182</v>
      </c>
      <c r="E21" s="16">
        <f t="shared" si="1"/>
        <v>78796</v>
      </c>
      <c r="F21" s="49"/>
      <c r="G21" s="49">
        <v>51562</v>
      </c>
      <c r="H21" s="15">
        <v>3924</v>
      </c>
      <c r="I21" s="15">
        <v>9932</v>
      </c>
      <c r="J21" s="15">
        <v>1359</v>
      </c>
      <c r="K21" s="15"/>
      <c r="L21" s="15">
        <f>1400-296</f>
        <v>1104</v>
      </c>
      <c r="M21" s="15">
        <f>2482-500</f>
        <v>1982</v>
      </c>
      <c r="N21" s="15">
        <v>4425</v>
      </c>
      <c r="O21" s="15"/>
      <c r="P21" s="15"/>
      <c r="Q21" s="15">
        <v>500</v>
      </c>
      <c r="R21" s="15"/>
      <c r="S21" s="4">
        <v>4008</v>
      </c>
      <c r="T21" s="15">
        <f t="shared" si="2"/>
        <v>3586</v>
      </c>
    </row>
    <row r="22" spans="1:20" ht="12">
      <c r="A22" s="64" t="s">
        <v>88</v>
      </c>
      <c r="B22" s="64" t="s">
        <v>89</v>
      </c>
      <c r="C22" s="4">
        <v>54</v>
      </c>
      <c r="D22" s="34">
        <f t="shared" si="0"/>
        <v>146</v>
      </c>
      <c r="E22" s="16">
        <f t="shared" si="1"/>
        <v>94722</v>
      </c>
      <c r="F22" s="49">
        <v>300</v>
      </c>
      <c r="G22" s="49">
        <v>57884</v>
      </c>
      <c r="H22" s="15">
        <v>5877</v>
      </c>
      <c r="I22" s="15">
        <v>11413</v>
      </c>
      <c r="J22" s="15">
        <v>1562</v>
      </c>
      <c r="K22" s="15"/>
      <c r="L22" s="15">
        <f>2190+198</f>
        <v>2388</v>
      </c>
      <c r="M22" s="15">
        <v>800</v>
      </c>
      <c r="N22" s="15">
        <v>8600</v>
      </c>
      <c r="O22" s="15">
        <v>300</v>
      </c>
      <c r="P22" s="15"/>
      <c r="Q22" s="15">
        <v>1500</v>
      </c>
      <c r="R22" s="15">
        <v>90</v>
      </c>
      <c r="S22" s="4">
        <v>4008</v>
      </c>
      <c r="T22" s="15">
        <f t="shared" si="2"/>
        <v>5378</v>
      </c>
    </row>
    <row r="23" spans="1:20" ht="12">
      <c r="A23" s="64" t="s">
        <v>68</v>
      </c>
      <c r="B23" s="64" t="s">
        <v>68</v>
      </c>
      <c r="C23" s="4">
        <v>62</v>
      </c>
      <c r="D23" s="34">
        <f t="shared" si="0"/>
        <v>187</v>
      </c>
      <c r="E23" s="16">
        <f t="shared" si="1"/>
        <v>139325</v>
      </c>
      <c r="F23" s="49"/>
      <c r="G23" s="49">
        <v>97746</v>
      </c>
      <c r="H23" s="15">
        <v>7034</v>
      </c>
      <c r="I23" s="15">
        <v>18381</v>
      </c>
      <c r="J23" s="15">
        <v>2516</v>
      </c>
      <c r="K23" s="15"/>
      <c r="L23" s="15">
        <f>2076+199</f>
        <v>2275</v>
      </c>
      <c r="M23" s="15">
        <v>500</v>
      </c>
      <c r="N23" s="15">
        <v>1461</v>
      </c>
      <c r="O23" s="15"/>
      <c r="P23" s="15"/>
      <c r="Q23" s="15">
        <v>3400</v>
      </c>
      <c r="R23" s="15"/>
      <c r="S23" s="4">
        <v>6012</v>
      </c>
      <c r="T23" s="15">
        <f t="shared" si="2"/>
        <v>6175</v>
      </c>
    </row>
    <row r="24" spans="1:20" ht="12">
      <c r="A24" s="63" t="s">
        <v>90</v>
      </c>
      <c r="B24" s="64" t="s">
        <v>91</v>
      </c>
      <c r="C24" s="4">
        <v>38</v>
      </c>
      <c r="D24" s="34">
        <f t="shared" si="0"/>
        <v>193</v>
      </c>
      <c r="E24" s="16">
        <f t="shared" si="1"/>
        <v>88159</v>
      </c>
      <c r="F24" s="49"/>
      <c r="G24" s="49">
        <v>56253</v>
      </c>
      <c r="H24" s="15">
        <v>4243</v>
      </c>
      <c r="I24" s="15">
        <v>10828</v>
      </c>
      <c r="J24" s="15">
        <v>1482</v>
      </c>
      <c r="K24" s="15"/>
      <c r="L24" s="15">
        <f>1984-199</f>
        <v>1785</v>
      </c>
      <c r="M24" s="15">
        <v>900</v>
      </c>
      <c r="N24" s="15">
        <v>7560</v>
      </c>
      <c r="O24" s="15">
        <v>300</v>
      </c>
      <c r="P24" s="15"/>
      <c r="Q24" s="15">
        <v>800</v>
      </c>
      <c r="R24" s="15"/>
      <c r="S24" s="4">
        <v>4008</v>
      </c>
      <c r="T24" s="15">
        <f t="shared" si="2"/>
        <v>3785</v>
      </c>
    </row>
    <row r="25" spans="1:20" ht="12">
      <c r="A25" s="63" t="s">
        <v>92</v>
      </c>
      <c r="B25" s="64" t="s">
        <v>93</v>
      </c>
      <c r="C25" s="4">
        <v>67</v>
      </c>
      <c r="D25" s="34">
        <f t="shared" si="0"/>
        <v>182</v>
      </c>
      <c r="E25" s="16">
        <f t="shared" si="1"/>
        <v>146582</v>
      </c>
      <c r="F25" s="49">
        <v>200</v>
      </c>
      <c r="G25" s="49">
        <v>88454</v>
      </c>
      <c r="H25" s="15">
        <v>6970</v>
      </c>
      <c r="I25" s="15">
        <v>16678</v>
      </c>
      <c r="J25" s="15">
        <v>2283</v>
      </c>
      <c r="K25" s="15"/>
      <c r="L25" s="15">
        <v>2755</v>
      </c>
      <c r="M25" s="15">
        <v>1500</v>
      </c>
      <c r="N25" s="15">
        <v>19512</v>
      </c>
      <c r="O25" s="15"/>
      <c r="P25" s="15">
        <v>510</v>
      </c>
      <c r="Q25" s="15">
        <v>1708</v>
      </c>
      <c r="R25" s="15"/>
      <c r="S25" s="4">
        <v>6012</v>
      </c>
      <c r="T25" s="15">
        <f t="shared" si="2"/>
        <v>6673</v>
      </c>
    </row>
    <row r="26" spans="1:20" ht="12">
      <c r="A26" s="63" t="s">
        <v>94</v>
      </c>
      <c r="B26" s="64" t="s">
        <v>95</v>
      </c>
      <c r="C26" s="4">
        <v>40</v>
      </c>
      <c r="D26" s="34">
        <f>E26/C26/12</f>
        <v>191</v>
      </c>
      <c r="E26" s="16">
        <f>SUM(F26:S26)</f>
        <v>91872</v>
      </c>
      <c r="F26" s="49"/>
      <c r="G26" s="49">
        <f>62502+2</f>
        <v>62504</v>
      </c>
      <c r="H26" s="15">
        <v>4869</v>
      </c>
      <c r="I26" s="15">
        <v>12059</v>
      </c>
      <c r="J26" s="15">
        <v>1651</v>
      </c>
      <c r="K26" s="15"/>
      <c r="L26" s="15">
        <v>1484</v>
      </c>
      <c r="M26" s="15">
        <v>1000</v>
      </c>
      <c r="N26" s="15">
        <v>2296</v>
      </c>
      <c r="O26" s="15">
        <v>200</v>
      </c>
      <c r="P26" s="15"/>
      <c r="Q26" s="15">
        <v>1300</v>
      </c>
      <c r="R26" s="15"/>
      <c r="S26" s="4">
        <v>4509</v>
      </c>
      <c r="T26" s="15">
        <f>F26+L26+M26+O26+P26+Q26+K26+R26</f>
        <v>3984</v>
      </c>
    </row>
    <row r="27" spans="1:20" ht="21.75" customHeight="1">
      <c r="A27" s="256" t="s">
        <v>223</v>
      </c>
      <c r="B27" s="257"/>
      <c r="C27" s="4"/>
      <c r="D27" s="34"/>
      <c r="E27" s="16">
        <v>27287</v>
      </c>
      <c r="F27" s="49"/>
      <c r="G27" s="49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4"/>
      <c r="T27" s="15"/>
    </row>
    <row r="28" spans="1:20" s="12" customFormat="1" ht="12.75" customHeight="1">
      <c r="A28" s="19"/>
      <c r="B28" s="19" t="s">
        <v>96</v>
      </c>
      <c r="C28" s="53">
        <f>SUM(C5:C27)</f>
        <v>1089</v>
      </c>
      <c r="D28" s="35">
        <f t="shared" si="0"/>
        <v>170</v>
      </c>
      <c r="E28" s="16">
        <f aca="true" t="shared" si="3" ref="E28:T28">SUM(E5:E27)</f>
        <v>2227242</v>
      </c>
      <c r="F28" s="16">
        <f t="shared" si="3"/>
        <v>2522</v>
      </c>
      <c r="G28" s="54">
        <f t="shared" si="3"/>
        <v>1410628</v>
      </c>
      <c r="H28" s="16">
        <f t="shared" si="3"/>
        <v>110231</v>
      </c>
      <c r="I28" s="16">
        <f t="shared" si="3"/>
        <v>270885</v>
      </c>
      <c r="J28" s="16">
        <f t="shared" si="3"/>
        <v>37077</v>
      </c>
      <c r="K28" s="16">
        <f t="shared" si="3"/>
        <v>400</v>
      </c>
      <c r="L28" s="16">
        <f t="shared" si="3"/>
        <v>46648</v>
      </c>
      <c r="M28" s="16">
        <f t="shared" si="3"/>
        <v>23082</v>
      </c>
      <c r="N28" s="16">
        <f t="shared" si="3"/>
        <v>162921</v>
      </c>
      <c r="O28" s="16">
        <f t="shared" si="3"/>
        <v>7644</v>
      </c>
      <c r="P28" s="16">
        <f t="shared" si="3"/>
        <v>1178</v>
      </c>
      <c r="Q28" s="16">
        <f t="shared" si="3"/>
        <v>27100</v>
      </c>
      <c r="R28" s="16">
        <f t="shared" si="3"/>
        <v>290</v>
      </c>
      <c r="S28" s="16">
        <f t="shared" si="3"/>
        <v>99349</v>
      </c>
      <c r="T28" s="16">
        <f t="shared" si="3"/>
        <v>108864</v>
      </c>
    </row>
    <row r="29" spans="1:20" ht="12">
      <c r="A29" s="24"/>
      <c r="B29" s="24"/>
      <c r="C29" s="21"/>
      <c r="D29" s="25"/>
      <c r="E29" s="30"/>
      <c r="F29" s="30"/>
      <c r="G29" s="5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49" spans="1:11" ht="12">
      <c r="A49" s="24"/>
      <c r="B49" s="21"/>
      <c r="C49" s="21"/>
      <c r="D49" s="25"/>
      <c r="E49" s="21"/>
      <c r="F49" s="21"/>
      <c r="G49" s="60"/>
      <c r="H49" s="21"/>
      <c r="I49" s="21"/>
      <c r="J49" s="21"/>
      <c r="K49" s="21"/>
    </row>
    <row r="50" spans="1:11" ht="12">
      <c r="A50" s="21"/>
      <c r="B50" s="21"/>
      <c r="C50" s="21"/>
      <c r="D50" s="25"/>
      <c r="E50" s="21"/>
      <c r="F50" s="21"/>
      <c r="G50" s="60"/>
      <c r="H50" s="21"/>
      <c r="I50" s="21"/>
      <c r="J50" s="21"/>
      <c r="K50" s="21"/>
    </row>
    <row r="51" spans="1:11" ht="12">
      <c r="A51" s="41"/>
      <c r="B51" s="41"/>
      <c r="C51" s="41"/>
      <c r="D51" s="42"/>
      <c r="E51" s="41"/>
      <c r="F51" s="41"/>
      <c r="G51" s="59"/>
      <c r="H51" s="43"/>
      <c r="I51" s="42"/>
      <c r="J51" s="41"/>
      <c r="K51" s="41"/>
    </row>
    <row r="52" spans="1:11" ht="12">
      <c r="A52" s="44"/>
      <c r="B52" s="21"/>
      <c r="C52" s="21"/>
      <c r="D52" s="45"/>
      <c r="E52" s="23"/>
      <c r="F52" s="23"/>
      <c r="G52" s="57"/>
      <c r="H52" s="23"/>
      <c r="I52" s="23"/>
      <c r="J52" s="23"/>
      <c r="K52" s="23"/>
    </row>
    <row r="53" spans="1:11" ht="12">
      <c r="A53" s="44"/>
      <c r="B53" s="21"/>
      <c r="C53" s="21"/>
      <c r="D53" s="45"/>
      <c r="E53" s="23"/>
      <c r="F53" s="23"/>
      <c r="G53" s="57"/>
      <c r="H53" s="23"/>
      <c r="I53" s="23"/>
      <c r="J53" s="23"/>
      <c r="K53" s="23"/>
    </row>
    <row r="54" spans="1:11" ht="12">
      <c r="A54" s="44"/>
      <c r="B54" s="21"/>
      <c r="C54" s="21"/>
      <c r="D54" s="45"/>
      <c r="E54" s="23"/>
      <c r="F54" s="23"/>
      <c r="G54" s="57"/>
      <c r="H54" s="23"/>
      <c r="I54" s="23"/>
      <c r="J54" s="23"/>
      <c r="K54" s="23"/>
    </row>
    <row r="55" spans="1:11" ht="12">
      <c r="A55" s="44"/>
      <c r="B55" s="21"/>
      <c r="C55" s="21"/>
      <c r="D55" s="45"/>
      <c r="E55" s="23"/>
      <c r="F55" s="23"/>
      <c r="G55" s="57"/>
      <c r="H55" s="23"/>
      <c r="I55" s="23"/>
      <c r="J55" s="23"/>
      <c r="K55" s="23"/>
    </row>
    <row r="56" spans="1:11" ht="12">
      <c r="A56" s="44"/>
      <c r="B56" s="21"/>
      <c r="C56" s="21"/>
      <c r="D56" s="45"/>
      <c r="E56" s="23"/>
      <c r="F56" s="23"/>
      <c r="G56" s="57"/>
      <c r="H56" s="23"/>
      <c r="I56" s="23"/>
      <c r="J56" s="23"/>
      <c r="K56" s="23"/>
    </row>
    <row r="57" spans="1:11" ht="12">
      <c r="A57" s="44"/>
      <c r="B57" s="21"/>
      <c r="C57" s="21"/>
      <c r="D57" s="45"/>
      <c r="E57" s="23"/>
      <c r="F57" s="23"/>
      <c r="G57" s="57"/>
      <c r="H57" s="23"/>
      <c r="I57" s="23"/>
      <c r="J57" s="23"/>
      <c r="K57" s="23"/>
    </row>
    <row r="58" spans="1:11" ht="12">
      <c r="A58" s="44"/>
      <c r="B58" s="21"/>
      <c r="C58" s="21"/>
      <c r="D58" s="45"/>
      <c r="E58" s="23"/>
      <c r="F58" s="23"/>
      <c r="G58" s="57"/>
      <c r="H58" s="23"/>
      <c r="I58" s="23"/>
      <c r="J58" s="23"/>
      <c r="K58" s="23"/>
    </row>
    <row r="59" spans="1:11" ht="12">
      <c r="A59" s="44"/>
      <c r="B59" s="21"/>
      <c r="C59" s="21"/>
      <c r="D59" s="45"/>
      <c r="E59" s="23"/>
      <c r="F59" s="23"/>
      <c r="G59" s="57"/>
      <c r="H59" s="23"/>
      <c r="I59" s="23"/>
      <c r="J59" s="23"/>
      <c r="K59" s="23"/>
    </row>
    <row r="60" spans="1:11" ht="12">
      <c r="A60" s="44"/>
      <c r="B60" s="21"/>
      <c r="C60" s="21"/>
      <c r="D60" s="45"/>
      <c r="E60" s="23"/>
      <c r="F60" s="23"/>
      <c r="G60" s="57"/>
      <c r="H60" s="23"/>
      <c r="I60" s="23"/>
      <c r="J60" s="23"/>
      <c r="K60" s="23"/>
    </row>
    <row r="61" spans="1:11" ht="12">
      <c r="A61" s="44"/>
      <c r="B61" s="21"/>
      <c r="C61" s="21"/>
      <c r="D61" s="45"/>
      <c r="E61" s="23"/>
      <c r="F61" s="23"/>
      <c r="G61" s="57"/>
      <c r="H61" s="23"/>
      <c r="I61" s="23"/>
      <c r="J61" s="23"/>
      <c r="K61" s="23"/>
    </row>
    <row r="62" spans="1:11" ht="12">
      <c r="A62" s="44"/>
      <c r="B62" s="21"/>
      <c r="C62" s="21"/>
      <c r="D62" s="45"/>
      <c r="E62" s="23"/>
      <c r="F62" s="23"/>
      <c r="G62" s="57"/>
      <c r="H62" s="23"/>
      <c r="I62" s="23"/>
      <c r="J62" s="23"/>
      <c r="K62" s="23"/>
    </row>
    <row r="63" spans="1:11" ht="12">
      <c r="A63" s="44"/>
      <c r="B63" s="21"/>
      <c r="C63" s="21"/>
      <c r="D63" s="45"/>
      <c r="E63" s="23"/>
      <c r="F63" s="23"/>
      <c r="G63" s="57"/>
      <c r="H63" s="23"/>
      <c r="I63" s="23"/>
      <c r="J63" s="23"/>
      <c r="K63" s="23"/>
    </row>
    <row r="64" spans="1:11" ht="12">
      <c r="A64" s="44"/>
      <c r="B64" s="21"/>
      <c r="C64" s="21"/>
      <c r="D64" s="45"/>
      <c r="E64" s="23"/>
      <c r="F64" s="23"/>
      <c r="G64" s="57"/>
      <c r="H64" s="23"/>
      <c r="I64" s="23"/>
      <c r="J64" s="23"/>
      <c r="K64" s="23"/>
    </row>
    <row r="65" spans="1:11" ht="12">
      <c r="A65" s="44"/>
      <c r="B65" s="21"/>
      <c r="C65" s="21"/>
      <c r="D65" s="45"/>
      <c r="E65" s="23"/>
      <c r="F65" s="23"/>
      <c r="G65" s="57"/>
      <c r="H65" s="23"/>
      <c r="I65" s="23"/>
      <c r="J65" s="23"/>
      <c r="K65" s="23"/>
    </row>
    <row r="66" spans="1:11" ht="12">
      <c r="A66" s="44"/>
      <c r="B66" s="21"/>
      <c r="C66" s="21"/>
      <c r="D66" s="45"/>
      <c r="E66" s="23"/>
      <c r="F66" s="23"/>
      <c r="G66" s="57"/>
      <c r="H66" s="23"/>
      <c r="I66" s="23"/>
      <c r="J66" s="23"/>
      <c r="K66" s="23"/>
    </row>
    <row r="67" spans="1:11" ht="12">
      <c r="A67" s="44"/>
      <c r="B67" s="21"/>
      <c r="C67" s="21"/>
      <c r="D67" s="45"/>
      <c r="E67" s="23"/>
      <c r="F67" s="23"/>
      <c r="G67" s="57"/>
      <c r="H67" s="23"/>
      <c r="I67" s="23"/>
      <c r="J67" s="23"/>
      <c r="K67" s="23"/>
    </row>
    <row r="68" spans="1:11" ht="12">
      <c r="A68" s="44"/>
      <c r="B68" s="21"/>
      <c r="C68" s="21"/>
      <c r="D68" s="45"/>
      <c r="E68" s="23"/>
      <c r="F68" s="23"/>
      <c r="G68" s="57"/>
      <c r="H68" s="23"/>
      <c r="I68" s="23"/>
      <c r="J68" s="23"/>
      <c r="K68" s="23"/>
    </row>
    <row r="69" spans="1:11" ht="12">
      <c r="A69" s="46"/>
      <c r="B69" s="21"/>
      <c r="C69" s="21"/>
      <c r="D69" s="45"/>
      <c r="E69" s="23"/>
      <c r="F69" s="23"/>
      <c r="G69" s="57"/>
      <c r="H69" s="23"/>
      <c r="I69" s="23"/>
      <c r="J69" s="23"/>
      <c r="K69" s="23"/>
    </row>
    <row r="70" spans="1:11" ht="12">
      <c r="A70" s="46"/>
      <c r="B70" s="21"/>
      <c r="C70" s="21"/>
      <c r="D70" s="45"/>
      <c r="E70" s="23"/>
      <c r="F70" s="23"/>
      <c r="G70" s="57"/>
      <c r="H70" s="23"/>
      <c r="I70" s="23"/>
      <c r="J70" s="23"/>
      <c r="K70" s="23"/>
    </row>
    <row r="71" spans="1:11" ht="12">
      <c r="A71" s="46"/>
      <c r="B71" s="21"/>
      <c r="C71" s="21"/>
      <c r="D71" s="45"/>
      <c r="E71" s="23"/>
      <c r="F71" s="23"/>
      <c r="G71" s="57"/>
      <c r="H71" s="23"/>
      <c r="I71" s="23"/>
      <c r="J71" s="23"/>
      <c r="K71" s="23"/>
    </row>
    <row r="72" spans="1:11" ht="12">
      <c r="A72" s="24"/>
      <c r="B72" s="24"/>
      <c r="C72" s="47"/>
      <c r="D72" s="48"/>
      <c r="E72" s="22"/>
      <c r="F72" s="22"/>
      <c r="G72" s="57"/>
      <c r="H72" s="22"/>
      <c r="I72" s="22"/>
      <c r="J72" s="22"/>
      <c r="K72" s="22"/>
    </row>
    <row r="73" spans="1:11" ht="12">
      <c r="A73" s="21"/>
      <c r="B73" s="21"/>
      <c r="C73" s="21"/>
      <c r="D73" s="23"/>
      <c r="E73" s="23"/>
      <c r="F73" s="23"/>
      <c r="G73" s="57"/>
      <c r="H73" s="23"/>
      <c r="I73" s="21"/>
      <c r="J73" s="21"/>
      <c r="K73" s="21"/>
    </row>
    <row r="74" spans="1:11" ht="12">
      <c r="A74" s="21"/>
      <c r="B74" s="21"/>
      <c r="C74" s="21"/>
      <c r="D74" s="21"/>
      <c r="E74" s="21"/>
      <c r="F74" s="21"/>
      <c r="G74" s="60"/>
      <c r="H74" s="21"/>
      <c r="I74" s="21"/>
      <c r="J74" s="21"/>
      <c r="K74" s="21"/>
    </row>
    <row r="75" spans="1:11" ht="12">
      <c r="A75" s="21"/>
      <c r="B75" s="21"/>
      <c r="C75" s="21"/>
      <c r="D75" s="23"/>
      <c r="E75" s="21"/>
      <c r="F75" s="21"/>
      <c r="G75" s="57"/>
      <c r="H75" s="23"/>
      <c r="I75" s="21"/>
      <c r="J75" s="21"/>
      <c r="K75" s="21"/>
    </row>
    <row r="76" spans="1:11" ht="12">
      <c r="A76" s="21"/>
      <c r="B76" s="21"/>
      <c r="C76" s="21"/>
      <c r="D76" s="21"/>
      <c r="E76" s="21"/>
      <c r="F76" s="21"/>
      <c r="G76" s="57"/>
      <c r="H76" s="21"/>
      <c r="I76" s="21"/>
      <c r="J76" s="21"/>
      <c r="K76" s="21"/>
    </row>
  </sheetData>
  <mergeCells count="1">
    <mergeCell ref="A27:B27"/>
  </mergeCells>
  <printOptions horizontalCentered="1" verticalCentered="1"/>
  <pageMargins left="0.3937007874015748" right="0.3937007874015748" top="0.5905511811023623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5.125" style="186" customWidth="1"/>
    <col min="2" max="2" width="4.875" style="186" customWidth="1"/>
    <col min="3" max="3" width="4.625" style="186" customWidth="1"/>
    <col min="4" max="4" width="4.125" style="186" customWidth="1"/>
    <col min="5" max="5" width="6.00390625" style="186" customWidth="1"/>
    <col min="6" max="6" width="9.125" style="186" customWidth="1"/>
    <col min="7" max="7" width="7.625" style="186" customWidth="1"/>
    <col min="8" max="8" width="6.875" style="186" customWidth="1"/>
    <col min="9" max="9" width="5.00390625" style="186" customWidth="1"/>
    <col min="10" max="10" width="7.625" style="186" customWidth="1"/>
    <col min="11" max="11" width="8.625" style="186" customWidth="1"/>
    <col min="12" max="12" width="7.625" style="186" customWidth="1"/>
    <col min="13" max="13" width="7.25390625" style="186" customWidth="1"/>
    <col min="14" max="14" width="6.875" style="186" customWidth="1"/>
    <col min="15" max="15" width="5.875" style="186" customWidth="1"/>
    <col min="16" max="16" width="5.00390625" style="186" bestFit="1" customWidth="1"/>
    <col min="17" max="17" width="5.75390625" style="186" customWidth="1"/>
    <col min="18" max="18" width="6.875" style="186" customWidth="1"/>
    <col min="19" max="19" width="6.75390625" style="186" customWidth="1"/>
    <col min="20" max="20" width="6.125" style="186" customWidth="1"/>
    <col min="21" max="21" width="7.625" style="186" customWidth="1"/>
    <col min="22" max="22" width="4.75390625" style="186" customWidth="1"/>
    <col min="23" max="16384" width="9.125" style="186" customWidth="1"/>
  </cols>
  <sheetData>
    <row r="1" ht="12.75">
      <c r="V1" s="185" t="s">
        <v>231</v>
      </c>
    </row>
    <row r="2" spans="1:22" s="191" customFormat="1" ht="33" customHeight="1" thickBot="1">
      <c r="A2" s="187" t="s">
        <v>232</v>
      </c>
      <c r="B2" s="188"/>
      <c r="C2" s="188"/>
      <c r="D2" s="188"/>
      <c r="E2" s="188"/>
      <c r="F2" s="188"/>
      <c r="G2" s="188"/>
      <c r="H2" s="188"/>
      <c r="I2" s="188"/>
      <c r="J2" s="188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90"/>
    </row>
    <row r="3" spans="1:22" s="196" customFormat="1" ht="12.75">
      <c r="A3" s="267" t="s">
        <v>233</v>
      </c>
      <c r="B3" s="270" t="s">
        <v>76</v>
      </c>
      <c r="C3" s="263" t="s">
        <v>234</v>
      </c>
      <c r="D3" s="264"/>
      <c r="E3" s="192" t="s">
        <v>235</v>
      </c>
      <c r="F3" s="192"/>
      <c r="G3" s="192"/>
      <c r="H3" s="192"/>
      <c r="I3" s="192"/>
      <c r="J3" s="192"/>
      <c r="K3" s="192" t="s">
        <v>236</v>
      </c>
      <c r="L3" s="193"/>
      <c r="M3" s="193"/>
      <c r="N3" s="193"/>
      <c r="O3" s="193"/>
      <c r="P3" s="193"/>
      <c r="Q3" s="194"/>
      <c r="R3" s="193"/>
      <c r="S3" s="193"/>
      <c r="T3" s="192" t="s">
        <v>237</v>
      </c>
      <c r="U3" s="192"/>
      <c r="V3" s="195"/>
    </row>
    <row r="4" spans="1:22" s="196" customFormat="1" ht="12.75">
      <c r="A4" s="268"/>
      <c r="B4" s="271"/>
      <c r="C4" s="265"/>
      <c r="D4" s="266"/>
      <c r="E4" s="197" t="s">
        <v>238</v>
      </c>
      <c r="F4" s="197" t="s">
        <v>235</v>
      </c>
      <c r="G4" s="198" t="s">
        <v>234</v>
      </c>
      <c r="H4" s="198"/>
      <c r="I4" s="198"/>
      <c r="J4" s="199"/>
      <c r="K4" s="197" t="s">
        <v>236</v>
      </c>
      <c r="L4" s="200" t="s">
        <v>239</v>
      </c>
      <c r="M4" s="201"/>
      <c r="N4" s="201"/>
      <c r="O4" s="201"/>
      <c r="P4" s="201"/>
      <c r="Q4" s="201"/>
      <c r="R4" s="201"/>
      <c r="S4" s="202"/>
      <c r="T4" s="203" t="s">
        <v>238</v>
      </c>
      <c r="U4" s="258" t="s">
        <v>240</v>
      </c>
      <c r="V4" s="205" t="s">
        <v>241</v>
      </c>
    </row>
    <row r="5" spans="1:22" s="196" customFormat="1" ht="12.75">
      <c r="A5" s="268"/>
      <c r="B5" s="271"/>
      <c r="C5" s="204" t="s">
        <v>242</v>
      </c>
      <c r="D5" s="258" t="s">
        <v>243</v>
      </c>
      <c r="E5" s="204" t="s">
        <v>244</v>
      </c>
      <c r="F5" s="258" t="s">
        <v>245</v>
      </c>
      <c r="G5" s="258" t="s">
        <v>246</v>
      </c>
      <c r="H5" s="258" t="s">
        <v>247</v>
      </c>
      <c r="I5" s="206" t="s">
        <v>248</v>
      </c>
      <c r="J5" s="258" t="s">
        <v>240</v>
      </c>
      <c r="K5" s="258" t="s">
        <v>245</v>
      </c>
      <c r="L5" s="207" t="s">
        <v>249</v>
      </c>
      <c r="M5" s="207" t="s">
        <v>250</v>
      </c>
      <c r="N5" s="207" t="s">
        <v>251</v>
      </c>
      <c r="O5" s="207" t="s">
        <v>252</v>
      </c>
      <c r="P5" s="207" t="s">
        <v>253</v>
      </c>
      <c r="Q5" s="207" t="s">
        <v>254</v>
      </c>
      <c r="R5" s="207" t="s">
        <v>255</v>
      </c>
      <c r="S5" s="261" t="s">
        <v>256</v>
      </c>
      <c r="T5" s="197" t="s">
        <v>257</v>
      </c>
      <c r="U5" s="259"/>
      <c r="V5" s="208" t="s">
        <v>258</v>
      </c>
    </row>
    <row r="6" spans="1:22" s="196" customFormat="1" ht="13.5" thickBot="1">
      <c r="A6" s="269"/>
      <c r="B6" s="272"/>
      <c r="C6" s="209" t="s">
        <v>243</v>
      </c>
      <c r="D6" s="260"/>
      <c r="E6" s="210" t="s">
        <v>259</v>
      </c>
      <c r="F6" s="260"/>
      <c r="G6" s="260"/>
      <c r="H6" s="260"/>
      <c r="I6" s="209" t="s">
        <v>260</v>
      </c>
      <c r="J6" s="260"/>
      <c r="K6" s="260"/>
      <c r="L6" s="211" t="s">
        <v>261</v>
      </c>
      <c r="M6" s="212" t="s">
        <v>262</v>
      </c>
      <c r="N6" s="211" t="s">
        <v>263</v>
      </c>
      <c r="O6" s="211" t="s">
        <v>264</v>
      </c>
      <c r="P6" s="211"/>
      <c r="Q6" s="211" t="s">
        <v>265</v>
      </c>
      <c r="R6" s="211" t="s">
        <v>266</v>
      </c>
      <c r="S6" s="262"/>
      <c r="T6" s="211" t="s">
        <v>267</v>
      </c>
      <c r="U6" s="260"/>
      <c r="V6" s="213" t="s">
        <v>268</v>
      </c>
    </row>
    <row r="7" spans="1:22" ht="12.75">
      <c r="A7" s="214">
        <v>4</v>
      </c>
      <c r="B7" s="215">
        <v>75</v>
      </c>
      <c r="C7" s="215">
        <v>59</v>
      </c>
      <c r="D7" s="215">
        <f aca="true" t="shared" si="0" ref="D7:D43">B7-C7</f>
        <v>16</v>
      </c>
      <c r="E7" s="216">
        <v>4839</v>
      </c>
      <c r="F7" s="216">
        <f aca="true" t="shared" si="1" ref="F7:F43">G7+H7+I7</f>
        <v>572672</v>
      </c>
      <c r="G7" s="216">
        <v>394236</v>
      </c>
      <c r="H7" s="216">
        <v>177236</v>
      </c>
      <c r="I7" s="216">
        <v>1200</v>
      </c>
      <c r="J7" s="217">
        <f aca="true" t="shared" si="2" ref="J7:J43">SUM(E7+F7)</f>
        <v>577511</v>
      </c>
      <c r="K7" s="218">
        <f aca="true" t="shared" si="3" ref="K7:K43">SUM(L7:S7)</f>
        <v>576511</v>
      </c>
      <c r="L7" s="216">
        <v>357510</v>
      </c>
      <c r="M7" s="216">
        <v>28241</v>
      </c>
      <c r="N7" s="216">
        <v>64528</v>
      </c>
      <c r="O7" s="216">
        <v>8832</v>
      </c>
      <c r="P7" s="216"/>
      <c r="Q7" s="216">
        <v>18342</v>
      </c>
      <c r="R7" s="216">
        <v>48824</v>
      </c>
      <c r="S7" s="216">
        <f aca="true" t="shared" si="4" ref="S7:S43">J7-L7-M7-N7-O7-Q7-R7-T7-P7</f>
        <v>50234</v>
      </c>
      <c r="T7" s="219">
        <v>1000</v>
      </c>
      <c r="U7" s="217">
        <f aca="true" t="shared" si="5" ref="U7:U43">K7+T7</f>
        <v>577511</v>
      </c>
      <c r="V7" s="220">
        <f aca="true" t="shared" si="6" ref="V7:V44">U7/B7/12</f>
        <v>642</v>
      </c>
    </row>
    <row r="8" spans="1:22" ht="12.75">
      <c r="A8" s="221">
        <v>5</v>
      </c>
      <c r="B8" s="222">
        <v>111</v>
      </c>
      <c r="C8" s="222">
        <v>96</v>
      </c>
      <c r="D8" s="222">
        <f t="shared" si="0"/>
        <v>15</v>
      </c>
      <c r="E8" s="216">
        <v>40299</v>
      </c>
      <c r="F8" s="216">
        <f t="shared" si="1"/>
        <v>776075</v>
      </c>
      <c r="G8" s="216">
        <v>519624</v>
      </c>
      <c r="H8" s="216">
        <v>253951</v>
      </c>
      <c r="I8" s="216">
        <v>2500</v>
      </c>
      <c r="J8" s="223">
        <f t="shared" si="2"/>
        <v>816374</v>
      </c>
      <c r="K8" s="224">
        <f t="shared" si="3"/>
        <v>801374</v>
      </c>
      <c r="L8" s="216">
        <v>371846</v>
      </c>
      <c r="M8" s="216">
        <v>30236</v>
      </c>
      <c r="N8" s="216">
        <v>69085</v>
      </c>
      <c r="O8" s="216">
        <v>9456</v>
      </c>
      <c r="P8" s="216"/>
      <c r="Q8" s="216">
        <v>23280</v>
      </c>
      <c r="R8" s="216">
        <v>63664</v>
      </c>
      <c r="S8" s="216">
        <f t="shared" si="4"/>
        <v>233807</v>
      </c>
      <c r="T8" s="225">
        <v>15000</v>
      </c>
      <c r="U8" s="223">
        <f t="shared" si="5"/>
        <v>816374</v>
      </c>
      <c r="V8" s="226">
        <f t="shared" si="6"/>
        <v>613</v>
      </c>
    </row>
    <row r="9" spans="1:22" ht="12.75">
      <c r="A9" s="221">
        <v>6</v>
      </c>
      <c r="B9" s="222">
        <v>140</v>
      </c>
      <c r="C9" s="222">
        <v>140</v>
      </c>
      <c r="D9" s="222">
        <f t="shared" si="0"/>
        <v>0</v>
      </c>
      <c r="E9" s="216">
        <v>26355</v>
      </c>
      <c r="F9" s="216">
        <f t="shared" si="1"/>
        <v>932844</v>
      </c>
      <c r="G9" s="216">
        <v>614880</v>
      </c>
      <c r="H9" s="216">
        <v>311700</v>
      </c>
      <c r="I9" s="216">
        <v>6264</v>
      </c>
      <c r="J9" s="223">
        <f t="shared" si="2"/>
        <v>959199</v>
      </c>
      <c r="K9" s="224">
        <f t="shared" si="3"/>
        <v>940472</v>
      </c>
      <c r="L9" s="216">
        <v>556251</v>
      </c>
      <c r="M9" s="216">
        <v>44872</v>
      </c>
      <c r="N9" s="216">
        <v>102527</v>
      </c>
      <c r="O9" s="216">
        <v>14033</v>
      </c>
      <c r="P9" s="216">
        <v>1000</v>
      </c>
      <c r="Q9" s="216">
        <v>30729</v>
      </c>
      <c r="R9" s="216">
        <v>86304</v>
      </c>
      <c r="S9" s="216">
        <f t="shared" si="4"/>
        <v>104756</v>
      </c>
      <c r="T9" s="225">
        <v>18727</v>
      </c>
      <c r="U9" s="223">
        <f t="shared" si="5"/>
        <v>959199</v>
      </c>
      <c r="V9" s="226">
        <f t="shared" si="6"/>
        <v>571</v>
      </c>
    </row>
    <row r="10" spans="1:22" ht="12.75">
      <c r="A10" s="221">
        <v>7</v>
      </c>
      <c r="B10" s="222">
        <v>115</v>
      </c>
      <c r="C10" s="222">
        <v>102</v>
      </c>
      <c r="D10" s="222">
        <f t="shared" si="0"/>
        <v>13</v>
      </c>
      <c r="E10" s="216">
        <v>34041</v>
      </c>
      <c r="F10" s="216">
        <f t="shared" si="1"/>
        <v>808922</v>
      </c>
      <c r="G10" s="216">
        <f>539904+1000</f>
        <v>540904</v>
      </c>
      <c r="H10" s="216">
        <v>268018</v>
      </c>
      <c r="I10" s="216">
        <v>0</v>
      </c>
      <c r="J10" s="223">
        <f t="shared" si="2"/>
        <v>842963</v>
      </c>
      <c r="K10" s="224">
        <f t="shared" si="3"/>
        <v>818157</v>
      </c>
      <c r="L10" s="216">
        <v>470520</v>
      </c>
      <c r="M10" s="216">
        <v>38954</v>
      </c>
      <c r="N10" s="216">
        <v>89006</v>
      </c>
      <c r="O10" s="216">
        <v>12182</v>
      </c>
      <c r="P10" s="216"/>
      <c r="Q10" s="216">
        <v>27216</v>
      </c>
      <c r="R10" s="216">
        <v>68167</v>
      </c>
      <c r="S10" s="216">
        <f t="shared" si="4"/>
        <v>112112</v>
      </c>
      <c r="T10" s="225">
        <v>24806</v>
      </c>
      <c r="U10" s="223">
        <f t="shared" si="5"/>
        <v>842963</v>
      </c>
      <c r="V10" s="226">
        <f t="shared" si="6"/>
        <v>611</v>
      </c>
    </row>
    <row r="11" spans="1:22" ht="12.75">
      <c r="A11" s="221">
        <v>8</v>
      </c>
      <c r="B11" s="222">
        <v>78</v>
      </c>
      <c r="C11" s="222">
        <v>60</v>
      </c>
      <c r="D11" s="222">
        <f t="shared" si="0"/>
        <v>18</v>
      </c>
      <c r="E11" s="216">
        <v>10152</v>
      </c>
      <c r="F11" s="216">
        <f t="shared" si="1"/>
        <v>602313</v>
      </c>
      <c r="G11" s="216">
        <f>408096+3000</f>
        <v>411096</v>
      </c>
      <c r="H11" s="216">
        <v>183817</v>
      </c>
      <c r="I11" s="216">
        <v>7400</v>
      </c>
      <c r="J11" s="223">
        <f t="shared" si="2"/>
        <v>612465</v>
      </c>
      <c r="K11" s="224">
        <f t="shared" si="3"/>
        <v>594676</v>
      </c>
      <c r="L11" s="216">
        <v>321053</v>
      </c>
      <c r="M11" s="216">
        <v>26282</v>
      </c>
      <c r="N11" s="216">
        <v>60052</v>
      </c>
      <c r="O11" s="216">
        <v>8219</v>
      </c>
      <c r="P11" s="216">
        <v>2800</v>
      </c>
      <c r="Q11" s="216">
        <v>17695</v>
      </c>
      <c r="R11" s="216">
        <v>58086</v>
      </c>
      <c r="S11" s="216">
        <f t="shared" si="4"/>
        <v>100489</v>
      </c>
      <c r="T11" s="225">
        <v>17789</v>
      </c>
      <c r="U11" s="223">
        <f t="shared" si="5"/>
        <v>612465</v>
      </c>
      <c r="V11" s="226">
        <f t="shared" si="6"/>
        <v>654</v>
      </c>
    </row>
    <row r="12" spans="1:22" ht="12.75">
      <c r="A12" s="221">
        <v>9</v>
      </c>
      <c r="B12" s="222">
        <v>100</v>
      </c>
      <c r="C12" s="222">
        <v>82</v>
      </c>
      <c r="D12" s="222">
        <f t="shared" si="0"/>
        <v>18</v>
      </c>
      <c r="E12" s="216">
        <v>-21457</v>
      </c>
      <c r="F12" s="216">
        <f t="shared" si="1"/>
        <v>699313</v>
      </c>
      <c r="G12" s="216">
        <v>486048</v>
      </c>
      <c r="H12" s="216">
        <v>212265</v>
      </c>
      <c r="I12" s="216">
        <v>1000</v>
      </c>
      <c r="J12" s="223">
        <f t="shared" si="2"/>
        <v>677856</v>
      </c>
      <c r="K12" s="224">
        <f t="shared" si="3"/>
        <v>695565</v>
      </c>
      <c r="L12" s="216">
        <v>439567</v>
      </c>
      <c r="M12" s="216">
        <v>35538</v>
      </c>
      <c r="N12" s="216">
        <v>81201</v>
      </c>
      <c r="O12" s="216">
        <v>11114</v>
      </c>
      <c r="P12" s="216"/>
      <c r="Q12" s="216">
        <v>25013</v>
      </c>
      <c r="R12" s="216">
        <v>58665</v>
      </c>
      <c r="S12" s="216">
        <f t="shared" si="4"/>
        <v>44467</v>
      </c>
      <c r="T12" s="225">
        <v>-17709</v>
      </c>
      <c r="U12" s="223">
        <f t="shared" si="5"/>
        <v>677856</v>
      </c>
      <c r="V12" s="226">
        <f t="shared" si="6"/>
        <v>565</v>
      </c>
    </row>
    <row r="13" spans="1:22" ht="12.75">
      <c r="A13" s="221" t="s">
        <v>269</v>
      </c>
      <c r="B13" s="222">
        <v>120</v>
      </c>
      <c r="C13" s="222">
        <v>100</v>
      </c>
      <c r="D13" s="222">
        <f t="shared" si="0"/>
        <v>20</v>
      </c>
      <c r="E13" s="216">
        <v>-6889</v>
      </c>
      <c r="F13" s="216">
        <f t="shared" si="1"/>
        <v>830708</v>
      </c>
      <c r="G13" s="216">
        <f>559440+1000</f>
        <v>560440</v>
      </c>
      <c r="H13" s="216">
        <v>267268</v>
      </c>
      <c r="I13" s="216">
        <v>3000</v>
      </c>
      <c r="J13" s="223">
        <f t="shared" si="2"/>
        <v>823819</v>
      </c>
      <c r="K13" s="224">
        <f t="shared" si="3"/>
        <v>822819</v>
      </c>
      <c r="L13" s="216">
        <v>456527</v>
      </c>
      <c r="M13" s="216">
        <v>37691</v>
      </c>
      <c r="N13" s="216">
        <v>86120</v>
      </c>
      <c r="O13" s="216">
        <v>11787</v>
      </c>
      <c r="P13" s="216">
        <v>4000</v>
      </c>
      <c r="Q13" s="216">
        <v>25377</v>
      </c>
      <c r="R13" s="216">
        <v>73805</v>
      </c>
      <c r="S13" s="216">
        <f t="shared" si="4"/>
        <v>127512</v>
      </c>
      <c r="T13" s="225">
        <v>1000</v>
      </c>
      <c r="U13" s="223">
        <f t="shared" si="5"/>
        <v>823819</v>
      </c>
      <c r="V13" s="226">
        <f t="shared" si="6"/>
        <v>572</v>
      </c>
    </row>
    <row r="14" spans="1:22" ht="12.75">
      <c r="A14" s="221">
        <v>13</v>
      </c>
      <c r="B14" s="222">
        <v>115</v>
      </c>
      <c r="C14" s="222">
        <v>106</v>
      </c>
      <c r="D14" s="222">
        <f t="shared" si="0"/>
        <v>9</v>
      </c>
      <c r="E14" s="216">
        <v>10142</v>
      </c>
      <c r="F14" s="216">
        <f t="shared" si="1"/>
        <v>767676</v>
      </c>
      <c r="G14" s="216">
        <f>542352+2000</f>
        <v>544352</v>
      </c>
      <c r="H14" s="216">
        <v>221824</v>
      </c>
      <c r="I14" s="216">
        <v>1500</v>
      </c>
      <c r="J14" s="223">
        <f t="shared" si="2"/>
        <v>777818</v>
      </c>
      <c r="K14" s="224">
        <f t="shared" si="3"/>
        <v>776603</v>
      </c>
      <c r="L14" s="216">
        <v>472463</v>
      </c>
      <c r="M14" s="216">
        <v>39773</v>
      </c>
      <c r="N14" s="216">
        <v>90877</v>
      </c>
      <c r="O14" s="216">
        <v>12439</v>
      </c>
      <c r="P14" s="216">
        <v>1000</v>
      </c>
      <c r="Q14" s="216">
        <v>25307</v>
      </c>
      <c r="R14" s="216">
        <v>56765</v>
      </c>
      <c r="S14" s="216">
        <f t="shared" si="4"/>
        <v>77979</v>
      </c>
      <c r="T14" s="225">
        <v>1215</v>
      </c>
      <c r="U14" s="223">
        <f t="shared" si="5"/>
        <v>777818</v>
      </c>
      <c r="V14" s="226">
        <f t="shared" si="6"/>
        <v>564</v>
      </c>
    </row>
    <row r="15" spans="1:22" ht="12.75">
      <c r="A15" s="221">
        <v>14</v>
      </c>
      <c r="B15" s="222">
        <v>72</v>
      </c>
      <c r="C15" s="222">
        <v>49</v>
      </c>
      <c r="D15" s="222">
        <f t="shared" si="0"/>
        <v>23</v>
      </c>
      <c r="E15" s="216">
        <v>-250</v>
      </c>
      <c r="F15" s="216">
        <f t="shared" si="1"/>
        <v>504469</v>
      </c>
      <c r="G15" s="216">
        <v>367740</v>
      </c>
      <c r="H15" s="216">
        <v>135229</v>
      </c>
      <c r="I15" s="216">
        <v>1500</v>
      </c>
      <c r="J15" s="223">
        <f t="shared" si="2"/>
        <v>504219</v>
      </c>
      <c r="K15" s="224">
        <f t="shared" si="3"/>
        <v>494713</v>
      </c>
      <c r="L15" s="216">
        <v>291876</v>
      </c>
      <c r="M15" s="216">
        <v>23819</v>
      </c>
      <c r="N15" s="216">
        <v>54423</v>
      </c>
      <c r="O15" s="216">
        <v>7449</v>
      </c>
      <c r="P15" s="216">
        <v>3000</v>
      </c>
      <c r="Q15" s="216">
        <v>16780</v>
      </c>
      <c r="R15" s="216">
        <v>38466</v>
      </c>
      <c r="S15" s="216">
        <f t="shared" si="4"/>
        <v>58900</v>
      </c>
      <c r="T15" s="225">
        <v>9506</v>
      </c>
      <c r="U15" s="223">
        <f t="shared" si="5"/>
        <v>504219</v>
      </c>
      <c r="V15" s="226">
        <f t="shared" si="6"/>
        <v>584</v>
      </c>
    </row>
    <row r="16" spans="1:22" ht="12.75">
      <c r="A16" s="221">
        <v>15</v>
      </c>
      <c r="B16" s="222">
        <v>100</v>
      </c>
      <c r="C16" s="222">
        <v>80</v>
      </c>
      <c r="D16" s="222">
        <f t="shared" si="0"/>
        <v>20</v>
      </c>
      <c r="E16" s="216">
        <v>-69497</v>
      </c>
      <c r="F16" s="216">
        <f t="shared" si="1"/>
        <v>724754</v>
      </c>
      <c r="G16" s="216">
        <f>484320+1000</f>
        <v>485320</v>
      </c>
      <c r="H16" s="216">
        <v>239234</v>
      </c>
      <c r="I16" s="216">
        <v>200</v>
      </c>
      <c r="J16" s="223">
        <f t="shared" si="2"/>
        <v>655257</v>
      </c>
      <c r="K16" s="224">
        <f t="shared" si="3"/>
        <v>759562</v>
      </c>
      <c r="L16" s="216">
        <v>449362</v>
      </c>
      <c r="M16" s="216">
        <v>35823</v>
      </c>
      <c r="N16" s="216">
        <v>85419</v>
      </c>
      <c r="O16" s="216">
        <v>11691</v>
      </c>
      <c r="P16" s="216">
        <v>400</v>
      </c>
      <c r="Q16" s="216">
        <v>24918</v>
      </c>
      <c r="R16" s="216">
        <v>70524</v>
      </c>
      <c r="S16" s="216">
        <f t="shared" si="4"/>
        <v>81425</v>
      </c>
      <c r="T16" s="225">
        <v>-104305</v>
      </c>
      <c r="U16" s="223">
        <f t="shared" si="5"/>
        <v>655257</v>
      </c>
      <c r="V16" s="226">
        <f t="shared" si="6"/>
        <v>546</v>
      </c>
    </row>
    <row r="17" spans="1:22" ht="12.75">
      <c r="A17" s="221">
        <v>16</v>
      </c>
      <c r="B17" s="222">
        <v>115</v>
      </c>
      <c r="C17" s="222">
        <v>100</v>
      </c>
      <c r="D17" s="222">
        <f t="shared" si="0"/>
        <v>15</v>
      </c>
      <c r="E17" s="216">
        <v>11783</v>
      </c>
      <c r="F17" s="216">
        <f t="shared" si="1"/>
        <v>866825</v>
      </c>
      <c r="G17" s="216">
        <f>538680+50000</f>
        <v>588680</v>
      </c>
      <c r="H17" s="216">
        <v>275145</v>
      </c>
      <c r="I17" s="216">
        <v>3000</v>
      </c>
      <c r="J17" s="223">
        <f t="shared" si="2"/>
        <v>878608</v>
      </c>
      <c r="K17" s="224">
        <f t="shared" si="3"/>
        <v>870114</v>
      </c>
      <c r="L17" s="216">
        <v>488344</v>
      </c>
      <c r="M17" s="216">
        <v>41370</v>
      </c>
      <c r="N17" s="216">
        <v>94526</v>
      </c>
      <c r="O17" s="216">
        <v>12938</v>
      </c>
      <c r="P17" s="216">
        <v>2000</v>
      </c>
      <c r="Q17" s="216">
        <v>26028</v>
      </c>
      <c r="R17" s="216">
        <v>70630</v>
      </c>
      <c r="S17" s="216">
        <f t="shared" si="4"/>
        <v>134278</v>
      </c>
      <c r="T17" s="225">
        <v>8494</v>
      </c>
      <c r="U17" s="223">
        <f t="shared" si="5"/>
        <v>878608</v>
      </c>
      <c r="V17" s="226">
        <f t="shared" si="6"/>
        <v>637</v>
      </c>
    </row>
    <row r="18" spans="1:22" ht="12.75">
      <c r="A18" s="221">
        <v>18</v>
      </c>
      <c r="B18" s="222">
        <v>125</v>
      </c>
      <c r="C18" s="222">
        <v>55</v>
      </c>
      <c r="D18" s="222">
        <f t="shared" si="0"/>
        <v>70</v>
      </c>
      <c r="E18" s="216">
        <v>-19251</v>
      </c>
      <c r="F18" s="216">
        <f t="shared" si="1"/>
        <v>781392</v>
      </c>
      <c r="G18" s="216">
        <v>596220</v>
      </c>
      <c r="H18" s="216">
        <v>183672</v>
      </c>
      <c r="I18" s="216">
        <v>1500</v>
      </c>
      <c r="J18" s="223">
        <f t="shared" si="2"/>
        <v>762141</v>
      </c>
      <c r="K18" s="224">
        <f t="shared" si="3"/>
        <v>774710</v>
      </c>
      <c r="L18" s="216">
        <v>481505</v>
      </c>
      <c r="M18" s="216">
        <v>38703</v>
      </c>
      <c r="N18" s="216">
        <v>90964</v>
      </c>
      <c r="O18" s="216">
        <v>12450</v>
      </c>
      <c r="P18" s="216"/>
      <c r="Q18" s="216">
        <v>25785</v>
      </c>
      <c r="R18" s="216">
        <v>59377</v>
      </c>
      <c r="S18" s="216">
        <f t="shared" si="4"/>
        <v>65926</v>
      </c>
      <c r="T18" s="225">
        <v>-12569</v>
      </c>
      <c r="U18" s="223">
        <f t="shared" si="5"/>
        <v>762141</v>
      </c>
      <c r="V18" s="226">
        <f t="shared" si="6"/>
        <v>508</v>
      </c>
    </row>
    <row r="19" spans="1:22" ht="12.75">
      <c r="A19" s="221">
        <v>19</v>
      </c>
      <c r="B19" s="222">
        <v>100</v>
      </c>
      <c r="C19" s="222">
        <v>85</v>
      </c>
      <c r="D19" s="222">
        <f t="shared" si="0"/>
        <v>15</v>
      </c>
      <c r="E19" s="216">
        <v>7489</v>
      </c>
      <c r="F19" s="216">
        <f t="shared" si="1"/>
        <v>716526</v>
      </c>
      <c r="G19" s="216">
        <v>488640</v>
      </c>
      <c r="H19" s="216">
        <v>225014</v>
      </c>
      <c r="I19" s="216">
        <v>2872</v>
      </c>
      <c r="J19" s="223">
        <f t="shared" si="2"/>
        <v>724015</v>
      </c>
      <c r="K19" s="224">
        <f t="shared" si="3"/>
        <v>765031</v>
      </c>
      <c r="L19" s="216">
        <v>466118</v>
      </c>
      <c r="M19" s="216">
        <v>35215</v>
      </c>
      <c r="N19" s="216">
        <v>84884</v>
      </c>
      <c r="O19" s="216">
        <v>11618</v>
      </c>
      <c r="P19" s="216">
        <v>640</v>
      </c>
      <c r="Q19" s="216">
        <v>22823</v>
      </c>
      <c r="R19" s="216">
        <v>59979</v>
      </c>
      <c r="S19" s="216">
        <f t="shared" si="4"/>
        <v>83754</v>
      </c>
      <c r="T19" s="225">
        <v>-41016</v>
      </c>
      <c r="U19" s="223">
        <f t="shared" si="5"/>
        <v>724015</v>
      </c>
      <c r="V19" s="226">
        <f t="shared" si="6"/>
        <v>603</v>
      </c>
    </row>
    <row r="20" spans="1:22" ht="12.75">
      <c r="A20" s="221" t="s">
        <v>270</v>
      </c>
      <c r="B20" s="222">
        <v>75</v>
      </c>
      <c r="C20" s="222">
        <v>70</v>
      </c>
      <c r="D20" s="222">
        <f t="shared" si="0"/>
        <v>5</v>
      </c>
      <c r="E20" s="216">
        <v>32721</v>
      </c>
      <c r="F20" s="216">
        <f t="shared" si="1"/>
        <v>528561</v>
      </c>
      <c r="G20" s="216">
        <v>371880</v>
      </c>
      <c r="H20" s="216">
        <v>156581</v>
      </c>
      <c r="I20" s="216">
        <v>100</v>
      </c>
      <c r="J20" s="223">
        <f t="shared" si="2"/>
        <v>561282</v>
      </c>
      <c r="K20" s="224">
        <f t="shared" si="3"/>
        <v>544362</v>
      </c>
      <c r="L20" s="216">
        <v>294725</v>
      </c>
      <c r="M20" s="216">
        <v>24802</v>
      </c>
      <c r="N20" s="216">
        <v>56670</v>
      </c>
      <c r="O20" s="216">
        <v>7757</v>
      </c>
      <c r="P20" s="216">
        <v>1000</v>
      </c>
      <c r="Q20" s="216">
        <v>18042</v>
      </c>
      <c r="R20" s="216">
        <v>40770</v>
      </c>
      <c r="S20" s="216">
        <f t="shared" si="4"/>
        <v>100596</v>
      </c>
      <c r="T20" s="225">
        <v>16920</v>
      </c>
      <c r="U20" s="223">
        <f t="shared" si="5"/>
        <v>561282</v>
      </c>
      <c r="V20" s="226">
        <f t="shared" si="6"/>
        <v>624</v>
      </c>
    </row>
    <row r="21" spans="1:22" ht="12.75">
      <c r="A21" s="221">
        <v>22</v>
      </c>
      <c r="B21" s="222">
        <v>115</v>
      </c>
      <c r="C21" s="222">
        <v>90</v>
      </c>
      <c r="D21" s="222">
        <f t="shared" si="0"/>
        <v>25</v>
      </c>
      <c r="E21" s="216">
        <v>-3181</v>
      </c>
      <c r="F21" s="216">
        <f t="shared" si="1"/>
        <v>842113</v>
      </c>
      <c r="G21" s="216">
        <f>555240+35000</f>
        <v>590240</v>
      </c>
      <c r="H21" s="216">
        <v>251573</v>
      </c>
      <c r="I21" s="216">
        <v>300</v>
      </c>
      <c r="J21" s="223">
        <f t="shared" si="2"/>
        <v>838932</v>
      </c>
      <c r="K21" s="224">
        <f t="shared" si="3"/>
        <v>841932</v>
      </c>
      <c r="L21" s="216">
        <v>469100</v>
      </c>
      <c r="M21" s="216">
        <v>38864</v>
      </c>
      <c r="N21" s="216">
        <v>90105</v>
      </c>
      <c r="O21" s="216">
        <v>12333</v>
      </c>
      <c r="P21" s="216"/>
      <c r="Q21" s="216">
        <v>26653</v>
      </c>
      <c r="R21" s="216">
        <v>73394</v>
      </c>
      <c r="S21" s="216">
        <f t="shared" si="4"/>
        <v>131483</v>
      </c>
      <c r="T21" s="225">
        <v>-3000</v>
      </c>
      <c r="U21" s="223">
        <f t="shared" si="5"/>
        <v>838932</v>
      </c>
      <c r="V21" s="226">
        <f t="shared" si="6"/>
        <v>608</v>
      </c>
    </row>
    <row r="22" spans="1:22" ht="12.75">
      <c r="A22" s="221">
        <v>23</v>
      </c>
      <c r="B22" s="222">
        <v>108</v>
      </c>
      <c r="C22" s="222">
        <v>106</v>
      </c>
      <c r="D22" s="222">
        <f t="shared" si="0"/>
        <v>2</v>
      </c>
      <c r="E22" s="216">
        <v>45487</v>
      </c>
      <c r="F22" s="216">
        <f t="shared" si="1"/>
        <v>788228</v>
      </c>
      <c r="G22" s="216">
        <v>513288</v>
      </c>
      <c r="H22" s="216">
        <v>270440</v>
      </c>
      <c r="I22" s="216">
        <v>4500</v>
      </c>
      <c r="J22" s="223">
        <f t="shared" si="2"/>
        <v>833715</v>
      </c>
      <c r="K22" s="224">
        <f t="shared" si="3"/>
        <v>806715</v>
      </c>
      <c r="L22" s="216">
        <v>381953</v>
      </c>
      <c r="M22" s="216">
        <v>32121</v>
      </c>
      <c r="N22" s="216">
        <v>73392</v>
      </c>
      <c r="O22" s="216">
        <v>10045</v>
      </c>
      <c r="P22" s="216">
        <v>1200</v>
      </c>
      <c r="Q22" s="216">
        <v>22868</v>
      </c>
      <c r="R22" s="216">
        <v>65000</v>
      </c>
      <c r="S22" s="216">
        <f t="shared" si="4"/>
        <v>220136</v>
      </c>
      <c r="T22" s="225">
        <v>27000</v>
      </c>
      <c r="U22" s="223">
        <f t="shared" si="5"/>
        <v>833715</v>
      </c>
      <c r="V22" s="226">
        <f t="shared" si="6"/>
        <v>643</v>
      </c>
    </row>
    <row r="23" spans="1:22" ht="12.75">
      <c r="A23" s="221">
        <v>24</v>
      </c>
      <c r="B23" s="222">
        <v>108</v>
      </c>
      <c r="C23" s="222">
        <v>106</v>
      </c>
      <c r="D23" s="222">
        <f t="shared" si="0"/>
        <v>2</v>
      </c>
      <c r="E23" s="216">
        <v>19567</v>
      </c>
      <c r="F23" s="216">
        <f t="shared" si="1"/>
        <v>749592</v>
      </c>
      <c r="G23" s="216">
        <v>513288</v>
      </c>
      <c r="H23" s="216">
        <v>233804</v>
      </c>
      <c r="I23" s="216">
        <v>2500</v>
      </c>
      <c r="J23" s="223">
        <f t="shared" si="2"/>
        <v>769159</v>
      </c>
      <c r="K23" s="224">
        <f t="shared" si="3"/>
        <v>746314</v>
      </c>
      <c r="L23" s="216">
        <v>445069</v>
      </c>
      <c r="M23" s="216">
        <v>35350</v>
      </c>
      <c r="N23" s="216">
        <v>83115</v>
      </c>
      <c r="O23" s="216">
        <v>11376</v>
      </c>
      <c r="P23" s="216"/>
      <c r="Q23" s="216">
        <v>25757</v>
      </c>
      <c r="R23" s="216">
        <v>67500</v>
      </c>
      <c r="S23" s="216">
        <f t="shared" si="4"/>
        <v>78147</v>
      </c>
      <c r="T23" s="225">
        <v>22845</v>
      </c>
      <c r="U23" s="223">
        <f t="shared" si="5"/>
        <v>769159</v>
      </c>
      <c r="V23" s="226">
        <f t="shared" si="6"/>
        <v>593</v>
      </c>
    </row>
    <row r="24" spans="1:22" ht="12.75">
      <c r="A24" s="221">
        <v>25</v>
      </c>
      <c r="B24" s="222">
        <v>100</v>
      </c>
      <c r="C24" s="222">
        <v>90</v>
      </c>
      <c r="D24" s="222">
        <f t="shared" si="0"/>
        <v>10</v>
      </c>
      <c r="E24" s="216">
        <v>10810</v>
      </c>
      <c r="F24" s="216">
        <f t="shared" si="1"/>
        <v>707810</v>
      </c>
      <c r="G24" s="216">
        <f>492960+3000</f>
        <v>495960</v>
      </c>
      <c r="H24" s="216">
        <v>208970</v>
      </c>
      <c r="I24" s="216">
        <v>2880</v>
      </c>
      <c r="J24" s="223">
        <f t="shared" si="2"/>
        <v>718620</v>
      </c>
      <c r="K24" s="224">
        <f t="shared" si="3"/>
        <v>718305</v>
      </c>
      <c r="L24" s="216">
        <v>420543</v>
      </c>
      <c r="M24" s="216">
        <v>34823</v>
      </c>
      <c r="N24" s="216">
        <v>79566</v>
      </c>
      <c r="O24" s="216">
        <v>10890</v>
      </c>
      <c r="P24" s="216">
        <v>1740</v>
      </c>
      <c r="Q24" s="216">
        <v>23180</v>
      </c>
      <c r="R24" s="216">
        <v>51362</v>
      </c>
      <c r="S24" s="216">
        <f t="shared" si="4"/>
        <v>96201</v>
      </c>
      <c r="T24" s="225">
        <v>315</v>
      </c>
      <c r="U24" s="223">
        <f t="shared" si="5"/>
        <v>718620</v>
      </c>
      <c r="V24" s="226">
        <f t="shared" si="6"/>
        <v>599</v>
      </c>
    </row>
    <row r="25" spans="1:22" ht="12.75">
      <c r="A25" s="221">
        <v>26</v>
      </c>
      <c r="B25" s="222">
        <v>150</v>
      </c>
      <c r="C25" s="222">
        <v>110</v>
      </c>
      <c r="D25" s="222">
        <f t="shared" si="0"/>
        <v>40</v>
      </c>
      <c r="E25" s="216">
        <v>26315</v>
      </c>
      <c r="F25" s="216">
        <f t="shared" si="1"/>
        <v>938259</v>
      </c>
      <c r="G25" s="216">
        <f>690120+500</f>
        <v>690620</v>
      </c>
      <c r="H25" s="216">
        <v>245079</v>
      </c>
      <c r="I25" s="216">
        <v>2560</v>
      </c>
      <c r="J25" s="223">
        <f t="shared" si="2"/>
        <v>964574</v>
      </c>
      <c r="K25" s="224">
        <f t="shared" si="3"/>
        <v>932329</v>
      </c>
      <c r="L25" s="216">
        <v>511686</v>
      </c>
      <c r="M25" s="216">
        <v>42519</v>
      </c>
      <c r="N25" s="216">
        <v>97151</v>
      </c>
      <c r="O25" s="216">
        <v>13297</v>
      </c>
      <c r="P25" s="216"/>
      <c r="Q25" s="216">
        <v>30503</v>
      </c>
      <c r="R25" s="216">
        <v>72000</v>
      </c>
      <c r="S25" s="216">
        <f t="shared" si="4"/>
        <v>165173</v>
      </c>
      <c r="T25" s="225">
        <v>32245</v>
      </c>
      <c r="U25" s="223">
        <f t="shared" si="5"/>
        <v>964574</v>
      </c>
      <c r="V25" s="226">
        <f t="shared" si="6"/>
        <v>536</v>
      </c>
    </row>
    <row r="26" spans="1:22" ht="12.75">
      <c r="A26" s="221">
        <v>27</v>
      </c>
      <c r="B26" s="222">
        <v>104</v>
      </c>
      <c r="C26" s="222">
        <v>98</v>
      </c>
      <c r="D26" s="222">
        <f t="shared" si="0"/>
        <v>6</v>
      </c>
      <c r="E26" s="216">
        <v>-63229</v>
      </c>
      <c r="F26" s="216">
        <f t="shared" si="1"/>
        <v>791262</v>
      </c>
      <c r="G26" s="216">
        <f>491784+30000+4000</f>
        <v>525784</v>
      </c>
      <c r="H26" s="216">
        <v>265178</v>
      </c>
      <c r="I26" s="216">
        <v>300</v>
      </c>
      <c r="J26" s="223">
        <f t="shared" si="2"/>
        <v>728033</v>
      </c>
      <c r="K26" s="224">
        <f t="shared" si="3"/>
        <v>848844</v>
      </c>
      <c r="L26" s="216">
        <v>483333</v>
      </c>
      <c r="M26" s="216">
        <v>38000</v>
      </c>
      <c r="N26" s="216">
        <v>90259</v>
      </c>
      <c r="O26" s="216">
        <v>12354</v>
      </c>
      <c r="P26" s="216"/>
      <c r="Q26" s="216">
        <v>25098</v>
      </c>
      <c r="R26" s="216">
        <v>70000</v>
      </c>
      <c r="S26" s="216">
        <f t="shared" si="4"/>
        <v>129800</v>
      </c>
      <c r="T26" s="225">
        <v>-120811</v>
      </c>
      <c r="U26" s="223">
        <f t="shared" si="5"/>
        <v>728033</v>
      </c>
      <c r="V26" s="226">
        <f t="shared" si="6"/>
        <v>583</v>
      </c>
    </row>
    <row r="27" spans="1:22" ht="12.75">
      <c r="A27" s="221">
        <v>28</v>
      </c>
      <c r="B27" s="222">
        <v>126</v>
      </c>
      <c r="C27" s="222">
        <v>110</v>
      </c>
      <c r="D27" s="222">
        <f t="shared" si="0"/>
        <v>16</v>
      </c>
      <c r="E27" s="216">
        <v>324</v>
      </c>
      <c r="F27" s="216">
        <f t="shared" si="1"/>
        <v>867311</v>
      </c>
      <c r="G27" s="216">
        <v>590472</v>
      </c>
      <c r="H27" s="216">
        <v>273839</v>
      </c>
      <c r="I27" s="216">
        <v>3000</v>
      </c>
      <c r="J27" s="223">
        <f t="shared" si="2"/>
        <v>867635</v>
      </c>
      <c r="K27" s="224">
        <f t="shared" si="3"/>
        <v>865181</v>
      </c>
      <c r="L27" s="216">
        <v>497424</v>
      </c>
      <c r="M27" s="216">
        <v>38878</v>
      </c>
      <c r="N27" s="216">
        <v>88832</v>
      </c>
      <c r="O27" s="216">
        <v>12159</v>
      </c>
      <c r="P27" s="216"/>
      <c r="Q27" s="216">
        <v>28444</v>
      </c>
      <c r="R27" s="216">
        <v>84269</v>
      </c>
      <c r="S27" s="216">
        <f t="shared" si="4"/>
        <v>115175</v>
      </c>
      <c r="T27" s="225">
        <v>2454</v>
      </c>
      <c r="U27" s="223">
        <f t="shared" si="5"/>
        <v>867635</v>
      </c>
      <c r="V27" s="226">
        <f t="shared" si="6"/>
        <v>574</v>
      </c>
    </row>
    <row r="28" spans="1:22" ht="12.75">
      <c r="A28" s="221">
        <v>29</v>
      </c>
      <c r="B28" s="222">
        <v>128</v>
      </c>
      <c r="C28" s="222">
        <v>110</v>
      </c>
      <c r="D28" s="222">
        <f t="shared" si="0"/>
        <v>18</v>
      </c>
      <c r="E28" s="216">
        <v>-1429</v>
      </c>
      <c r="F28" s="216">
        <f t="shared" si="1"/>
        <v>875206</v>
      </c>
      <c r="G28" s="216">
        <v>598776</v>
      </c>
      <c r="H28" s="216">
        <v>275830</v>
      </c>
      <c r="I28" s="216">
        <v>600</v>
      </c>
      <c r="J28" s="223">
        <f t="shared" si="2"/>
        <v>873777</v>
      </c>
      <c r="K28" s="224">
        <f t="shared" si="3"/>
        <v>895767</v>
      </c>
      <c r="L28" s="216">
        <v>518322</v>
      </c>
      <c r="M28" s="216">
        <v>40987</v>
      </c>
      <c r="N28" s="216">
        <v>93651</v>
      </c>
      <c r="O28" s="216">
        <v>12818</v>
      </c>
      <c r="P28" s="216"/>
      <c r="Q28" s="216">
        <v>30509</v>
      </c>
      <c r="R28" s="216">
        <v>74030</v>
      </c>
      <c r="S28" s="216">
        <f t="shared" si="4"/>
        <v>125450</v>
      </c>
      <c r="T28" s="225">
        <v>-21990</v>
      </c>
      <c r="U28" s="223">
        <f t="shared" si="5"/>
        <v>873777</v>
      </c>
      <c r="V28" s="226">
        <f t="shared" si="6"/>
        <v>569</v>
      </c>
    </row>
    <row r="29" spans="1:22" ht="12.75">
      <c r="A29" s="221">
        <v>30</v>
      </c>
      <c r="B29" s="222">
        <v>100</v>
      </c>
      <c r="C29" s="222">
        <v>55</v>
      </c>
      <c r="D29" s="222">
        <f t="shared" si="0"/>
        <v>45</v>
      </c>
      <c r="E29" s="216">
        <v>40776</v>
      </c>
      <c r="F29" s="216">
        <f t="shared" si="1"/>
        <v>648074</v>
      </c>
      <c r="G29" s="216">
        <v>492420</v>
      </c>
      <c r="H29" s="216">
        <v>153654</v>
      </c>
      <c r="I29" s="216">
        <v>2000</v>
      </c>
      <c r="J29" s="223">
        <f t="shared" si="2"/>
        <v>688850</v>
      </c>
      <c r="K29" s="224">
        <f t="shared" si="3"/>
        <v>665237</v>
      </c>
      <c r="L29" s="216">
        <v>394363</v>
      </c>
      <c r="M29" s="216">
        <v>32663</v>
      </c>
      <c r="N29" s="216">
        <v>74631</v>
      </c>
      <c r="O29" s="216">
        <v>10215</v>
      </c>
      <c r="P29" s="216"/>
      <c r="Q29" s="216">
        <v>22728</v>
      </c>
      <c r="R29" s="216">
        <v>46459</v>
      </c>
      <c r="S29" s="216">
        <f t="shared" si="4"/>
        <v>84178</v>
      </c>
      <c r="T29" s="225">
        <v>23613</v>
      </c>
      <c r="U29" s="223">
        <f t="shared" si="5"/>
        <v>688850</v>
      </c>
      <c r="V29" s="226">
        <f t="shared" si="6"/>
        <v>574</v>
      </c>
    </row>
    <row r="30" spans="1:22" ht="12.75">
      <c r="A30" s="221" t="s">
        <v>271</v>
      </c>
      <c r="B30" s="222">
        <v>100</v>
      </c>
      <c r="C30" s="222">
        <v>89</v>
      </c>
      <c r="D30" s="222">
        <f t="shared" si="0"/>
        <v>11</v>
      </c>
      <c r="E30" s="216">
        <v>-2525</v>
      </c>
      <c r="F30" s="216">
        <f t="shared" si="1"/>
        <v>791604</v>
      </c>
      <c r="G30" s="216">
        <f>492096+1000</f>
        <v>493096</v>
      </c>
      <c r="H30" s="216">
        <v>297508</v>
      </c>
      <c r="I30" s="216">
        <v>1000</v>
      </c>
      <c r="J30" s="223">
        <f t="shared" si="2"/>
        <v>789079</v>
      </c>
      <c r="K30" s="224">
        <f t="shared" si="3"/>
        <v>777259</v>
      </c>
      <c r="L30" s="216">
        <v>448050</v>
      </c>
      <c r="M30" s="216">
        <v>37441</v>
      </c>
      <c r="N30" s="216">
        <v>85548</v>
      </c>
      <c r="O30" s="216">
        <v>11709</v>
      </c>
      <c r="P30" s="216"/>
      <c r="Q30" s="216">
        <v>25656</v>
      </c>
      <c r="R30" s="216">
        <v>59725</v>
      </c>
      <c r="S30" s="216">
        <f t="shared" si="4"/>
        <v>109130</v>
      </c>
      <c r="T30" s="225">
        <v>11820</v>
      </c>
      <c r="U30" s="223">
        <f t="shared" si="5"/>
        <v>789079</v>
      </c>
      <c r="V30" s="226">
        <f t="shared" si="6"/>
        <v>658</v>
      </c>
    </row>
    <row r="31" spans="1:22" ht="12.75">
      <c r="A31" s="221">
        <v>32</v>
      </c>
      <c r="B31" s="222">
        <v>140</v>
      </c>
      <c r="C31" s="222">
        <v>120</v>
      </c>
      <c r="D31" s="222">
        <f t="shared" si="0"/>
        <v>20</v>
      </c>
      <c r="E31" s="216">
        <v>-7143</v>
      </c>
      <c r="F31" s="216">
        <f t="shared" si="1"/>
        <v>996200</v>
      </c>
      <c r="G31" s="216">
        <f>654720+2000</f>
        <v>656720</v>
      </c>
      <c r="H31" s="216">
        <v>338480</v>
      </c>
      <c r="I31" s="216">
        <v>1000</v>
      </c>
      <c r="J31" s="223">
        <f t="shared" si="2"/>
        <v>989057</v>
      </c>
      <c r="K31" s="224">
        <f t="shared" si="3"/>
        <v>995005</v>
      </c>
      <c r="L31" s="216">
        <v>594159</v>
      </c>
      <c r="M31" s="216">
        <v>46918</v>
      </c>
      <c r="N31" s="216">
        <v>107203</v>
      </c>
      <c r="O31" s="216">
        <v>14673</v>
      </c>
      <c r="P31" s="216"/>
      <c r="Q31" s="216">
        <v>31052</v>
      </c>
      <c r="R31" s="216">
        <v>94000</v>
      </c>
      <c r="S31" s="216">
        <f t="shared" si="4"/>
        <v>107000</v>
      </c>
      <c r="T31" s="225">
        <v>-5948</v>
      </c>
      <c r="U31" s="223">
        <f t="shared" si="5"/>
        <v>989057</v>
      </c>
      <c r="V31" s="226">
        <f t="shared" si="6"/>
        <v>589</v>
      </c>
    </row>
    <row r="32" spans="1:22" ht="12.75">
      <c r="A32" s="221">
        <v>35</v>
      </c>
      <c r="B32" s="222">
        <v>106</v>
      </c>
      <c r="C32" s="222">
        <v>77</v>
      </c>
      <c r="D32" s="222">
        <f t="shared" si="0"/>
        <v>29</v>
      </c>
      <c r="E32" s="216">
        <v>1353</v>
      </c>
      <c r="F32" s="216">
        <f t="shared" si="1"/>
        <v>701842</v>
      </c>
      <c r="G32" s="216">
        <f>506640+1000</f>
        <v>507640</v>
      </c>
      <c r="H32" s="216">
        <v>189802</v>
      </c>
      <c r="I32" s="216">
        <v>4400</v>
      </c>
      <c r="J32" s="223">
        <f t="shared" si="2"/>
        <v>703195</v>
      </c>
      <c r="K32" s="224">
        <f t="shared" si="3"/>
        <v>701842</v>
      </c>
      <c r="L32" s="216">
        <v>411642</v>
      </c>
      <c r="M32" s="216">
        <v>32566</v>
      </c>
      <c r="N32" s="216">
        <v>78582</v>
      </c>
      <c r="O32" s="216">
        <v>10723</v>
      </c>
      <c r="P32" s="216">
        <v>3000</v>
      </c>
      <c r="Q32" s="216">
        <v>21635</v>
      </c>
      <c r="R32" s="216">
        <v>46076</v>
      </c>
      <c r="S32" s="216">
        <f t="shared" si="4"/>
        <v>97618</v>
      </c>
      <c r="T32" s="225">
        <v>1353</v>
      </c>
      <c r="U32" s="223">
        <f t="shared" si="5"/>
        <v>703195</v>
      </c>
      <c r="V32" s="226">
        <f t="shared" si="6"/>
        <v>553</v>
      </c>
    </row>
    <row r="33" spans="1:22" ht="12.75">
      <c r="A33" s="221">
        <v>36</v>
      </c>
      <c r="B33" s="222">
        <v>78</v>
      </c>
      <c r="C33" s="222">
        <v>64</v>
      </c>
      <c r="D33" s="222">
        <f t="shared" si="0"/>
        <v>14</v>
      </c>
      <c r="E33" s="216">
        <v>-14195</v>
      </c>
      <c r="F33" s="216">
        <f t="shared" si="1"/>
        <v>596352</v>
      </c>
      <c r="G33" s="216">
        <f>379152+25000+3000</f>
        <v>407152</v>
      </c>
      <c r="H33" s="216">
        <v>185200</v>
      </c>
      <c r="I33" s="216">
        <v>4000</v>
      </c>
      <c r="J33" s="223">
        <f t="shared" si="2"/>
        <v>582157</v>
      </c>
      <c r="K33" s="224">
        <f t="shared" si="3"/>
        <v>620143</v>
      </c>
      <c r="L33" s="216">
        <v>347664</v>
      </c>
      <c r="M33" s="216">
        <v>28684</v>
      </c>
      <c r="N33" s="216">
        <v>65540</v>
      </c>
      <c r="O33" s="216">
        <v>8971</v>
      </c>
      <c r="P33" s="216"/>
      <c r="Q33" s="216">
        <v>17784</v>
      </c>
      <c r="R33" s="216">
        <v>60000</v>
      </c>
      <c r="S33" s="216">
        <f t="shared" si="4"/>
        <v>91500</v>
      </c>
      <c r="T33" s="225">
        <v>-37986</v>
      </c>
      <c r="U33" s="223">
        <f t="shared" si="5"/>
        <v>582157</v>
      </c>
      <c r="V33" s="226">
        <f t="shared" si="6"/>
        <v>622</v>
      </c>
    </row>
    <row r="34" spans="1:22" ht="12.75">
      <c r="A34" s="221">
        <v>42</v>
      </c>
      <c r="B34" s="222">
        <v>100</v>
      </c>
      <c r="C34" s="222">
        <v>38</v>
      </c>
      <c r="D34" s="222">
        <f t="shared" si="0"/>
        <v>62</v>
      </c>
      <c r="E34" s="216">
        <v>26084</v>
      </c>
      <c r="F34" s="216">
        <f t="shared" si="1"/>
        <v>681111</v>
      </c>
      <c r="G34" s="216">
        <f>468552+35000</f>
        <v>503552</v>
      </c>
      <c r="H34" s="216">
        <v>175159</v>
      </c>
      <c r="I34" s="216">
        <v>2400</v>
      </c>
      <c r="J34" s="223">
        <f t="shared" si="2"/>
        <v>707195</v>
      </c>
      <c r="K34" s="224">
        <f t="shared" si="3"/>
        <v>679231</v>
      </c>
      <c r="L34" s="216">
        <v>346479</v>
      </c>
      <c r="M34" s="216">
        <v>27665</v>
      </c>
      <c r="N34" s="216">
        <v>66237</v>
      </c>
      <c r="O34" s="216">
        <v>9066</v>
      </c>
      <c r="P34" s="216">
        <v>2200</v>
      </c>
      <c r="Q34" s="216">
        <v>20346</v>
      </c>
      <c r="R34" s="216">
        <v>63377</v>
      </c>
      <c r="S34" s="216">
        <f t="shared" si="4"/>
        <v>143861</v>
      </c>
      <c r="T34" s="225">
        <v>27964</v>
      </c>
      <c r="U34" s="223">
        <f t="shared" si="5"/>
        <v>707195</v>
      </c>
      <c r="V34" s="226">
        <f t="shared" si="6"/>
        <v>589</v>
      </c>
    </row>
    <row r="35" spans="1:22" ht="12.75">
      <c r="A35" s="221">
        <v>43</v>
      </c>
      <c r="B35" s="222">
        <v>114</v>
      </c>
      <c r="C35" s="222">
        <v>64</v>
      </c>
      <c r="D35" s="222">
        <f t="shared" si="0"/>
        <v>50</v>
      </c>
      <c r="E35" s="216">
        <v>-2373</v>
      </c>
      <c r="F35" s="216">
        <f t="shared" si="1"/>
        <v>734647</v>
      </c>
      <c r="G35" s="216">
        <v>528624</v>
      </c>
      <c r="H35" s="216">
        <v>204323</v>
      </c>
      <c r="I35" s="216">
        <v>1700</v>
      </c>
      <c r="J35" s="223">
        <f t="shared" si="2"/>
        <v>732274</v>
      </c>
      <c r="K35" s="224">
        <f t="shared" si="3"/>
        <v>731274</v>
      </c>
      <c r="L35" s="216">
        <v>390414</v>
      </c>
      <c r="M35" s="216">
        <v>32732</v>
      </c>
      <c r="N35" s="216">
        <v>74788</v>
      </c>
      <c r="O35" s="216">
        <v>10236</v>
      </c>
      <c r="P35" s="216"/>
      <c r="Q35" s="216">
        <v>21821</v>
      </c>
      <c r="R35" s="216">
        <v>68340</v>
      </c>
      <c r="S35" s="216">
        <f t="shared" si="4"/>
        <v>132943</v>
      </c>
      <c r="T35" s="225">
        <v>1000</v>
      </c>
      <c r="U35" s="223">
        <f t="shared" si="5"/>
        <v>732274</v>
      </c>
      <c r="V35" s="226">
        <f t="shared" si="6"/>
        <v>535</v>
      </c>
    </row>
    <row r="36" spans="1:22" ht="12.75">
      <c r="A36" s="221">
        <v>44</v>
      </c>
      <c r="B36" s="222">
        <v>196</v>
      </c>
      <c r="C36" s="222">
        <v>180</v>
      </c>
      <c r="D36" s="222">
        <f t="shared" si="0"/>
        <v>16</v>
      </c>
      <c r="E36" s="216">
        <v>25108</v>
      </c>
      <c r="F36" s="216">
        <f t="shared" si="1"/>
        <v>1343447</v>
      </c>
      <c r="G36" s="216">
        <v>856992</v>
      </c>
      <c r="H36" s="216">
        <v>480255</v>
      </c>
      <c r="I36" s="216">
        <v>6200</v>
      </c>
      <c r="J36" s="223">
        <f t="shared" si="2"/>
        <v>1368555</v>
      </c>
      <c r="K36" s="224">
        <f t="shared" si="3"/>
        <v>1362832</v>
      </c>
      <c r="L36" s="216">
        <v>755048</v>
      </c>
      <c r="M36" s="216">
        <v>62090</v>
      </c>
      <c r="N36" s="216">
        <v>144887</v>
      </c>
      <c r="O36" s="216">
        <v>19831</v>
      </c>
      <c r="P36" s="216">
        <v>3400</v>
      </c>
      <c r="Q36" s="216">
        <v>42268</v>
      </c>
      <c r="R36" s="216">
        <v>144000</v>
      </c>
      <c r="S36" s="216">
        <f t="shared" si="4"/>
        <v>191308</v>
      </c>
      <c r="T36" s="225">
        <v>5723</v>
      </c>
      <c r="U36" s="223">
        <f t="shared" si="5"/>
        <v>1368555</v>
      </c>
      <c r="V36" s="226">
        <f t="shared" si="6"/>
        <v>582</v>
      </c>
    </row>
    <row r="37" spans="1:22" ht="12.75">
      <c r="A37" s="221">
        <v>46</v>
      </c>
      <c r="B37" s="222">
        <v>156</v>
      </c>
      <c r="C37" s="222">
        <v>106</v>
      </c>
      <c r="D37" s="222">
        <f t="shared" si="0"/>
        <v>50</v>
      </c>
      <c r="E37" s="216">
        <v>5257</v>
      </c>
      <c r="F37" s="216">
        <f t="shared" si="1"/>
        <v>1006317</v>
      </c>
      <c r="G37" s="216">
        <v>712584</v>
      </c>
      <c r="H37" s="216">
        <v>293733</v>
      </c>
      <c r="I37" s="216">
        <v>0</v>
      </c>
      <c r="J37" s="223">
        <f t="shared" si="2"/>
        <v>1011574</v>
      </c>
      <c r="K37" s="224">
        <f t="shared" si="3"/>
        <v>977094</v>
      </c>
      <c r="L37" s="216">
        <v>547341</v>
      </c>
      <c r="M37" s="216">
        <v>44937</v>
      </c>
      <c r="N37" s="216">
        <v>102675</v>
      </c>
      <c r="O37" s="216">
        <v>14053</v>
      </c>
      <c r="P37" s="216"/>
      <c r="Q37" s="216">
        <v>31141</v>
      </c>
      <c r="R37" s="216">
        <v>90447</v>
      </c>
      <c r="S37" s="216">
        <f t="shared" si="4"/>
        <v>146500</v>
      </c>
      <c r="T37" s="225">
        <v>34480</v>
      </c>
      <c r="U37" s="223">
        <f t="shared" si="5"/>
        <v>1011574</v>
      </c>
      <c r="V37" s="226">
        <f t="shared" si="6"/>
        <v>540</v>
      </c>
    </row>
    <row r="38" spans="1:22" ht="12.75">
      <c r="A38" s="221">
        <v>47</v>
      </c>
      <c r="B38" s="222">
        <v>100</v>
      </c>
      <c r="C38" s="222">
        <v>86</v>
      </c>
      <c r="D38" s="222">
        <f t="shared" si="0"/>
        <v>14</v>
      </c>
      <c r="E38" s="216">
        <v>44477</v>
      </c>
      <c r="F38" s="216">
        <f t="shared" si="1"/>
        <v>704563</v>
      </c>
      <c r="G38" s="216">
        <v>489504</v>
      </c>
      <c r="H38" s="216">
        <v>212759</v>
      </c>
      <c r="I38" s="216">
        <v>2300</v>
      </c>
      <c r="J38" s="223">
        <f t="shared" si="2"/>
        <v>749040</v>
      </c>
      <c r="K38" s="224">
        <f t="shared" si="3"/>
        <v>708189</v>
      </c>
      <c r="L38" s="216">
        <v>435662</v>
      </c>
      <c r="M38" s="216">
        <v>33098</v>
      </c>
      <c r="N38" s="216">
        <v>75625</v>
      </c>
      <c r="O38" s="216">
        <v>10351</v>
      </c>
      <c r="P38" s="216">
        <v>1500</v>
      </c>
      <c r="Q38" s="216">
        <v>22536</v>
      </c>
      <c r="R38" s="216">
        <v>52110</v>
      </c>
      <c r="S38" s="216">
        <f t="shared" si="4"/>
        <v>77307</v>
      </c>
      <c r="T38" s="225">
        <v>40851</v>
      </c>
      <c r="U38" s="223">
        <f t="shared" si="5"/>
        <v>749040</v>
      </c>
      <c r="V38" s="226">
        <f t="shared" si="6"/>
        <v>624</v>
      </c>
    </row>
    <row r="39" spans="1:22" ht="12.75">
      <c r="A39" s="221">
        <v>48</v>
      </c>
      <c r="B39" s="222">
        <v>175</v>
      </c>
      <c r="C39" s="222">
        <v>101</v>
      </c>
      <c r="D39" s="222">
        <f t="shared" si="0"/>
        <v>74</v>
      </c>
      <c r="E39" s="216">
        <v>28169</v>
      </c>
      <c r="F39" s="216">
        <f t="shared" si="1"/>
        <v>1109708</v>
      </c>
      <c r="G39" s="216">
        <v>788412</v>
      </c>
      <c r="H39" s="216">
        <v>318196</v>
      </c>
      <c r="I39" s="216">
        <v>3100</v>
      </c>
      <c r="J39" s="223">
        <f t="shared" si="2"/>
        <v>1137877</v>
      </c>
      <c r="K39" s="224">
        <f t="shared" si="3"/>
        <v>1113847</v>
      </c>
      <c r="L39" s="216">
        <v>607425</v>
      </c>
      <c r="M39" s="216">
        <v>43345</v>
      </c>
      <c r="N39" s="216">
        <v>110140</v>
      </c>
      <c r="O39" s="216">
        <v>15075</v>
      </c>
      <c r="P39" s="216">
        <v>2500</v>
      </c>
      <c r="Q39" s="216">
        <v>36618</v>
      </c>
      <c r="R39" s="216">
        <v>97943</v>
      </c>
      <c r="S39" s="216">
        <f t="shared" si="4"/>
        <v>200801</v>
      </c>
      <c r="T39" s="225">
        <v>24030</v>
      </c>
      <c r="U39" s="223">
        <f t="shared" si="5"/>
        <v>1137877</v>
      </c>
      <c r="V39" s="226">
        <f t="shared" si="6"/>
        <v>542</v>
      </c>
    </row>
    <row r="40" spans="1:22" ht="12.75">
      <c r="A40" s="221">
        <v>49</v>
      </c>
      <c r="B40" s="222">
        <v>109</v>
      </c>
      <c r="C40" s="222">
        <v>97</v>
      </c>
      <c r="D40" s="222">
        <f t="shared" si="0"/>
        <v>12</v>
      </c>
      <c r="E40" s="216">
        <v>-26326</v>
      </c>
      <c r="F40" s="216">
        <f t="shared" si="1"/>
        <v>764500</v>
      </c>
      <c r="G40" s="216">
        <f>511932+1000</f>
        <v>512932</v>
      </c>
      <c r="H40" s="216">
        <v>250500</v>
      </c>
      <c r="I40" s="216">
        <v>1068</v>
      </c>
      <c r="J40" s="223">
        <f t="shared" si="2"/>
        <v>738174</v>
      </c>
      <c r="K40" s="224">
        <f t="shared" si="3"/>
        <v>827150</v>
      </c>
      <c r="L40" s="216">
        <v>502407</v>
      </c>
      <c r="M40" s="216">
        <v>38940</v>
      </c>
      <c r="N40" s="216">
        <v>88970</v>
      </c>
      <c r="O40" s="216">
        <v>12180</v>
      </c>
      <c r="P40" s="216"/>
      <c r="Q40" s="216">
        <v>26406</v>
      </c>
      <c r="R40" s="216">
        <v>59800</v>
      </c>
      <c r="S40" s="216">
        <f t="shared" si="4"/>
        <v>98447</v>
      </c>
      <c r="T40" s="225">
        <v>-88976</v>
      </c>
      <c r="U40" s="223">
        <f t="shared" si="5"/>
        <v>738174</v>
      </c>
      <c r="V40" s="226">
        <f t="shared" si="6"/>
        <v>564</v>
      </c>
    </row>
    <row r="41" spans="1:22" ht="12.75">
      <c r="A41" s="221">
        <v>50</v>
      </c>
      <c r="B41" s="222">
        <v>140</v>
      </c>
      <c r="C41" s="222">
        <v>135</v>
      </c>
      <c r="D41" s="222">
        <f t="shared" si="0"/>
        <v>5</v>
      </c>
      <c r="E41" s="216">
        <v>53625</v>
      </c>
      <c r="F41" s="216">
        <f t="shared" si="1"/>
        <v>967720</v>
      </c>
      <c r="G41" s="216">
        <f>613680+2000</f>
        <v>615680</v>
      </c>
      <c r="H41" s="216">
        <v>346040</v>
      </c>
      <c r="I41" s="216">
        <v>6000</v>
      </c>
      <c r="J41" s="223">
        <f t="shared" si="2"/>
        <v>1021345</v>
      </c>
      <c r="K41" s="224">
        <f t="shared" si="3"/>
        <v>1015307</v>
      </c>
      <c r="L41" s="216">
        <v>583927</v>
      </c>
      <c r="M41" s="216">
        <v>45920</v>
      </c>
      <c r="N41" s="216">
        <v>104170</v>
      </c>
      <c r="O41" s="216">
        <v>13642</v>
      </c>
      <c r="P41" s="216">
        <v>3000</v>
      </c>
      <c r="Q41" s="216">
        <v>29148</v>
      </c>
      <c r="R41" s="216">
        <v>77600</v>
      </c>
      <c r="S41" s="216">
        <f t="shared" si="4"/>
        <v>157900</v>
      </c>
      <c r="T41" s="225">
        <v>6038</v>
      </c>
      <c r="U41" s="223">
        <f t="shared" si="5"/>
        <v>1021345</v>
      </c>
      <c r="V41" s="226">
        <f t="shared" si="6"/>
        <v>608</v>
      </c>
    </row>
    <row r="42" spans="1:22" ht="12.75">
      <c r="A42" s="227">
        <v>51</v>
      </c>
      <c r="B42" s="222">
        <v>104</v>
      </c>
      <c r="C42" s="222">
        <v>98</v>
      </c>
      <c r="D42" s="222">
        <f t="shared" si="0"/>
        <v>6</v>
      </c>
      <c r="E42" s="216">
        <v>-1986</v>
      </c>
      <c r="F42" s="216">
        <f t="shared" si="1"/>
        <v>745844</v>
      </c>
      <c r="G42" s="216">
        <v>491784</v>
      </c>
      <c r="H42" s="216">
        <v>253100</v>
      </c>
      <c r="I42" s="216">
        <v>960</v>
      </c>
      <c r="J42" s="223">
        <f t="shared" si="2"/>
        <v>743858</v>
      </c>
      <c r="K42" s="224">
        <f t="shared" si="3"/>
        <v>745732</v>
      </c>
      <c r="L42" s="216">
        <v>445221</v>
      </c>
      <c r="M42" s="216">
        <v>34446</v>
      </c>
      <c r="N42" s="216">
        <v>82518</v>
      </c>
      <c r="O42" s="216">
        <v>11294</v>
      </c>
      <c r="P42" s="216">
        <v>2000</v>
      </c>
      <c r="Q42" s="216">
        <v>25571</v>
      </c>
      <c r="R42" s="216">
        <v>66417</v>
      </c>
      <c r="S42" s="216">
        <f t="shared" si="4"/>
        <v>78265</v>
      </c>
      <c r="T42" s="225">
        <v>-1874</v>
      </c>
      <c r="U42" s="223">
        <f t="shared" si="5"/>
        <v>743858</v>
      </c>
      <c r="V42" s="224">
        <f t="shared" si="6"/>
        <v>596</v>
      </c>
    </row>
    <row r="43" spans="1:22" ht="13.5" thickBot="1">
      <c r="A43" s="228">
        <v>52</v>
      </c>
      <c r="B43" s="229">
        <v>106</v>
      </c>
      <c r="C43" s="229">
        <v>87</v>
      </c>
      <c r="D43" s="229">
        <f t="shared" si="0"/>
        <v>19</v>
      </c>
      <c r="E43" s="230">
        <v>1984</v>
      </c>
      <c r="F43" s="230">
        <f t="shared" si="1"/>
        <v>748687</v>
      </c>
      <c r="G43" s="230">
        <v>515280</v>
      </c>
      <c r="H43" s="230">
        <v>232317</v>
      </c>
      <c r="I43" s="230">
        <v>1090</v>
      </c>
      <c r="J43" s="231">
        <f t="shared" si="2"/>
        <v>750671</v>
      </c>
      <c r="K43" s="232">
        <f t="shared" si="3"/>
        <v>748539</v>
      </c>
      <c r="L43" s="230">
        <v>408030</v>
      </c>
      <c r="M43" s="230">
        <v>31722</v>
      </c>
      <c r="N43" s="230">
        <v>76603</v>
      </c>
      <c r="O43" s="230">
        <v>10485</v>
      </c>
      <c r="P43" s="230">
        <v>5000</v>
      </c>
      <c r="Q43" s="230">
        <v>22823</v>
      </c>
      <c r="R43" s="230">
        <v>62175</v>
      </c>
      <c r="S43" s="216">
        <f t="shared" si="4"/>
        <v>131701</v>
      </c>
      <c r="T43" s="233">
        <v>2132</v>
      </c>
      <c r="U43" s="231">
        <f t="shared" si="5"/>
        <v>750671</v>
      </c>
      <c r="V43" s="232">
        <f t="shared" si="6"/>
        <v>590</v>
      </c>
    </row>
    <row r="44" spans="1:22" ht="13.5" thickBot="1">
      <c r="A44" s="234">
        <v>85404</v>
      </c>
      <c r="B44" s="235">
        <f aca="true" t="shared" si="7" ref="B44:U44">SUM(B7:B43)</f>
        <v>4204</v>
      </c>
      <c r="C44" s="235">
        <f t="shared" si="7"/>
        <v>3401</v>
      </c>
      <c r="D44" s="235">
        <f t="shared" si="7"/>
        <v>803</v>
      </c>
      <c r="E44" s="236">
        <f t="shared" si="7"/>
        <v>267426</v>
      </c>
      <c r="F44" s="236">
        <f t="shared" si="7"/>
        <v>29213447</v>
      </c>
      <c r="G44" s="236">
        <f t="shared" si="7"/>
        <v>20060860</v>
      </c>
      <c r="H44" s="236">
        <f t="shared" si="7"/>
        <v>9066693</v>
      </c>
      <c r="I44" s="236">
        <f t="shared" si="7"/>
        <v>85894</v>
      </c>
      <c r="J44" s="236">
        <f t="shared" si="7"/>
        <v>29480873</v>
      </c>
      <c r="K44" s="236">
        <f t="shared" si="7"/>
        <v>29558737</v>
      </c>
      <c r="L44" s="236">
        <f t="shared" si="7"/>
        <v>16862929</v>
      </c>
      <c r="M44" s="236">
        <f t="shared" si="7"/>
        <v>1356028</v>
      </c>
      <c r="N44" s="236">
        <f t="shared" si="7"/>
        <v>3144470</v>
      </c>
      <c r="O44" s="236">
        <f t="shared" si="7"/>
        <v>429741</v>
      </c>
      <c r="P44" s="236">
        <f t="shared" si="7"/>
        <v>41380</v>
      </c>
      <c r="Q44" s="236">
        <f t="shared" si="7"/>
        <v>937880</v>
      </c>
      <c r="R44" s="236">
        <f t="shared" si="7"/>
        <v>2500050</v>
      </c>
      <c r="S44" s="236">
        <f t="shared" si="7"/>
        <v>4286259</v>
      </c>
      <c r="T44" s="236">
        <f t="shared" si="7"/>
        <v>-77864</v>
      </c>
      <c r="U44" s="236">
        <f t="shared" si="7"/>
        <v>29480873</v>
      </c>
      <c r="V44" s="237">
        <f t="shared" si="6"/>
        <v>584</v>
      </c>
    </row>
    <row r="45" spans="1:22" ht="12.75">
      <c r="A45" s="238" t="s">
        <v>272</v>
      </c>
      <c r="B45" s="239"/>
      <c r="C45" s="239"/>
      <c r="D45" s="240"/>
      <c r="E45" s="242"/>
      <c r="F45" s="243">
        <v>17800</v>
      </c>
      <c r="G45" s="244">
        <v>17800</v>
      </c>
      <c r="H45" s="215"/>
      <c r="I45" s="215"/>
      <c r="J45" s="245">
        <v>17800</v>
      </c>
      <c r="K45" s="245">
        <v>17800</v>
      </c>
      <c r="L45" s="245">
        <v>17800</v>
      </c>
      <c r="M45" s="215"/>
      <c r="N45" s="218"/>
      <c r="O45" s="218"/>
      <c r="P45" s="218"/>
      <c r="Q45" s="215"/>
      <c r="R45" s="215"/>
      <c r="S45" s="219"/>
      <c r="T45" s="219"/>
      <c r="U45" s="246">
        <v>17800</v>
      </c>
      <c r="V45" s="215"/>
    </row>
    <row r="46" spans="1:22" ht="12.75">
      <c r="A46" s="238" t="s">
        <v>273</v>
      </c>
      <c r="B46" s="239"/>
      <c r="C46" s="239"/>
      <c r="D46" s="240"/>
      <c r="E46" s="242"/>
      <c r="F46" s="243">
        <v>188200</v>
      </c>
      <c r="G46" s="244">
        <v>188200</v>
      </c>
      <c r="H46" s="215"/>
      <c r="I46" s="215"/>
      <c r="J46" s="245">
        <v>188200</v>
      </c>
      <c r="K46" s="245">
        <v>188200</v>
      </c>
      <c r="L46" s="245">
        <v>188200</v>
      </c>
      <c r="M46" s="215"/>
      <c r="N46" s="218"/>
      <c r="O46" s="218"/>
      <c r="P46" s="218"/>
      <c r="Q46" s="215"/>
      <c r="R46" s="215"/>
      <c r="S46" s="247"/>
      <c r="T46" s="219"/>
      <c r="U46" s="248">
        <v>188200</v>
      </c>
      <c r="V46" s="215"/>
    </row>
    <row r="47" spans="1:22" ht="12.75">
      <c r="A47" s="238" t="s">
        <v>274</v>
      </c>
      <c r="B47" s="239"/>
      <c r="C47" s="239"/>
      <c r="D47" s="240"/>
      <c r="E47" s="242"/>
      <c r="F47" s="243">
        <v>4200</v>
      </c>
      <c r="G47" s="244">
        <v>4200</v>
      </c>
      <c r="H47" s="215"/>
      <c r="I47" s="215"/>
      <c r="J47" s="245">
        <v>4200</v>
      </c>
      <c r="K47" s="245">
        <v>4200</v>
      </c>
      <c r="L47" s="245"/>
      <c r="M47" s="215"/>
      <c r="N47" s="218"/>
      <c r="O47" s="218"/>
      <c r="P47" s="218"/>
      <c r="Q47" s="215"/>
      <c r="R47" s="215"/>
      <c r="S47" s="247">
        <v>4200</v>
      </c>
      <c r="T47" s="219"/>
      <c r="U47" s="248">
        <v>4200</v>
      </c>
      <c r="V47" s="215"/>
    </row>
    <row r="48" spans="1:22" ht="23.25" customHeight="1">
      <c r="A48" s="277" t="s">
        <v>224</v>
      </c>
      <c r="B48" s="278"/>
      <c r="C48" s="278"/>
      <c r="D48" s="278"/>
      <c r="E48" s="279"/>
      <c r="F48" s="243"/>
      <c r="G48" s="244">
        <v>101000</v>
      </c>
      <c r="H48" s="215"/>
      <c r="I48" s="215"/>
      <c r="J48" s="245"/>
      <c r="K48" s="245"/>
      <c r="L48" s="245"/>
      <c r="M48" s="215"/>
      <c r="N48" s="218"/>
      <c r="O48" s="218"/>
      <c r="P48" s="218"/>
      <c r="Q48" s="215"/>
      <c r="R48" s="215"/>
      <c r="S48" s="247"/>
      <c r="T48" s="219"/>
      <c r="U48" s="248"/>
      <c r="V48" s="215"/>
    </row>
    <row r="49" spans="1:22" ht="20.25" customHeight="1">
      <c r="A49" s="274" t="s">
        <v>280</v>
      </c>
      <c r="B49" s="275"/>
      <c r="C49" s="275"/>
      <c r="D49" s="275"/>
      <c r="E49" s="276"/>
      <c r="F49" s="243"/>
      <c r="G49" s="244">
        <v>78420</v>
      </c>
      <c r="H49" s="215"/>
      <c r="I49" s="215"/>
      <c r="J49" s="245"/>
      <c r="K49" s="245"/>
      <c r="L49" s="245"/>
      <c r="M49" s="215"/>
      <c r="N49" s="218"/>
      <c r="O49" s="218"/>
      <c r="P49" s="218"/>
      <c r="Q49" s="215"/>
      <c r="R49" s="215"/>
      <c r="S49" s="247"/>
      <c r="T49" s="219"/>
      <c r="U49" s="248"/>
      <c r="V49" s="215"/>
    </row>
    <row r="50" spans="1:22" ht="17.25" customHeight="1">
      <c r="A50" s="274" t="s">
        <v>223</v>
      </c>
      <c r="B50" s="275"/>
      <c r="C50" s="275"/>
      <c r="D50" s="275"/>
      <c r="E50" s="276"/>
      <c r="F50" s="243"/>
      <c r="G50" s="244">
        <f>524947+563616</f>
        <v>1088563</v>
      </c>
      <c r="H50" s="215"/>
      <c r="I50" s="215"/>
      <c r="J50" s="245"/>
      <c r="K50" s="245"/>
      <c r="L50" s="245"/>
      <c r="M50" s="215"/>
      <c r="N50" s="218"/>
      <c r="O50" s="218"/>
      <c r="P50" s="218"/>
      <c r="Q50" s="215"/>
      <c r="R50" s="215"/>
      <c r="S50" s="247"/>
      <c r="T50" s="219"/>
      <c r="U50" s="248"/>
      <c r="V50" s="215"/>
    </row>
    <row r="51" spans="1:22" ht="12.75">
      <c r="A51" s="227"/>
      <c r="B51" s="222" t="s">
        <v>275</v>
      </c>
      <c r="C51" s="222"/>
      <c r="D51" s="227" t="s">
        <v>276</v>
      </c>
      <c r="E51" s="222"/>
      <c r="F51" s="249">
        <f>F44+F45+F46+F47</f>
        <v>29423647</v>
      </c>
      <c r="G51" s="249">
        <f>SUM(G44:G50)</f>
        <v>21539043</v>
      </c>
      <c r="H51" s="222"/>
      <c r="I51" s="222"/>
      <c r="J51" s="224">
        <f>J44+J45+J46+J47</f>
        <v>29691073</v>
      </c>
      <c r="K51" s="224">
        <f>K44+K45+K46+K47</f>
        <v>29768937</v>
      </c>
      <c r="L51" s="224">
        <f>L44+L45+L46</f>
        <v>17068929</v>
      </c>
      <c r="M51" s="224"/>
      <c r="N51" s="224"/>
      <c r="O51" s="224"/>
      <c r="P51" s="224"/>
      <c r="Q51" s="224"/>
      <c r="R51" s="224"/>
      <c r="S51" s="224">
        <f>S44+S45+S46+S47</f>
        <v>4290459</v>
      </c>
      <c r="T51" s="224"/>
      <c r="U51" s="223">
        <f>U44+U45+U46+U47</f>
        <v>29691073</v>
      </c>
      <c r="V51" s="222"/>
    </row>
    <row r="53" spans="7:11" ht="12.75">
      <c r="G53" s="250"/>
      <c r="K53" s="251"/>
    </row>
    <row r="54" ht="12.75">
      <c r="G54" s="252"/>
    </row>
    <row r="56" ht="12.75">
      <c r="S56" s="253"/>
    </row>
  </sheetData>
  <mergeCells count="14">
    <mergeCell ref="A50:E50"/>
    <mergeCell ref="A49:E49"/>
    <mergeCell ref="A48:E48"/>
    <mergeCell ref="C3:D4"/>
    <mergeCell ref="A3:A6"/>
    <mergeCell ref="B3:B6"/>
    <mergeCell ref="D5:D6"/>
    <mergeCell ref="U4:U6"/>
    <mergeCell ref="K5:K6"/>
    <mergeCell ref="F5:F6"/>
    <mergeCell ref="G5:G6"/>
    <mergeCell ref="H5:H6"/>
    <mergeCell ref="J5:J6"/>
    <mergeCell ref="S5:S6"/>
  </mergeCells>
  <printOptions/>
  <pageMargins left="0.54" right="0.3937007874015748" top="0.94" bottom="0.79" header="0.5118110236220472" footer="0.2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2"/>
  <sheetViews>
    <sheetView workbookViewId="0" topLeftCell="A1">
      <pane xSplit="1" ySplit="3" topLeftCell="D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" sqref="E2"/>
    </sheetView>
  </sheetViews>
  <sheetFormatPr defaultColWidth="9.00390625" defaultRowHeight="12.75"/>
  <cols>
    <col min="1" max="1" width="14.00390625" style="131" customWidth="1"/>
    <col min="2" max="2" width="6.625" style="166" hidden="1" customWidth="1"/>
    <col min="3" max="3" width="1.12109375" style="126" hidden="1" customWidth="1"/>
    <col min="4" max="4" width="10.75390625" style="124" customWidth="1"/>
    <col min="5" max="5" width="6.875" style="126" customWidth="1"/>
    <col min="6" max="6" width="8.375" style="126" customWidth="1"/>
    <col min="7" max="7" width="11.625" style="126" hidden="1" customWidth="1"/>
    <col min="8" max="8" width="7.375" style="126" customWidth="1"/>
    <col min="9" max="9" width="7.125" style="126" customWidth="1"/>
    <col min="10" max="10" width="8.375" style="126" customWidth="1"/>
    <col min="11" max="11" width="6.00390625" style="126" customWidth="1"/>
    <col min="12" max="12" width="5.625" style="126" customWidth="1"/>
    <col min="13" max="13" width="6.375" style="126" customWidth="1"/>
    <col min="14" max="14" width="6.00390625" style="126" customWidth="1"/>
    <col min="15" max="15" width="5.75390625" style="126" customWidth="1"/>
    <col min="16" max="16" width="7.125" style="126" customWidth="1"/>
    <col min="17" max="17" width="6.375" style="126" customWidth="1"/>
    <col min="18" max="18" width="5.875" style="126" customWidth="1"/>
    <col min="19" max="19" width="7.25390625" style="126" customWidth="1"/>
    <col min="20" max="20" width="5.625" style="126" customWidth="1"/>
    <col min="21" max="21" width="6.625" style="126" customWidth="1"/>
    <col min="22" max="22" width="7.875" style="126" customWidth="1"/>
    <col min="23" max="23" width="6.125" style="126" customWidth="1"/>
    <col min="24" max="24" width="7.875" style="126" hidden="1" customWidth="1"/>
    <col min="25" max="16384" width="9.125" style="126" customWidth="1"/>
  </cols>
  <sheetData>
    <row r="1" spans="1:256" ht="12.7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 t="s">
        <v>277</v>
      </c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  <c r="FK1" s="185"/>
      <c r="FL1" s="185"/>
      <c r="FM1" s="185"/>
      <c r="FN1" s="185"/>
      <c r="FO1" s="185"/>
      <c r="FP1" s="185"/>
      <c r="FQ1" s="185"/>
      <c r="FR1" s="185"/>
      <c r="FS1" s="185"/>
      <c r="FT1" s="185"/>
      <c r="FU1" s="185"/>
      <c r="FV1" s="185"/>
      <c r="FW1" s="185"/>
      <c r="FX1" s="185"/>
      <c r="FY1" s="185"/>
      <c r="FZ1" s="185"/>
      <c r="GA1" s="185"/>
      <c r="GB1" s="185"/>
      <c r="GC1" s="185"/>
      <c r="GD1" s="185"/>
      <c r="GE1" s="185"/>
      <c r="GF1" s="185"/>
      <c r="GG1" s="185"/>
      <c r="GH1" s="185"/>
      <c r="GI1" s="185"/>
      <c r="GJ1" s="185"/>
      <c r="GK1" s="185"/>
      <c r="GL1" s="185"/>
      <c r="GM1" s="185"/>
      <c r="GN1" s="185"/>
      <c r="GO1" s="185"/>
      <c r="GP1" s="185"/>
      <c r="GQ1" s="185"/>
      <c r="GR1" s="185"/>
      <c r="GS1" s="185"/>
      <c r="GT1" s="185"/>
      <c r="GU1" s="185"/>
      <c r="GV1" s="185"/>
      <c r="GW1" s="185"/>
      <c r="GX1" s="185"/>
      <c r="GY1" s="185"/>
      <c r="GZ1" s="185"/>
      <c r="HA1" s="185"/>
      <c r="HB1" s="185"/>
      <c r="HC1" s="185"/>
      <c r="HD1" s="185"/>
      <c r="HE1" s="185"/>
      <c r="HF1" s="185"/>
      <c r="HG1" s="185"/>
      <c r="HH1" s="185"/>
      <c r="HI1" s="185"/>
      <c r="HJ1" s="185"/>
      <c r="HK1" s="185"/>
      <c r="HL1" s="185"/>
      <c r="HM1" s="185"/>
      <c r="HN1" s="185"/>
      <c r="HO1" s="185"/>
      <c r="HP1" s="185"/>
      <c r="HQ1" s="185"/>
      <c r="HR1" s="185"/>
      <c r="HS1" s="185"/>
      <c r="HT1" s="185"/>
      <c r="HU1" s="185"/>
      <c r="HV1" s="185"/>
      <c r="HW1" s="185"/>
      <c r="HX1" s="185"/>
      <c r="HY1" s="185"/>
      <c r="HZ1" s="185"/>
      <c r="IA1" s="185"/>
      <c r="IB1" s="185"/>
      <c r="IC1" s="185"/>
      <c r="ID1" s="185"/>
      <c r="IE1" s="185"/>
      <c r="IF1" s="185"/>
      <c r="IG1" s="185"/>
      <c r="IH1" s="185"/>
      <c r="II1" s="185"/>
      <c r="IJ1" s="185"/>
      <c r="IK1" s="185"/>
      <c r="IL1" s="185"/>
      <c r="IM1" s="185"/>
      <c r="IN1" s="185"/>
      <c r="IO1" s="185"/>
      <c r="IP1" s="185"/>
      <c r="IQ1" s="185"/>
      <c r="IR1" s="185"/>
      <c r="IS1" s="185"/>
      <c r="IT1" s="185"/>
      <c r="IU1" s="185"/>
      <c r="IV1" s="185"/>
    </row>
    <row r="2" spans="1:24" ht="25.5" customHeight="1">
      <c r="A2" s="121"/>
      <c r="B2" s="122"/>
      <c r="C2" s="123"/>
      <c r="E2" s="119" t="s">
        <v>283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</row>
    <row r="3" spans="1:24" s="131" customFormat="1" ht="35.25" customHeight="1">
      <c r="A3" s="127"/>
      <c r="B3" s="128" t="s">
        <v>98</v>
      </c>
      <c r="C3" s="129" t="s">
        <v>161</v>
      </c>
      <c r="D3" s="176" t="s">
        <v>103</v>
      </c>
      <c r="E3" s="130" t="s">
        <v>7</v>
      </c>
      <c r="F3" s="130" t="s">
        <v>3</v>
      </c>
      <c r="G3" s="130" t="s">
        <v>99</v>
      </c>
      <c r="H3" s="130" t="s">
        <v>4</v>
      </c>
      <c r="I3" s="130" t="s">
        <v>5</v>
      </c>
      <c r="J3" s="130" t="s">
        <v>6</v>
      </c>
      <c r="K3" s="130" t="s">
        <v>100</v>
      </c>
      <c r="L3" s="130" t="s">
        <v>147</v>
      </c>
      <c r="M3" s="130" t="s">
        <v>9</v>
      </c>
      <c r="N3" s="130" t="s">
        <v>81</v>
      </c>
      <c r="O3" s="130" t="s">
        <v>13</v>
      </c>
      <c r="P3" s="130" t="s">
        <v>10</v>
      </c>
      <c r="Q3" s="130" t="s">
        <v>11</v>
      </c>
      <c r="R3" s="130" t="s">
        <v>12</v>
      </c>
      <c r="S3" s="130" t="s">
        <v>218</v>
      </c>
      <c r="T3" s="130" t="s">
        <v>82</v>
      </c>
      <c r="U3" s="130" t="s">
        <v>101</v>
      </c>
      <c r="V3" s="130" t="s">
        <v>8</v>
      </c>
      <c r="W3" s="130" t="s">
        <v>165</v>
      </c>
      <c r="X3" s="129" t="s">
        <v>160</v>
      </c>
    </row>
    <row r="4" spans="1:24" ht="12.75">
      <c r="A4" s="132" t="s">
        <v>104</v>
      </c>
      <c r="B4" s="133">
        <v>722</v>
      </c>
      <c r="C4" s="134">
        <f aca="true" t="shared" si="0" ref="C4:C28">D4/12/B4</f>
        <v>332</v>
      </c>
      <c r="D4" s="135">
        <f>SUM(E4:W4)</f>
        <v>2880256</v>
      </c>
      <c r="E4" s="136">
        <v>2090</v>
      </c>
      <c r="F4" s="136">
        <f>2012520-45676</f>
        <v>1966844</v>
      </c>
      <c r="G4" s="136"/>
      <c r="H4" s="136">
        <v>164860</v>
      </c>
      <c r="I4" s="136">
        <v>377200</v>
      </c>
      <c r="J4" s="136">
        <v>51625</v>
      </c>
      <c r="K4" s="136"/>
      <c r="L4" s="136"/>
      <c r="M4" s="136">
        <f>10000+60000-60000</f>
        <v>10000</v>
      </c>
      <c r="N4" s="136">
        <v>5000</v>
      </c>
      <c r="O4" s="136"/>
      <c r="P4" s="136">
        <f>130000-5000+15000-15000</f>
        <v>125000</v>
      </c>
      <c r="Q4" s="136">
        <f>4000+15000+30000-15000</f>
        <v>34000</v>
      </c>
      <c r="R4" s="136">
        <f>14000+50000-50000</f>
        <v>14000</v>
      </c>
      <c r="S4" s="136">
        <v>5830</v>
      </c>
      <c r="T4" s="136"/>
      <c r="U4" s="136"/>
      <c r="V4" s="136">
        <v>123807</v>
      </c>
      <c r="W4" s="136"/>
      <c r="X4" s="135">
        <f>E4+L4+M4+O4+Q4+R4+S4+T4+U4+K4+N4</f>
        <v>70920</v>
      </c>
    </row>
    <row r="5" spans="1:24" ht="12.75">
      <c r="A5" s="132" t="s">
        <v>105</v>
      </c>
      <c r="B5" s="133">
        <v>345</v>
      </c>
      <c r="C5" s="134">
        <f t="shared" si="0"/>
        <v>348</v>
      </c>
      <c r="D5" s="135">
        <f aca="true" t="shared" si="1" ref="D5:D25">SUM(E5:W5)</f>
        <v>1439949</v>
      </c>
      <c r="E5" s="136">
        <v>2000</v>
      </c>
      <c r="F5" s="136">
        <f>922426-14600</f>
        <v>907826</v>
      </c>
      <c r="G5" s="136"/>
      <c r="H5" s="136">
        <v>72250</v>
      </c>
      <c r="I5" s="136">
        <v>173506</v>
      </c>
      <c r="J5" s="136">
        <v>23748</v>
      </c>
      <c r="K5" s="136"/>
      <c r="L5" s="136"/>
      <c r="M5" s="136">
        <f>158452+1900</f>
        <v>160352</v>
      </c>
      <c r="N5" s="136">
        <v>2100</v>
      </c>
      <c r="O5" s="136">
        <v>2500</v>
      </c>
      <c r="P5" s="136">
        <v>20300</v>
      </c>
      <c r="Q5" s="136"/>
      <c r="R5" s="136">
        <f>14000-456+2000</f>
        <v>15544</v>
      </c>
      <c r="S5" s="136"/>
      <c r="T5" s="136"/>
      <c r="U5" s="136"/>
      <c r="V5" s="136">
        <v>59823</v>
      </c>
      <c r="W5" s="136"/>
      <c r="X5" s="135">
        <f aca="true" t="shared" si="2" ref="X5:X10">E5+L5+M5+O5+Q5+R5+S5+T5+U5+K5+N5</f>
        <v>182496</v>
      </c>
    </row>
    <row r="6" spans="1:24" ht="12.75">
      <c r="A6" s="132" t="s">
        <v>106</v>
      </c>
      <c r="B6" s="133">
        <v>345</v>
      </c>
      <c r="C6" s="134">
        <f t="shared" si="0"/>
        <v>540</v>
      </c>
      <c r="D6" s="135">
        <f t="shared" si="1"/>
        <v>2236324</v>
      </c>
      <c r="E6" s="136">
        <v>600</v>
      </c>
      <c r="F6" s="136">
        <f>1493850-39389</f>
        <v>1454461</v>
      </c>
      <c r="G6" s="136"/>
      <c r="H6" s="136">
        <v>116543</v>
      </c>
      <c r="I6" s="136">
        <v>276067</v>
      </c>
      <c r="J6" s="136">
        <v>37786</v>
      </c>
      <c r="K6" s="136"/>
      <c r="L6" s="136"/>
      <c r="M6" s="136">
        <f>22556-9500+14000+1000-14000</f>
        <v>14056</v>
      </c>
      <c r="N6" s="136">
        <f>2000+1000+2000</f>
        <v>5000</v>
      </c>
      <c r="O6" s="136"/>
      <c r="P6" s="136">
        <f>159680+2750-2750</f>
        <v>159680</v>
      </c>
      <c r="Q6" s="136">
        <v>70000</v>
      </c>
      <c r="R6" s="136">
        <f>16300-9500+5000-5000</f>
        <v>6800</v>
      </c>
      <c r="S6" s="136">
        <v>2640</v>
      </c>
      <c r="T6" s="136">
        <v>400</v>
      </c>
      <c r="U6" s="136"/>
      <c r="V6" s="136">
        <v>92291</v>
      </c>
      <c r="W6" s="136"/>
      <c r="X6" s="135">
        <f t="shared" si="2"/>
        <v>99496</v>
      </c>
    </row>
    <row r="7" spans="1:24" ht="12.75">
      <c r="A7" s="132" t="s">
        <v>107</v>
      </c>
      <c r="B7" s="133">
        <v>550</v>
      </c>
      <c r="C7" s="134">
        <f t="shared" si="0"/>
        <v>408</v>
      </c>
      <c r="D7" s="135">
        <f t="shared" si="1"/>
        <v>2691038</v>
      </c>
      <c r="E7" s="136">
        <v>500</v>
      </c>
      <c r="F7" s="136">
        <v>1794393</v>
      </c>
      <c r="G7" s="136"/>
      <c r="H7" s="136">
        <v>131339</v>
      </c>
      <c r="I7" s="136">
        <v>341827</v>
      </c>
      <c r="J7" s="136">
        <v>46786</v>
      </c>
      <c r="K7" s="136">
        <v>7200</v>
      </c>
      <c r="L7" s="136"/>
      <c r="M7" s="136">
        <f>13619+8000+5000-8000</f>
        <v>18619</v>
      </c>
      <c r="N7" s="136">
        <f>1200+1000+3000-1000</f>
        <v>4200</v>
      </c>
      <c r="O7" s="136">
        <v>2000</v>
      </c>
      <c r="P7" s="136">
        <f>192850+2000-2000</f>
        <v>192850</v>
      </c>
      <c r="Q7" s="136">
        <f>22000+30000-22000</f>
        <v>30000</v>
      </c>
      <c r="R7" s="136">
        <f>16191+7000-7000</f>
        <v>16191</v>
      </c>
      <c r="S7" s="136">
        <v>870</v>
      </c>
      <c r="T7" s="136">
        <v>100</v>
      </c>
      <c r="U7" s="136"/>
      <c r="V7" s="136">
        <v>104163</v>
      </c>
      <c r="W7" s="136"/>
      <c r="X7" s="135">
        <f t="shared" si="2"/>
        <v>79680</v>
      </c>
    </row>
    <row r="8" spans="1:24" ht="12.75">
      <c r="A8" s="132" t="s">
        <v>108</v>
      </c>
      <c r="B8" s="133">
        <v>191</v>
      </c>
      <c r="C8" s="134">
        <f t="shared" si="0"/>
        <v>457</v>
      </c>
      <c r="D8" s="135">
        <f t="shared" si="1"/>
        <v>1046949</v>
      </c>
      <c r="E8" s="136"/>
      <c r="F8" s="136">
        <f>740146-11200</f>
        <v>728946</v>
      </c>
      <c r="G8" s="136"/>
      <c r="H8" s="136">
        <v>59075</v>
      </c>
      <c r="I8" s="136">
        <v>140868</v>
      </c>
      <c r="J8" s="136">
        <v>19281</v>
      </c>
      <c r="K8" s="136"/>
      <c r="L8" s="136"/>
      <c r="M8" s="136">
        <v>6500</v>
      </c>
      <c r="N8" s="136">
        <v>1500</v>
      </c>
      <c r="O8" s="136"/>
      <c r="P8" s="136">
        <v>33380</v>
      </c>
      <c r="Q8" s="136">
        <v>1961</v>
      </c>
      <c r="R8" s="136">
        <v>6500</v>
      </c>
      <c r="S8" s="136">
        <v>500</v>
      </c>
      <c r="T8" s="136"/>
      <c r="U8" s="136"/>
      <c r="V8" s="136">
        <v>48438</v>
      </c>
      <c r="W8" s="136"/>
      <c r="X8" s="135">
        <f t="shared" si="2"/>
        <v>16961</v>
      </c>
    </row>
    <row r="9" spans="1:24" ht="12.75">
      <c r="A9" s="132" t="s">
        <v>109</v>
      </c>
      <c r="B9" s="133">
        <v>120</v>
      </c>
      <c r="C9" s="134">
        <f t="shared" si="0"/>
        <v>534</v>
      </c>
      <c r="D9" s="135">
        <f t="shared" si="1"/>
        <v>768348</v>
      </c>
      <c r="E9" s="136">
        <v>800</v>
      </c>
      <c r="F9" s="136">
        <f>542189-16900</f>
        <v>525289</v>
      </c>
      <c r="G9" s="136"/>
      <c r="H9" s="136">
        <v>48267</v>
      </c>
      <c r="I9" s="136">
        <v>92917</v>
      </c>
      <c r="J9" s="136">
        <v>12718</v>
      </c>
      <c r="K9" s="136"/>
      <c r="L9" s="136"/>
      <c r="M9" s="136">
        <f>3256+6000-6000</f>
        <v>3256</v>
      </c>
      <c r="N9" s="136">
        <v>500</v>
      </c>
      <c r="O9" s="136">
        <v>1000</v>
      </c>
      <c r="P9" s="136">
        <f>48705+2000-2000</f>
        <v>48705</v>
      </c>
      <c r="Q9" s="136">
        <v>1000</v>
      </c>
      <c r="R9" s="136">
        <f>2900+6000-6000</f>
        <v>2900</v>
      </c>
      <c r="S9" s="136">
        <v>1200</v>
      </c>
      <c r="T9" s="136"/>
      <c r="U9" s="136"/>
      <c r="V9" s="136">
        <v>29796</v>
      </c>
      <c r="W9" s="136"/>
      <c r="X9" s="135">
        <f t="shared" si="2"/>
        <v>10656</v>
      </c>
    </row>
    <row r="10" spans="1:24" ht="12.75">
      <c r="A10" s="132" t="s">
        <v>110</v>
      </c>
      <c r="B10" s="133">
        <v>198</v>
      </c>
      <c r="C10" s="134">
        <f t="shared" si="0"/>
        <v>445</v>
      </c>
      <c r="D10" s="135">
        <f t="shared" si="1"/>
        <v>1056437</v>
      </c>
      <c r="E10" s="136">
        <v>2300</v>
      </c>
      <c r="F10" s="136">
        <f>793144-38671</f>
        <v>754473</v>
      </c>
      <c r="G10" s="136"/>
      <c r="H10" s="136">
        <v>56715</v>
      </c>
      <c r="I10" s="136">
        <v>144438</v>
      </c>
      <c r="J10" s="136">
        <v>19769</v>
      </c>
      <c r="K10" s="136"/>
      <c r="L10" s="136"/>
      <c r="M10" s="136">
        <v>6420</v>
      </c>
      <c r="N10" s="136">
        <v>1000</v>
      </c>
      <c r="O10" s="136">
        <v>700</v>
      </c>
      <c r="P10" s="136">
        <v>20700</v>
      </c>
      <c r="Q10" s="136">
        <v>1000</v>
      </c>
      <c r="R10" s="136">
        <v>5162</v>
      </c>
      <c r="S10" s="136"/>
      <c r="T10" s="136"/>
      <c r="U10" s="136">
        <v>1000</v>
      </c>
      <c r="V10" s="136">
        <v>42760</v>
      </c>
      <c r="W10" s="136"/>
      <c r="X10" s="135">
        <f t="shared" si="2"/>
        <v>17582</v>
      </c>
    </row>
    <row r="11" spans="1:24" ht="12.75">
      <c r="A11" s="132" t="s">
        <v>111</v>
      </c>
      <c r="B11" s="133">
        <v>300</v>
      </c>
      <c r="C11" s="134">
        <f t="shared" si="0"/>
        <v>415</v>
      </c>
      <c r="D11" s="135">
        <f t="shared" si="1"/>
        <v>1495368</v>
      </c>
      <c r="E11" s="136">
        <v>1000</v>
      </c>
      <c r="F11" s="136">
        <f>1017493-31676</f>
        <v>985817</v>
      </c>
      <c r="G11" s="136"/>
      <c r="H11" s="136">
        <v>83197</v>
      </c>
      <c r="I11" s="136">
        <v>187429</v>
      </c>
      <c r="J11" s="136">
        <v>25654</v>
      </c>
      <c r="K11" s="136"/>
      <c r="L11" s="136"/>
      <c r="M11" s="136">
        <v>10790</v>
      </c>
      <c r="N11" s="136">
        <f>2500+3000</f>
        <v>5500</v>
      </c>
      <c r="O11" s="136">
        <v>1000</v>
      </c>
      <c r="P11" s="136">
        <v>60831</v>
      </c>
      <c r="Q11" s="136">
        <f>3500+60000</f>
        <v>63500</v>
      </c>
      <c r="R11" s="136">
        <v>6000</v>
      </c>
      <c r="S11" s="136">
        <v>1500</v>
      </c>
      <c r="T11" s="136">
        <v>350</v>
      </c>
      <c r="U11" s="136"/>
      <c r="V11" s="136">
        <v>62800</v>
      </c>
      <c r="W11" s="136"/>
      <c r="X11" s="135">
        <f aca="true" t="shared" si="3" ref="X11:X25">E11+L11+M11+O11+Q11+R11+S11+T11+U11+K11+N11</f>
        <v>89640</v>
      </c>
    </row>
    <row r="12" spans="1:24" ht="12.75">
      <c r="A12" s="132" t="s">
        <v>112</v>
      </c>
      <c r="B12" s="133">
        <v>154</v>
      </c>
      <c r="C12" s="134">
        <f t="shared" si="0"/>
        <v>482</v>
      </c>
      <c r="D12" s="135">
        <f t="shared" si="1"/>
        <v>891640</v>
      </c>
      <c r="E12" s="136">
        <v>2000</v>
      </c>
      <c r="F12" s="136">
        <f>616754-10725</f>
        <v>606029</v>
      </c>
      <c r="G12" s="136"/>
      <c r="H12" s="136">
        <v>54969</v>
      </c>
      <c r="I12" s="136">
        <v>116368</v>
      </c>
      <c r="J12" s="136">
        <v>15928</v>
      </c>
      <c r="K12" s="136">
        <v>6800</v>
      </c>
      <c r="L12" s="136">
        <v>1000</v>
      </c>
      <c r="M12" s="136">
        <f>2000-666</f>
        <v>1334</v>
      </c>
      <c r="N12" s="136">
        <v>2000</v>
      </c>
      <c r="O12" s="136">
        <v>1500</v>
      </c>
      <c r="P12" s="136">
        <v>38824</v>
      </c>
      <c r="Q12" s="136">
        <v>2000</v>
      </c>
      <c r="R12" s="136">
        <f>2000-666</f>
        <v>1334</v>
      </c>
      <c r="S12" s="136">
        <v>1000</v>
      </c>
      <c r="T12" s="136">
        <v>507</v>
      </c>
      <c r="U12" s="136">
        <v>1000</v>
      </c>
      <c r="V12" s="136">
        <v>39047</v>
      </c>
      <c r="W12" s="136"/>
      <c r="X12" s="135">
        <f t="shared" si="3"/>
        <v>20475</v>
      </c>
    </row>
    <row r="13" spans="1:24" ht="12.75">
      <c r="A13" s="132" t="s">
        <v>113</v>
      </c>
      <c r="B13" s="133">
        <v>447</v>
      </c>
      <c r="C13" s="134">
        <f t="shared" si="0"/>
        <v>340</v>
      </c>
      <c r="D13" s="135">
        <f t="shared" si="1"/>
        <v>1824297</v>
      </c>
      <c r="E13" s="136">
        <v>1800</v>
      </c>
      <c r="F13" s="136">
        <f>1298930-37868</f>
        <v>1261062</v>
      </c>
      <c r="G13" s="136"/>
      <c r="H13" s="136">
        <v>100675</v>
      </c>
      <c r="I13" s="136">
        <v>239480</v>
      </c>
      <c r="J13" s="136">
        <v>32778</v>
      </c>
      <c r="K13" s="136"/>
      <c r="L13" s="136"/>
      <c r="M13" s="136">
        <f>61000+7900+3500-7900</f>
        <v>64500</v>
      </c>
      <c r="N13" s="136">
        <v>1800</v>
      </c>
      <c r="O13" s="136">
        <v>2300</v>
      </c>
      <c r="P13" s="136">
        <v>16750</v>
      </c>
      <c r="Q13" s="136">
        <v>1930</v>
      </c>
      <c r="R13" s="136">
        <f>23900+2100-2100</f>
        <v>23900</v>
      </c>
      <c r="S13" s="136"/>
      <c r="T13" s="136"/>
      <c r="U13" s="136"/>
      <c r="V13" s="136">
        <v>77322</v>
      </c>
      <c r="W13" s="136"/>
      <c r="X13" s="135">
        <f t="shared" si="3"/>
        <v>96230</v>
      </c>
    </row>
    <row r="14" spans="1:24" ht="12.75">
      <c r="A14" s="132" t="s">
        <v>114</v>
      </c>
      <c r="B14" s="133">
        <v>433</v>
      </c>
      <c r="C14" s="134">
        <f t="shared" si="0"/>
        <v>408</v>
      </c>
      <c r="D14" s="135">
        <f t="shared" si="1"/>
        <v>2120001</v>
      </c>
      <c r="E14" s="136">
        <v>3000</v>
      </c>
      <c r="F14" s="136">
        <f>1369041-16842</f>
        <v>1352199</v>
      </c>
      <c r="G14" s="136"/>
      <c r="H14" s="136">
        <v>109000</v>
      </c>
      <c r="I14" s="136">
        <v>258859</v>
      </c>
      <c r="J14" s="136">
        <v>35430</v>
      </c>
      <c r="K14" s="136"/>
      <c r="L14" s="136"/>
      <c r="M14" s="136">
        <f>8000+10000+2000-10000</f>
        <v>10000</v>
      </c>
      <c r="N14" s="136">
        <f>3000-3000</f>
        <v>0</v>
      </c>
      <c r="O14" s="136">
        <v>2000</v>
      </c>
      <c r="P14" s="136">
        <f>190000-5000+4000-4000</f>
        <v>185000</v>
      </c>
      <c r="Q14" s="136">
        <f>1000+2000+60000-2000</f>
        <v>61000</v>
      </c>
      <c r="R14" s="136">
        <f>11596+9000-9000</f>
        <v>11596</v>
      </c>
      <c r="S14" s="136">
        <v>4158</v>
      </c>
      <c r="T14" s="136">
        <v>1000</v>
      </c>
      <c r="U14" s="136">
        <v>1000</v>
      </c>
      <c r="V14" s="136">
        <v>85759</v>
      </c>
      <c r="W14" s="136"/>
      <c r="X14" s="135">
        <f t="shared" si="3"/>
        <v>93754</v>
      </c>
    </row>
    <row r="15" spans="1:24" ht="12.75">
      <c r="A15" s="132" t="s">
        <v>115</v>
      </c>
      <c r="B15" s="133">
        <v>454</v>
      </c>
      <c r="C15" s="134">
        <f t="shared" si="0"/>
        <v>372</v>
      </c>
      <c r="D15" s="135">
        <f t="shared" si="1"/>
        <v>2028066</v>
      </c>
      <c r="E15" s="136">
        <v>1860</v>
      </c>
      <c r="F15" s="136">
        <f>1417700-70417</f>
        <v>1347283</v>
      </c>
      <c r="G15" s="136"/>
      <c r="H15" s="136">
        <v>106922</v>
      </c>
      <c r="I15" s="136">
        <v>258188</v>
      </c>
      <c r="J15" s="136">
        <v>35339</v>
      </c>
      <c r="K15" s="136"/>
      <c r="L15" s="136"/>
      <c r="M15" s="136">
        <v>10000</v>
      </c>
      <c r="N15" s="136">
        <f>5000+2000</f>
        <v>7000</v>
      </c>
      <c r="O15" s="136">
        <v>1080</v>
      </c>
      <c r="P15" s="136">
        <f>169795-10000</f>
        <v>159795</v>
      </c>
      <c r="Q15" s="136">
        <v>5000</v>
      </c>
      <c r="R15" s="136">
        <v>8927</v>
      </c>
      <c r="S15" s="136">
        <v>600</v>
      </c>
      <c r="T15" s="136">
        <v>2400</v>
      </c>
      <c r="U15" s="136"/>
      <c r="V15" s="136">
        <v>83672</v>
      </c>
      <c r="W15" s="136"/>
      <c r="X15" s="135">
        <f t="shared" si="3"/>
        <v>36867</v>
      </c>
    </row>
    <row r="16" spans="1:24" ht="12.75">
      <c r="A16" s="132" t="s">
        <v>116</v>
      </c>
      <c r="B16" s="133">
        <v>516</v>
      </c>
      <c r="C16" s="134">
        <f t="shared" si="0"/>
        <v>290</v>
      </c>
      <c r="D16" s="135">
        <f t="shared" si="1"/>
        <v>1794133</v>
      </c>
      <c r="E16" s="136">
        <v>2000</v>
      </c>
      <c r="F16" s="136">
        <f>1223641-15408</f>
        <v>1208233</v>
      </c>
      <c r="G16" s="136"/>
      <c r="H16" s="136">
        <v>102636</v>
      </c>
      <c r="I16" s="136">
        <v>233566</v>
      </c>
      <c r="J16" s="136">
        <v>31969</v>
      </c>
      <c r="K16" s="136"/>
      <c r="L16" s="136"/>
      <c r="M16" s="136">
        <f>14006-2000+10000-10000</f>
        <v>12006</v>
      </c>
      <c r="N16" s="136">
        <v>2000</v>
      </c>
      <c r="O16" s="136"/>
      <c r="P16" s="136">
        <f>98043+5000-5000</f>
        <v>98043</v>
      </c>
      <c r="Q16" s="136">
        <v>2500</v>
      </c>
      <c r="R16" s="136">
        <f>12500-2788+5000-5000</f>
        <v>9712</v>
      </c>
      <c r="S16" s="136">
        <v>2100</v>
      </c>
      <c r="T16" s="136">
        <v>2500</v>
      </c>
      <c r="U16" s="136"/>
      <c r="V16" s="136">
        <v>86868</v>
      </c>
      <c r="W16" s="136"/>
      <c r="X16" s="135">
        <f t="shared" si="3"/>
        <v>32818</v>
      </c>
    </row>
    <row r="17" spans="1:24" ht="12.75">
      <c r="A17" s="132" t="s">
        <v>117</v>
      </c>
      <c r="B17" s="133">
        <v>392</v>
      </c>
      <c r="C17" s="134">
        <f t="shared" si="0"/>
        <v>425</v>
      </c>
      <c r="D17" s="135">
        <f t="shared" si="1"/>
        <v>2001346</v>
      </c>
      <c r="E17" s="136">
        <v>900</v>
      </c>
      <c r="F17" s="136">
        <f>1299283-51542</f>
        <v>1247741</v>
      </c>
      <c r="G17" s="136"/>
      <c r="H17" s="136">
        <v>110199</v>
      </c>
      <c r="I17" s="136">
        <v>240535</v>
      </c>
      <c r="J17" s="136">
        <v>32922</v>
      </c>
      <c r="K17" s="136"/>
      <c r="L17" s="136"/>
      <c r="M17" s="136">
        <f>13000+10000-10000</f>
        <v>13000</v>
      </c>
      <c r="N17" s="136">
        <f>2500+2000+2500-2000</f>
        <v>5000</v>
      </c>
      <c r="O17" s="136">
        <v>2500</v>
      </c>
      <c r="P17" s="136">
        <v>261356</v>
      </c>
      <c r="Q17" s="136">
        <f>2500+8540-8540</f>
        <v>2500</v>
      </c>
      <c r="R17" s="136">
        <f>7727+154+13500-13500</f>
        <v>7881</v>
      </c>
      <c r="S17" s="136">
        <v>405</v>
      </c>
      <c r="T17" s="136">
        <v>420</v>
      </c>
      <c r="U17" s="136"/>
      <c r="V17" s="136">
        <v>75987</v>
      </c>
      <c r="W17" s="136"/>
      <c r="X17" s="135">
        <f t="shared" si="3"/>
        <v>32606</v>
      </c>
    </row>
    <row r="18" spans="1:24" ht="12.75">
      <c r="A18" s="132" t="s">
        <v>118</v>
      </c>
      <c r="B18" s="133">
        <v>377</v>
      </c>
      <c r="C18" s="134">
        <f t="shared" si="0"/>
        <v>417</v>
      </c>
      <c r="D18" s="135">
        <f t="shared" si="1"/>
        <v>1885552</v>
      </c>
      <c r="E18" s="136">
        <v>1100</v>
      </c>
      <c r="F18" s="136">
        <f>1409242-70071</f>
        <v>1339171</v>
      </c>
      <c r="G18" s="136"/>
      <c r="H18" s="136">
        <v>110150</v>
      </c>
      <c r="I18" s="136">
        <v>252797</v>
      </c>
      <c r="J18" s="136">
        <v>34601</v>
      </c>
      <c r="K18" s="136"/>
      <c r="L18" s="136"/>
      <c r="M18" s="136">
        <v>8800</v>
      </c>
      <c r="N18" s="136">
        <f>4975+750</f>
        <v>5725</v>
      </c>
      <c r="O18" s="136"/>
      <c r="P18" s="136">
        <f>43615-5000</f>
        <v>38615</v>
      </c>
      <c r="Q18" s="136">
        <v>7000</v>
      </c>
      <c r="R18" s="136">
        <f>6000-921</f>
        <v>5079</v>
      </c>
      <c r="S18" s="136">
        <v>1000</v>
      </c>
      <c r="T18" s="136">
        <v>500</v>
      </c>
      <c r="U18" s="136">
        <v>500</v>
      </c>
      <c r="V18" s="136">
        <v>80514</v>
      </c>
      <c r="W18" s="136"/>
      <c r="X18" s="135">
        <f t="shared" si="3"/>
        <v>29704</v>
      </c>
    </row>
    <row r="19" spans="1:24" ht="12.75">
      <c r="A19" s="132" t="s">
        <v>119</v>
      </c>
      <c r="B19" s="133">
        <v>431</v>
      </c>
      <c r="C19" s="134">
        <f t="shared" si="0"/>
        <v>434</v>
      </c>
      <c r="D19" s="135">
        <f t="shared" si="1"/>
        <v>2245088</v>
      </c>
      <c r="E19" s="136">
        <v>6000</v>
      </c>
      <c r="F19" s="136">
        <f>1539639-45995</f>
        <v>1493644</v>
      </c>
      <c r="G19" s="136"/>
      <c r="H19" s="136">
        <v>121963</v>
      </c>
      <c r="I19" s="136">
        <v>286358</v>
      </c>
      <c r="J19" s="136">
        <v>39194</v>
      </c>
      <c r="K19" s="136"/>
      <c r="L19" s="136"/>
      <c r="M19" s="136">
        <v>10776</v>
      </c>
      <c r="N19" s="136">
        <v>3000</v>
      </c>
      <c r="O19" s="136">
        <v>1000</v>
      </c>
      <c r="P19" s="136">
        <v>182000</v>
      </c>
      <c r="Q19" s="136">
        <v>3000</v>
      </c>
      <c r="R19" s="136">
        <f>8500+77</f>
        <v>8577</v>
      </c>
      <c r="S19" s="136"/>
      <c r="T19" s="136">
        <v>748</v>
      </c>
      <c r="U19" s="136"/>
      <c r="V19" s="136">
        <v>83828</v>
      </c>
      <c r="W19" s="136">
        <v>5000</v>
      </c>
      <c r="X19" s="135">
        <f t="shared" si="3"/>
        <v>33101</v>
      </c>
    </row>
    <row r="20" spans="1:24" ht="12.75">
      <c r="A20" s="132" t="s">
        <v>120</v>
      </c>
      <c r="B20" s="133">
        <v>539</v>
      </c>
      <c r="C20" s="134">
        <f t="shared" si="0"/>
        <v>326</v>
      </c>
      <c r="D20" s="135">
        <f t="shared" si="1"/>
        <v>2111147</v>
      </c>
      <c r="E20" s="136">
        <v>5560</v>
      </c>
      <c r="F20" s="136">
        <f>1468368-45781</f>
        <v>1422587</v>
      </c>
      <c r="G20" s="136"/>
      <c r="H20" s="136">
        <v>105950</v>
      </c>
      <c r="I20" s="136">
        <v>269809</v>
      </c>
      <c r="J20" s="136">
        <v>36929</v>
      </c>
      <c r="K20" s="136">
        <v>12305</v>
      </c>
      <c r="L20" s="136"/>
      <c r="M20" s="136">
        <v>12348</v>
      </c>
      <c r="N20" s="136">
        <v>1750</v>
      </c>
      <c r="O20" s="136">
        <v>1890</v>
      </c>
      <c r="P20" s="136">
        <v>141174</v>
      </c>
      <c r="Q20" s="136">
        <v>880</v>
      </c>
      <c r="R20" s="136">
        <v>11022</v>
      </c>
      <c r="S20" s="136"/>
      <c r="T20" s="136">
        <v>830</v>
      </c>
      <c r="U20" s="136"/>
      <c r="V20" s="136">
        <v>88113</v>
      </c>
      <c r="W20" s="136"/>
      <c r="X20" s="135">
        <f t="shared" si="3"/>
        <v>46585</v>
      </c>
    </row>
    <row r="21" spans="1:24" ht="12.75">
      <c r="A21" s="132" t="s">
        <v>121</v>
      </c>
      <c r="B21" s="133">
        <v>338</v>
      </c>
      <c r="C21" s="134">
        <f t="shared" si="0"/>
        <v>343</v>
      </c>
      <c r="D21" s="135">
        <f t="shared" si="1"/>
        <v>1389537</v>
      </c>
      <c r="E21" s="136"/>
      <c r="F21" s="136">
        <f>965270-45373</f>
        <v>919897</v>
      </c>
      <c r="G21" s="136"/>
      <c r="H21" s="136">
        <v>73300</v>
      </c>
      <c r="I21" s="136">
        <v>176270</v>
      </c>
      <c r="J21" s="136">
        <v>24126</v>
      </c>
      <c r="K21" s="136"/>
      <c r="L21" s="136"/>
      <c r="M21" s="136">
        <v>7700</v>
      </c>
      <c r="N21" s="136">
        <f>1239+750</f>
        <v>1989</v>
      </c>
      <c r="O21" s="136">
        <v>1720</v>
      </c>
      <c r="P21" s="136">
        <f>123600-10000</f>
        <v>113600</v>
      </c>
      <c r="Q21" s="136">
        <v>3800</v>
      </c>
      <c r="R21" s="136">
        <v>11000</v>
      </c>
      <c r="S21" s="136">
        <v>500</v>
      </c>
      <c r="T21" s="136"/>
      <c r="U21" s="136"/>
      <c r="V21" s="136">
        <v>55635</v>
      </c>
      <c r="W21" s="136"/>
      <c r="X21" s="135">
        <f t="shared" si="3"/>
        <v>26709</v>
      </c>
    </row>
    <row r="22" spans="1:24" ht="12.75">
      <c r="A22" s="132" t="s">
        <v>122</v>
      </c>
      <c r="B22" s="133">
        <v>468</v>
      </c>
      <c r="C22" s="134">
        <f t="shared" si="0"/>
        <v>395</v>
      </c>
      <c r="D22" s="135">
        <f t="shared" si="1"/>
        <v>2218859</v>
      </c>
      <c r="E22" s="136">
        <v>1885</v>
      </c>
      <c r="F22" s="136">
        <f>1519611-14800</f>
        <v>1504811</v>
      </c>
      <c r="G22" s="136"/>
      <c r="H22" s="136">
        <v>129992</v>
      </c>
      <c r="I22" s="136">
        <v>291090</v>
      </c>
      <c r="J22" s="136">
        <v>39842</v>
      </c>
      <c r="K22" s="136"/>
      <c r="L22" s="136"/>
      <c r="M22" s="136">
        <v>11864</v>
      </c>
      <c r="N22" s="136">
        <v>3296</v>
      </c>
      <c r="O22" s="136">
        <v>1050</v>
      </c>
      <c r="P22" s="136">
        <f>133318-10000</f>
        <v>123318</v>
      </c>
      <c r="Q22" s="136">
        <v>4000</v>
      </c>
      <c r="R22" s="136">
        <v>12847</v>
      </c>
      <c r="S22" s="136"/>
      <c r="T22" s="136">
        <v>1000</v>
      </c>
      <c r="U22" s="136"/>
      <c r="V22" s="136">
        <v>93864</v>
      </c>
      <c r="W22" s="136"/>
      <c r="X22" s="135">
        <f t="shared" si="3"/>
        <v>35942</v>
      </c>
    </row>
    <row r="23" spans="1:24" ht="12.75">
      <c r="A23" s="132" t="s">
        <v>123</v>
      </c>
      <c r="B23" s="133">
        <v>221</v>
      </c>
      <c r="C23" s="134">
        <f t="shared" si="0"/>
        <v>388</v>
      </c>
      <c r="D23" s="135">
        <f t="shared" si="1"/>
        <v>1030091</v>
      </c>
      <c r="E23" s="136"/>
      <c r="F23" s="136">
        <f>756636-26400</f>
        <v>730236</v>
      </c>
      <c r="G23" s="136"/>
      <c r="H23" s="136">
        <v>55619</v>
      </c>
      <c r="I23" s="136">
        <v>139558</v>
      </c>
      <c r="J23" s="136">
        <v>19102</v>
      </c>
      <c r="K23" s="136"/>
      <c r="L23" s="136"/>
      <c r="M23" s="136">
        <v>6000</v>
      </c>
      <c r="N23" s="136">
        <v>1000</v>
      </c>
      <c r="O23" s="136">
        <v>3425</v>
      </c>
      <c r="P23" s="136">
        <v>23686</v>
      </c>
      <c r="Q23" s="136">
        <v>1200</v>
      </c>
      <c r="R23" s="136">
        <v>8000</v>
      </c>
      <c r="S23" s="136"/>
      <c r="T23" s="136"/>
      <c r="U23" s="136"/>
      <c r="V23" s="136">
        <v>42265</v>
      </c>
      <c r="W23" s="136"/>
      <c r="X23" s="135">
        <f t="shared" si="3"/>
        <v>19625</v>
      </c>
    </row>
    <row r="24" spans="1:24" ht="12.75">
      <c r="A24" s="132" t="s">
        <v>159</v>
      </c>
      <c r="B24" s="133">
        <v>138</v>
      </c>
      <c r="C24" s="134">
        <f t="shared" si="0"/>
        <v>116</v>
      </c>
      <c r="D24" s="135">
        <f t="shared" si="1"/>
        <v>192135</v>
      </c>
      <c r="E24" s="136">
        <v>600</v>
      </c>
      <c r="F24" s="136">
        <f>139813-6373</f>
        <v>133440</v>
      </c>
      <c r="G24" s="136"/>
      <c r="H24" s="136">
        <v>10423</v>
      </c>
      <c r="I24" s="136">
        <v>25751</v>
      </c>
      <c r="J24" s="136">
        <v>3525</v>
      </c>
      <c r="K24" s="136"/>
      <c r="L24" s="136"/>
      <c r="M24" s="136">
        <f>3620-628</f>
        <v>2992</v>
      </c>
      <c r="N24" s="136">
        <v>700</v>
      </c>
      <c r="O24" s="136"/>
      <c r="P24" s="136">
        <v>1248</v>
      </c>
      <c r="Q24" s="136">
        <v>1511</v>
      </c>
      <c r="R24" s="136">
        <f>2480-500</f>
        <v>1980</v>
      </c>
      <c r="S24" s="136"/>
      <c r="T24" s="136"/>
      <c r="U24" s="136"/>
      <c r="V24" s="136">
        <v>9965</v>
      </c>
      <c r="W24" s="136"/>
      <c r="X24" s="135">
        <f t="shared" si="3"/>
        <v>7783</v>
      </c>
    </row>
    <row r="25" spans="1:24" ht="12.75">
      <c r="A25" s="132" t="s">
        <v>124</v>
      </c>
      <c r="B25" s="133">
        <v>136</v>
      </c>
      <c r="C25" s="134">
        <f t="shared" si="0"/>
        <v>322</v>
      </c>
      <c r="D25" s="135">
        <f t="shared" si="1"/>
        <v>524881</v>
      </c>
      <c r="E25" s="136"/>
      <c r="F25" s="136">
        <v>362650</v>
      </c>
      <c r="G25" s="136"/>
      <c r="H25" s="136">
        <v>30032</v>
      </c>
      <c r="I25" s="136">
        <v>70290</v>
      </c>
      <c r="J25" s="136">
        <v>9621</v>
      </c>
      <c r="K25" s="136"/>
      <c r="L25" s="136"/>
      <c r="M25" s="136">
        <f>9343-266</f>
        <v>9077</v>
      </c>
      <c r="N25" s="136"/>
      <c r="O25" s="136"/>
      <c r="P25" s="136">
        <v>14600</v>
      </c>
      <c r="Q25" s="136"/>
      <c r="R25" s="136">
        <v>3000</v>
      </c>
      <c r="S25" s="136"/>
      <c r="T25" s="136"/>
      <c r="U25" s="136"/>
      <c r="V25" s="136">
        <v>25611</v>
      </c>
      <c r="W25" s="136"/>
      <c r="X25" s="135">
        <f t="shared" si="3"/>
        <v>12077</v>
      </c>
    </row>
    <row r="26" spans="1:24" ht="12.75">
      <c r="A26" s="132" t="s">
        <v>125</v>
      </c>
      <c r="B26" s="133">
        <v>245</v>
      </c>
      <c r="C26" s="134">
        <f>D26/12/B26</f>
        <v>353</v>
      </c>
      <c r="D26" s="135">
        <f>SUM(E26:W26)</f>
        <v>1039033</v>
      </c>
      <c r="E26" s="136"/>
      <c r="F26" s="136">
        <f>754145-2026</f>
        <v>752119</v>
      </c>
      <c r="G26" s="136"/>
      <c r="H26" s="136">
        <v>53894</v>
      </c>
      <c r="I26" s="136">
        <v>143145</v>
      </c>
      <c r="J26" s="136">
        <v>19592</v>
      </c>
      <c r="K26" s="136"/>
      <c r="L26" s="136"/>
      <c r="M26" s="136">
        <v>10000</v>
      </c>
      <c r="N26" s="136">
        <v>8513</v>
      </c>
      <c r="O26" s="136"/>
      <c r="P26" s="136"/>
      <c r="Q26" s="136"/>
      <c r="R26" s="136">
        <f>2000+1243</f>
        <v>3243</v>
      </c>
      <c r="S26" s="136"/>
      <c r="T26" s="136"/>
      <c r="U26" s="136"/>
      <c r="V26" s="136">
        <v>48527</v>
      </c>
      <c r="W26" s="136"/>
      <c r="X26" s="135">
        <f>E26+L26+M26+O26+Q26+R26+S26+T26+U26+K26+N26</f>
        <v>21756</v>
      </c>
    </row>
    <row r="27" spans="1:24" ht="33.75">
      <c r="A27" s="132" t="s">
        <v>223</v>
      </c>
      <c r="B27" s="133"/>
      <c r="C27" s="134"/>
      <c r="D27" s="135">
        <v>2120339</v>
      </c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5"/>
    </row>
    <row r="28" spans="1:24" s="131" customFormat="1" ht="20.25" customHeight="1">
      <c r="A28" s="138" t="s">
        <v>145</v>
      </c>
      <c r="B28" s="135">
        <f>SUM(B4:B27)</f>
        <v>8060</v>
      </c>
      <c r="C28" s="139">
        <f t="shared" si="0"/>
        <v>404</v>
      </c>
      <c r="D28" s="135">
        <f aca="true" t="shared" si="4" ref="D28:X28">SUM(D4:D27)</f>
        <v>39030814</v>
      </c>
      <c r="E28" s="135">
        <f t="shared" si="4"/>
        <v>35995</v>
      </c>
      <c r="F28" s="135">
        <f t="shared" si="4"/>
        <v>24799151</v>
      </c>
      <c r="G28" s="135">
        <f t="shared" si="4"/>
        <v>0</v>
      </c>
      <c r="H28" s="135">
        <f t="shared" si="4"/>
        <v>2007970</v>
      </c>
      <c r="I28" s="135">
        <f t="shared" si="4"/>
        <v>4736316</v>
      </c>
      <c r="J28" s="135">
        <f t="shared" si="4"/>
        <v>648265</v>
      </c>
      <c r="K28" s="135">
        <f t="shared" si="4"/>
        <v>26305</v>
      </c>
      <c r="L28" s="135">
        <f t="shared" si="4"/>
        <v>1000</v>
      </c>
      <c r="M28" s="135">
        <f t="shared" si="4"/>
        <v>420390</v>
      </c>
      <c r="N28" s="135">
        <f t="shared" si="4"/>
        <v>68573</v>
      </c>
      <c r="O28" s="135">
        <f t="shared" si="4"/>
        <v>25665</v>
      </c>
      <c r="P28" s="135">
        <f t="shared" si="4"/>
        <v>2059455</v>
      </c>
      <c r="Q28" s="135">
        <f t="shared" si="4"/>
        <v>297782</v>
      </c>
      <c r="R28" s="135">
        <f t="shared" si="4"/>
        <v>201195</v>
      </c>
      <c r="S28" s="135">
        <f t="shared" si="4"/>
        <v>22303</v>
      </c>
      <c r="T28" s="135">
        <f t="shared" si="4"/>
        <v>10755</v>
      </c>
      <c r="U28" s="135">
        <f t="shared" si="4"/>
        <v>3500</v>
      </c>
      <c r="V28" s="135">
        <f t="shared" si="4"/>
        <v>1540855</v>
      </c>
      <c r="W28" s="135">
        <f t="shared" si="4"/>
        <v>5000</v>
      </c>
      <c r="X28" s="135">
        <f t="shared" si="4"/>
        <v>1113463</v>
      </c>
    </row>
    <row r="29" spans="1:24" s="147" customFormat="1" ht="13.5">
      <c r="A29" s="141"/>
      <c r="B29" s="142"/>
      <c r="C29" s="143"/>
      <c r="D29" s="144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6"/>
    </row>
    <row r="30" spans="1:24" s="147" customFormat="1" ht="13.5">
      <c r="A30" s="178"/>
      <c r="B30" s="142"/>
      <c r="C30" s="179"/>
      <c r="D30" s="160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6"/>
    </row>
    <row r="31" spans="1:24" s="147" customFormat="1" ht="13.5">
      <c r="A31" s="178"/>
      <c r="B31" s="142"/>
      <c r="C31" s="179"/>
      <c r="D31" s="160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6"/>
    </row>
    <row r="32" spans="1:24" s="147" customFormat="1" ht="13.5">
      <c r="A32" s="141"/>
      <c r="B32" s="142"/>
      <c r="C32" s="143"/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6"/>
    </row>
    <row r="33" spans="1:24" s="147" customFormat="1" ht="13.5">
      <c r="A33" s="141"/>
      <c r="B33" s="142"/>
      <c r="C33" s="143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6"/>
    </row>
    <row r="34" spans="1:24" s="147" customFormat="1" ht="13.5">
      <c r="A34" s="148"/>
      <c r="B34" s="149"/>
      <c r="C34" s="150"/>
      <c r="D34" s="144"/>
      <c r="E34" s="149"/>
      <c r="F34" s="149"/>
      <c r="G34" s="149"/>
      <c r="H34" s="149"/>
      <c r="I34" s="145"/>
      <c r="J34" s="145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6"/>
    </row>
    <row r="35" spans="1:24" s="147" customFormat="1" ht="13.5">
      <c r="A35" s="141"/>
      <c r="B35" s="142"/>
      <c r="C35" s="143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6"/>
    </row>
    <row r="36" spans="1:24" s="147" customFormat="1" ht="13.5">
      <c r="A36" s="141"/>
      <c r="B36" s="142"/>
      <c r="C36" s="143"/>
      <c r="D36" s="144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6"/>
    </row>
    <row r="37" spans="1:24" s="147" customFormat="1" ht="13.5">
      <c r="A37" s="141"/>
      <c r="B37" s="142"/>
      <c r="C37" s="143"/>
      <c r="D37" s="144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6"/>
    </row>
    <row r="38" spans="1:24" s="147" customFormat="1" ht="13.5">
      <c r="A38" s="141"/>
      <c r="B38" s="142"/>
      <c r="C38" s="143"/>
      <c r="D38" s="144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6"/>
    </row>
    <row r="39" spans="1:24" s="147" customFormat="1" ht="13.5">
      <c r="A39" s="141"/>
      <c r="B39" s="142"/>
      <c r="C39" s="143"/>
      <c r="D39" s="144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6"/>
    </row>
    <row r="40" spans="1:24" s="147" customFormat="1" ht="13.5">
      <c r="A40" s="141"/>
      <c r="B40" s="142"/>
      <c r="C40" s="143"/>
      <c r="D40" s="144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6"/>
    </row>
    <row r="41" spans="1:24" s="147" customFormat="1" ht="13.5">
      <c r="A41" s="141"/>
      <c r="B41" s="142"/>
      <c r="C41" s="143"/>
      <c r="D41" s="144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6"/>
    </row>
    <row r="42" spans="1:24" s="147" customFormat="1" ht="13.5">
      <c r="A42" s="141"/>
      <c r="B42" s="142"/>
      <c r="C42" s="143"/>
      <c r="D42" s="144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6"/>
    </row>
    <row r="43" spans="1:24" s="147" customFormat="1" ht="13.5">
      <c r="A43" s="141"/>
      <c r="B43" s="142"/>
      <c r="C43" s="143"/>
      <c r="D43" s="144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6"/>
    </row>
    <row r="44" spans="1:24" s="147" customFormat="1" ht="13.5">
      <c r="A44" s="141"/>
      <c r="B44" s="142"/>
      <c r="C44" s="143"/>
      <c r="D44" s="144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6"/>
    </row>
    <row r="45" spans="1:24" s="147" customFormat="1" ht="13.5">
      <c r="A45" s="151"/>
      <c r="B45" s="152"/>
      <c r="C45" s="143"/>
      <c r="D45" s="144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s="147" customFormat="1" ht="13.5">
      <c r="A46" s="151"/>
      <c r="B46" s="152"/>
      <c r="C46" s="143"/>
      <c r="D46" s="144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6"/>
    </row>
    <row r="47" spans="1:24" s="147" customFormat="1" ht="13.5">
      <c r="A47" s="148"/>
      <c r="B47" s="149"/>
      <c r="C47" s="150"/>
      <c r="D47" s="144"/>
      <c r="E47" s="149"/>
      <c r="F47" s="149"/>
      <c r="G47" s="149"/>
      <c r="H47" s="149"/>
      <c r="I47" s="145"/>
      <c r="J47" s="145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6"/>
    </row>
    <row r="48" spans="1:24" s="147" customFormat="1" ht="13.5">
      <c r="A48" s="148"/>
      <c r="B48" s="153"/>
      <c r="C48" s="150"/>
      <c r="D48" s="154"/>
      <c r="E48" s="149"/>
      <c r="F48" s="149"/>
      <c r="G48" s="149"/>
      <c r="H48" s="149"/>
      <c r="I48" s="145"/>
      <c r="J48" s="145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6"/>
    </row>
    <row r="49" spans="1:24" s="147" customFormat="1" ht="18" customHeight="1">
      <c r="A49" s="141"/>
      <c r="B49" s="153"/>
      <c r="C49" s="150"/>
      <c r="D49" s="154"/>
      <c r="E49" s="149"/>
      <c r="F49" s="149"/>
      <c r="G49" s="149"/>
      <c r="H49" s="149"/>
      <c r="I49" s="145"/>
      <c r="J49" s="145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6"/>
    </row>
    <row r="50" spans="1:24" s="147" customFormat="1" ht="25.5" customHeight="1">
      <c r="A50" s="155"/>
      <c r="B50" s="153"/>
      <c r="C50" s="150"/>
      <c r="D50" s="154"/>
      <c r="E50" s="149"/>
      <c r="F50" s="149"/>
      <c r="G50" s="149"/>
      <c r="H50" s="149"/>
      <c r="I50" s="145"/>
      <c r="J50" s="145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6"/>
    </row>
    <row r="51" spans="1:24" s="147" customFormat="1" ht="18" customHeight="1">
      <c r="A51" s="155"/>
      <c r="B51" s="153"/>
      <c r="C51" s="150"/>
      <c r="D51" s="154"/>
      <c r="E51" s="149"/>
      <c r="F51" s="149"/>
      <c r="G51" s="149"/>
      <c r="H51" s="149"/>
      <c r="I51" s="145"/>
      <c r="J51" s="145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6"/>
    </row>
    <row r="52" spans="1:24" s="147" customFormat="1" ht="25.5" customHeight="1">
      <c r="A52" s="148"/>
      <c r="B52" s="153"/>
      <c r="C52" s="156"/>
      <c r="D52" s="156"/>
      <c r="E52" s="156"/>
      <c r="F52" s="156"/>
      <c r="G52" s="156"/>
      <c r="H52" s="156"/>
      <c r="I52" s="145"/>
      <c r="J52" s="145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</row>
    <row r="53" spans="1:24" s="147" customFormat="1" ht="13.5">
      <c r="A53" s="148"/>
      <c r="B53" s="153"/>
      <c r="C53" s="150"/>
      <c r="D53" s="154"/>
      <c r="E53" s="149"/>
      <c r="F53" s="149"/>
      <c r="G53" s="149"/>
      <c r="H53" s="149"/>
      <c r="I53" s="145"/>
      <c r="J53" s="145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6"/>
    </row>
    <row r="54" spans="1:24" s="147" customFormat="1" ht="13.5">
      <c r="A54" s="148"/>
      <c r="B54" s="153"/>
      <c r="C54" s="150"/>
      <c r="D54" s="154"/>
      <c r="E54" s="149"/>
      <c r="F54" s="149"/>
      <c r="G54" s="149"/>
      <c r="H54" s="149"/>
      <c r="I54" s="145"/>
      <c r="J54" s="145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6"/>
    </row>
    <row r="55" spans="1:24" s="147" customFormat="1" ht="23.25" customHeight="1">
      <c r="A55" s="157"/>
      <c r="B55" s="149"/>
      <c r="C55" s="158"/>
      <c r="D55" s="144"/>
      <c r="E55" s="158"/>
      <c r="F55" s="158"/>
      <c r="G55" s="158"/>
      <c r="H55" s="158"/>
      <c r="I55" s="145"/>
      <c r="J55" s="145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</row>
    <row r="56" spans="1:24" s="147" customFormat="1" ht="20.25" customHeight="1">
      <c r="A56" s="157"/>
      <c r="B56" s="153"/>
      <c r="C56" s="143"/>
      <c r="D56" s="144"/>
      <c r="E56" s="137"/>
      <c r="F56" s="145"/>
      <c r="G56" s="145"/>
      <c r="H56" s="145"/>
      <c r="I56" s="145"/>
      <c r="J56" s="145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46"/>
    </row>
    <row r="57" spans="1:24" s="147" customFormat="1" ht="23.25" customHeight="1">
      <c r="A57" s="159"/>
      <c r="B57" s="153"/>
      <c r="C57" s="150"/>
      <c r="D57" s="154"/>
      <c r="E57" s="144"/>
      <c r="F57" s="149"/>
      <c r="G57" s="149"/>
      <c r="H57" s="149"/>
      <c r="I57" s="145"/>
      <c r="J57" s="145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6"/>
    </row>
    <row r="58" spans="1:24" s="147" customFormat="1" ht="13.5">
      <c r="A58" s="141"/>
      <c r="B58" s="142"/>
      <c r="C58" s="143"/>
      <c r="D58" s="144"/>
      <c r="E58" s="160"/>
      <c r="F58" s="145"/>
      <c r="G58" s="145"/>
      <c r="H58" s="145"/>
      <c r="I58" s="145"/>
      <c r="J58" s="145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46"/>
    </row>
    <row r="59" spans="1:24" s="147" customFormat="1" ht="13.5">
      <c r="A59" s="141"/>
      <c r="B59" s="142"/>
      <c r="C59" s="143"/>
      <c r="D59" s="144"/>
      <c r="E59" s="160"/>
      <c r="F59" s="145"/>
      <c r="G59" s="145"/>
      <c r="H59" s="145"/>
      <c r="I59" s="145"/>
      <c r="J59" s="145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46"/>
    </row>
    <row r="60" spans="1:24" s="147" customFormat="1" ht="13.5">
      <c r="A60" s="148"/>
      <c r="B60" s="149"/>
      <c r="C60" s="150"/>
      <c r="D60" s="144"/>
      <c r="E60" s="144"/>
      <c r="F60" s="144"/>
      <c r="G60" s="144"/>
      <c r="H60" s="144"/>
      <c r="I60" s="145"/>
      <c r="J60" s="145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6"/>
    </row>
    <row r="61" spans="1:24" s="147" customFormat="1" ht="12.75" customHeight="1">
      <c r="A61" s="141"/>
      <c r="B61" s="142"/>
      <c r="C61" s="143"/>
      <c r="D61" s="144"/>
      <c r="E61" s="160"/>
      <c r="F61" s="145"/>
      <c r="G61" s="145"/>
      <c r="H61" s="145"/>
      <c r="I61" s="145"/>
      <c r="J61" s="145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46"/>
    </row>
    <row r="62" spans="1:24" s="147" customFormat="1" ht="13.5">
      <c r="A62" s="141"/>
      <c r="B62" s="142"/>
      <c r="C62" s="143"/>
      <c r="D62" s="144"/>
      <c r="E62" s="160"/>
      <c r="F62" s="145"/>
      <c r="G62" s="145"/>
      <c r="H62" s="145"/>
      <c r="I62" s="145"/>
      <c r="J62" s="145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46"/>
    </row>
    <row r="63" spans="1:24" s="147" customFormat="1" ht="13.5">
      <c r="A63" s="141"/>
      <c r="B63" s="142"/>
      <c r="C63" s="143"/>
      <c r="D63" s="144"/>
      <c r="E63" s="160"/>
      <c r="F63" s="145"/>
      <c r="G63" s="145"/>
      <c r="H63" s="145"/>
      <c r="I63" s="145"/>
      <c r="J63" s="145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46"/>
    </row>
    <row r="64" spans="1:24" s="147" customFormat="1" ht="13.5">
      <c r="A64" s="148"/>
      <c r="B64" s="149"/>
      <c r="C64" s="150"/>
      <c r="D64" s="144"/>
      <c r="E64" s="144"/>
      <c r="F64" s="144"/>
      <c r="G64" s="144"/>
      <c r="H64" s="144"/>
      <c r="I64" s="145"/>
      <c r="J64" s="145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6"/>
    </row>
    <row r="65" spans="1:24" s="147" customFormat="1" ht="13.5">
      <c r="A65" s="148"/>
      <c r="B65" s="153"/>
      <c r="C65" s="150"/>
      <c r="D65" s="144"/>
      <c r="E65" s="144"/>
      <c r="F65" s="149"/>
      <c r="G65" s="149"/>
      <c r="H65" s="149"/>
      <c r="I65" s="145"/>
      <c r="J65" s="145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6"/>
    </row>
    <row r="66" spans="1:24" s="147" customFormat="1" ht="13.5">
      <c r="A66" s="141"/>
      <c r="B66" s="142"/>
      <c r="C66" s="143"/>
      <c r="D66" s="144"/>
      <c r="E66" s="160"/>
      <c r="F66" s="145"/>
      <c r="G66" s="145"/>
      <c r="H66" s="145"/>
      <c r="I66" s="145"/>
      <c r="J66" s="145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46"/>
    </row>
    <row r="67" spans="1:24" s="147" customFormat="1" ht="13.5">
      <c r="A67" s="141"/>
      <c r="B67" s="142"/>
      <c r="C67" s="143"/>
      <c r="D67" s="144"/>
      <c r="E67" s="160"/>
      <c r="F67" s="145"/>
      <c r="G67" s="145"/>
      <c r="H67" s="145"/>
      <c r="I67" s="145"/>
      <c r="J67" s="145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46"/>
    </row>
    <row r="68" spans="1:24" s="147" customFormat="1" ht="13.5">
      <c r="A68" s="141"/>
      <c r="B68" s="142"/>
      <c r="C68" s="143"/>
      <c r="D68" s="144"/>
      <c r="E68" s="160"/>
      <c r="F68" s="145"/>
      <c r="G68" s="145"/>
      <c r="H68" s="145"/>
      <c r="I68" s="145"/>
      <c r="J68" s="145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46"/>
    </row>
    <row r="69" spans="1:24" s="147" customFormat="1" ht="13.5">
      <c r="A69" s="148"/>
      <c r="B69" s="149"/>
      <c r="C69" s="150"/>
      <c r="D69" s="144"/>
      <c r="E69" s="144"/>
      <c r="F69" s="144"/>
      <c r="G69" s="144"/>
      <c r="H69" s="144"/>
      <c r="I69" s="145"/>
      <c r="J69" s="145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</row>
    <row r="70" spans="1:24" s="147" customFormat="1" ht="23.25" customHeight="1">
      <c r="A70" s="148"/>
      <c r="B70" s="149"/>
      <c r="C70" s="150"/>
      <c r="D70" s="144"/>
      <c r="E70" s="144"/>
      <c r="F70" s="144"/>
      <c r="G70" s="144"/>
      <c r="H70" s="144"/>
      <c r="I70" s="145"/>
      <c r="J70" s="145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6"/>
    </row>
    <row r="71" spans="1:24" s="147" customFormat="1" ht="13.5">
      <c r="A71" s="161"/>
      <c r="B71" s="149"/>
      <c r="C71" s="149"/>
      <c r="D71" s="144"/>
      <c r="E71" s="149"/>
      <c r="F71" s="149"/>
      <c r="G71" s="149"/>
      <c r="H71" s="149"/>
      <c r="I71" s="145"/>
      <c r="J71" s="145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</row>
    <row r="72" spans="1:24" s="147" customFormat="1" ht="13.5">
      <c r="A72" s="161"/>
      <c r="B72" s="149"/>
      <c r="C72" s="162"/>
      <c r="D72" s="144"/>
      <c r="E72" s="158"/>
      <c r="F72" s="158"/>
      <c r="G72" s="158"/>
      <c r="H72" s="158"/>
      <c r="I72" s="145"/>
      <c r="J72" s="145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46"/>
    </row>
    <row r="73" spans="1:24" s="147" customFormat="1" ht="13.5">
      <c r="A73" s="163"/>
      <c r="B73" s="164"/>
      <c r="D73" s="140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46"/>
    </row>
    <row r="74" spans="1:24" s="147" customFormat="1" ht="11.25" customHeight="1">
      <c r="A74" s="163"/>
      <c r="B74" s="164"/>
      <c r="D74" s="140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46"/>
    </row>
    <row r="75" spans="1:24" s="147" customFormat="1" ht="13.5">
      <c r="A75" s="163"/>
      <c r="B75" s="164"/>
      <c r="D75" s="140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46"/>
    </row>
    <row r="76" spans="4:24" ht="12.75">
      <c r="D76" s="167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9"/>
    </row>
    <row r="77" spans="4:24" ht="12.75">
      <c r="D77" s="167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9"/>
    </row>
    <row r="78" spans="1:24" ht="12.75">
      <c r="A78" s="170"/>
      <c r="B78" s="171"/>
      <c r="C78" s="171"/>
      <c r="D78" s="137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3"/>
      <c r="Q78" s="173"/>
      <c r="R78" s="172"/>
      <c r="S78" s="172"/>
      <c r="T78" s="172"/>
      <c r="U78" s="172"/>
      <c r="V78" s="172"/>
      <c r="W78" s="172"/>
      <c r="X78" s="172"/>
    </row>
    <row r="79" spans="1:24" ht="12.75">
      <c r="A79" s="170"/>
      <c r="B79" s="171"/>
      <c r="C79" s="171"/>
      <c r="D79" s="137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3"/>
      <c r="Q79" s="173"/>
      <c r="R79" s="172"/>
      <c r="S79" s="172"/>
      <c r="T79" s="172"/>
      <c r="U79" s="172"/>
      <c r="V79" s="172"/>
      <c r="W79" s="172"/>
      <c r="X79" s="172"/>
    </row>
    <row r="80" spans="1:24" ht="12.75">
      <c r="A80" s="174"/>
      <c r="B80" s="175"/>
      <c r="C80" s="175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</row>
    <row r="81" spans="4:24" ht="12.75">
      <c r="D81" s="167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9"/>
    </row>
    <row r="82" spans="4:24" ht="12.75">
      <c r="D82" s="167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9"/>
    </row>
    <row r="83" spans="4:24" ht="12.75">
      <c r="D83" s="167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9"/>
    </row>
    <row r="84" spans="4:24" ht="12.75">
      <c r="D84" s="167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9"/>
    </row>
    <row r="85" spans="4:24" ht="12.75">
      <c r="D85" s="167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9"/>
    </row>
    <row r="86" spans="4:24" ht="12.75">
      <c r="D86" s="167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</row>
    <row r="87" spans="4:24" ht="12.75">
      <c r="D87" s="167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</row>
    <row r="88" spans="4:24" ht="12.75">
      <c r="D88" s="167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</row>
    <row r="89" spans="4:24" ht="12.75">
      <c r="D89" s="167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</row>
    <row r="90" spans="4:24" ht="12.75">
      <c r="D90" s="167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</row>
    <row r="91" spans="4:24" ht="12.75">
      <c r="D91" s="167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</row>
    <row r="92" spans="4:24" ht="12.75">
      <c r="D92" s="167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</row>
  </sheetData>
  <printOptions/>
  <pageMargins left="0.71" right="0.54" top="1.220472440944882" bottom="0.3937007874015748" header="0.6299212598425197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workbookViewId="0" topLeftCell="A1">
      <pane xSplit="2" ySplit="4" topLeftCell="C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" sqref="C2"/>
    </sheetView>
  </sheetViews>
  <sheetFormatPr defaultColWidth="9.00390625" defaultRowHeight="12.75"/>
  <cols>
    <col min="1" max="1" width="12.875" style="2" customWidth="1"/>
    <col min="2" max="2" width="9.625" style="1" customWidth="1"/>
    <col min="3" max="3" width="8.625" style="2" customWidth="1"/>
    <col min="4" max="4" width="5.75390625" style="2" customWidth="1"/>
    <col min="5" max="5" width="8.125" style="2" customWidth="1"/>
    <col min="6" max="6" width="6.75390625" style="2" customWidth="1"/>
    <col min="7" max="7" width="7.125" style="2" customWidth="1"/>
    <col min="8" max="8" width="6.375" style="2" customWidth="1"/>
    <col min="9" max="9" width="6.75390625" style="2" customWidth="1"/>
    <col min="10" max="10" width="5.75390625" style="2" customWidth="1"/>
    <col min="11" max="11" width="5.75390625" style="13" customWidth="1"/>
    <col min="12" max="12" width="6.375" style="2" customWidth="1"/>
    <col min="13" max="13" width="6.00390625" style="2" customWidth="1"/>
    <col min="14" max="14" width="5.25390625" style="2" customWidth="1"/>
    <col min="15" max="15" width="5.875" style="2" customWidth="1"/>
    <col min="16" max="16" width="6.00390625" style="2" customWidth="1"/>
    <col min="17" max="17" width="7.625" style="2" hidden="1" customWidth="1"/>
    <col min="18" max="16384" width="9.125" style="2" customWidth="1"/>
  </cols>
  <sheetData>
    <row r="1" spans="1:17" ht="11.25">
      <c r="A1" s="8"/>
      <c r="B1" s="38"/>
      <c r="C1" s="8"/>
      <c r="D1" s="8"/>
      <c r="E1" s="8"/>
      <c r="F1" s="8"/>
      <c r="G1" s="8"/>
      <c r="H1" s="8"/>
      <c r="I1" s="8"/>
      <c r="J1" s="8"/>
      <c r="K1" s="26"/>
      <c r="L1" s="8"/>
      <c r="M1" s="8"/>
      <c r="N1" s="8"/>
      <c r="O1" s="8"/>
      <c r="P1" s="185" t="s">
        <v>278</v>
      </c>
      <c r="Q1" s="8"/>
    </row>
    <row r="2" spans="1:17" ht="15.75">
      <c r="A2" s="50"/>
      <c r="B2" s="38"/>
      <c r="C2" s="119" t="s">
        <v>284</v>
      </c>
      <c r="D2" s="8"/>
      <c r="E2" s="6"/>
      <c r="G2" s="6"/>
      <c r="H2" s="6"/>
      <c r="I2" s="6"/>
      <c r="J2" s="8"/>
      <c r="K2" s="26"/>
      <c r="L2" s="6"/>
      <c r="M2" s="8"/>
      <c r="N2" s="8"/>
      <c r="O2" s="8"/>
      <c r="P2" s="8"/>
      <c r="Q2" s="51"/>
    </row>
    <row r="3" spans="1:17" ht="11.25">
      <c r="A3" s="8"/>
      <c r="B3" s="38"/>
      <c r="C3" s="6"/>
      <c r="D3" s="6"/>
      <c r="E3" s="6"/>
      <c r="F3" s="6"/>
      <c r="G3" s="6"/>
      <c r="H3" s="6"/>
      <c r="I3" s="6"/>
      <c r="J3" s="8"/>
      <c r="K3" s="26"/>
      <c r="L3" s="6"/>
      <c r="M3" s="8"/>
      <c r="N3" s="8"/>
      <c r="O3" s="8"/>
      <c r="P3" s="8"/>
      <c r="Q3" s="8"/>
    </row>
    <row r="4" spans="1:17" s="3" customFormat="1" ht="42">
      <c r="A4" s="14" t="s">
        <v>0</v>
      </c>
      <c r="B4" s="14" t="s">
        <v>1</v>
      </c>
      <c r="C4" s="14" t="s">
        <v>2</v>
      </c>
      <c r="D4" s="14" t="s">
        <v>7</v>
      </c>
      <c r="E4" s="14" t="s">
        <v>3</v>
      </c>
      <c r="F4" s="14" t="s">
        <v>4</v>
      </c>
      <c r="G4" s="14" t="s">
        <v>5</v>
      </c>
      <c r="H4" s="17" t="s">
        <v>6</v>
      </c>
      <c r="I4" s="17" t="s">
        <v>100</v>
      </c>
      <c r="J4" s="17" t="s">
        <v>9</v>
      </c>
      <c r="K4" s="70" t="s">
        <v>166</v>
      </c>
      <c r="L4" s="14" t="s">
        <v>10</v>
      </c>
      <c r="M4" s="14" t="s">
        <v>11</v>
      </c>
      <c r="N4" s="14" t="s">
        <v>155</v>
      </c>
      <c r="O4" s="14" t="s">
        <v>12</v>
      </c>
      <c r="P4" s="14" t="s">
        <v>8</v>
      </c>
      <c r="Q4" s="180" t="s">
        <v>102</v>
      </c>
    </row>
    <row r="5" spans="1:17" ht="11.25">
      <c r="A5" s="64" t="s">
        <v>104</v>
      </c>
      <c r="B5" s="64" t="s">
        <v>149</v>
      </c>
      <c r="C5" s="16">
        <f>SUM(D5:P5)</f>
        <v>91904</v>
      </c>
      <c r="D5" s="49"/>
      <c r="E5" s="15">
        <f>69648-16222</f>
        <v>53426</v>
      </c>
      <c r="F5" s="15">
        <v>5000</v>
      </c>
      <c r="G5" s="15">
        <v>10219</v>
      </c>
      <c r="H5" s="15">
        <v>1399</v>
      </c>
      <c r="I5" s="15"/>
      <c r="J5" s="4">
        <v>3000</v>
      </c>
      <c r="K5" s="61"/>
      <c r="L5" s="15">
        <v>15000</v>
      </c>
      <c r="M5" s="15">
        <v>2000</v>
      </c>
      <c r="N5" s="15"/>
      <c r="O5" s="15"/>
      <c r="P5" s="4">
        <v>1860</v>
      </c>
      <c r="Q5" s="117">
        <f aca="true" t="shared" si="0" ref="Q5:Q32">D5+J5+M5+O5+N5+I5</f>
        <v>5000</v>
      </c>
    </row>
    <row r="6" spans="1:17" ht="11.25">
      <c r="A6" s="64" t="s">
        <v>14</v>
      </c>
      <c r="B6" s="64" t="s">
        <v>15</v>
      </c>
      <c r="C6" s="16">
        <f aca="true" t="shared" si="1" ref="C6:C42">SUM(D6:P6)</f>
        <v>132412</v>
      </c>
      <c r="D6" s="49"/>
      <c r="E6" s="15">
        <v>96903</v>
      </c>
      <c r="F6" s="15">
        <v>7740</v>
      </c>
      <c r="G6" s="15">
        <v>18286</v>
      </c>
      <c r="H6" s="15">
        <v>2503</v>
      </c>
      <c r="I6" s="15"/>
      <c r="J6" s="4"/>
      <c r="K6" s="61">
        <v>2000</v>
      </c>
      <c r="L6" s="15"/>
      <c r="M6" s="15"/>
      <c r="N6" s="15"/>
      <c r="O6" s="15"/>
      <c r="P6" s="4">
        <v>4980</v>
      </c>
      <c r="Q6" s="117">
        <f t="shared" si="0"/>
        <v>0</v>
      </c>
    </row>
    <row r="7" spans="1:17" ht="11.25">
      <c r="A7" s="64" t="s">
        <v>106</v>
      </c>
      <c r="B7" s="64" t="s">
        <v>152</v>
      </c>
      <c r="C7" s="16">
        <f t="shared" si="1"/>
        <v>70184</v>
      </c>
      <c r="D7" s="49"/>
      <c r="E7" s="15">
        <v>34351</v>
      </c>
      <c r="F7" s="15">
        <v>2720</v>
      </c>
      <c r="G7" s="15">
        <v>6636</v>
      </c>
      <c r="H7" s="15">
        <v>908</v>
      </c>
      <c r="I7" s="15"/>
      <c r="J7" s="4">
        <v>1000</v>
      </c>
      <c r="K7" s="61"/>
      <c r="L7" s="15">
        <v>23081</v>
      </c>
      <c r="M7" s="15"/>
      <c r="N7" s="15"/>
      <c r="O7" s="15"/>
      <c r="P7" s="4">
        <v>1488</v>
      </c>
      <c r="Q7" s="117">
        <f t="shared" si="0"/>
        <v>1000</v>
      </c>
    </row>
    <row r="8" spans="1:17" ht="11.25">
      <c r="A8" s="64" t="s">
        <v>16</v>
      </c>
      <c r="B8" s="64" t="s">
        <v>16</v>
      </c>
      <c r="C8" s="16">
        <f t="shared" si="1"/>
        <v>227502</v>
      </c>
      <c r="D8" s="49"/>
      <c r="E8" s="15">
        <v>152691</v>
      </c>
      <c r="F8" s="15">
        <v>12206</v>
      </c>
      <c r="G8" s="15">
        <v>29517</v>
      </c>
      <c r="H8" s="15">
        <v>4040</v>
      </c>
      <c r="I8" s="15"/>
      <c r="J8" s="4">
        <v>3000</v>
      </c>
      <c r="K8" s="61"/>
      <c r="L8" s="15">
        <v>13428</v>
      </c>
      <c r="M8" s="15">
        <v>600</v>
      </c>
      <c r="N8" s="15"/>
      <c r="O8" s="15">
        <v>1400</v>
      </c>
      <c r="P8" s="15">
        <v>10620</v>
      </c>
      <c r="Q8" s="117">
        <f t="shared" si="0"/>
        <v>5000</v>
      </c>
    </row>
    <row r="9" spans="1:17" ht="11.25">
      <c r="A9" s="63" t="s">
        <v>107</v>
      </c>
      <c r="B9" s="64" t="s">
        <v>153</v>
      </c>
      <c r="C9" s="16">
        <f t="shared" si="1"/>
        <v>109079</v>
      </c>
      <c r="D9" s="49"/>
      <c r="E9" s="15">
        <v>79077</v>
      </c>
      <c r="F9" s="15">
        <v>6412</v>
      </c>
      <c r="G9" s="15">
        <v>15302</v>
      </c>
      <c r="H9" s="15">
        <v>2094</v>
      </c>
      <c r="I9" s="15"/>
      <c r="J9" s="4">
        <v>500</v>
      </c>
      <c r="K9" s="61"/>
      <c r="L9" s="15">
        <v>1830</v>
      </c>
      <c r="M9" s="15"/>
      <c r="N9" s="15"/>
      <c r="O9" s="15"/>
      <c r="P9" s="4">
        <v>3864</v>
      </c>
      <c r="Q9" s="117">
        <f t="shared" si="0"/>
        <v>500</v>
      </c>
    </row>
    <row r="10" spans="1:17" ht="11.25">
      <c r="A10" s="63" t="s">
        <v>17</v>
      </c>
      <c r="B10" s="64" t="s">
        <v>18</v>
      </c>
      <c r="C10" s="16">
        <f t="shared" si="1"/>
        <v>170955</v>
      </c>
      <c r="D10" s="49"/>
      <c r="E10" s="15">
        <f>117633-4100</f>
        <v>113533</v>
      </c>
      <c r="F10" s="15">
        <v>9780</v>
      </c>
      <c r="G10" s="15">
        <v>21751</v>
      </c>
      <c r="H10" s="15">
        <v>2977</v>
      </c>
      <c r="I10" s="15"/>
      <c r="J10" s="4">
        <v>811</v>
      </c>
      <c r="K10" s="61"/>
      <c r="L10" s="15">
        <v>14505</v>
      </c>
      <c r="M10" s="15"/>
      <c r="N10" s="15"/>
      <c r="O10" s="15">
        <v>800</v>
      </c>
      <c r="P10" s="4">
        <v>6798</v>
      </c>
      <c r="Q10" s="117">
        <f t="shared" si="0"/>
        <v>1611</v>
      </c>
    </row>
    <row r="11" spans="1:17" ht="11.25">
      <c r="A11" s="63" t="s">
        <v>19</v>
      </c>
      <c r="B11" s="64" t="s">
        <v>154</v>
      </c>
      <c r="C11" s="16">
        <f t="shared" si="1"/>
        <v>60288</v>
      </c>
      <c r="D11" s="49"/>
      <c r="E11" s="15">
        <f>48815-9600</f>
        <v>39215</v>
      </c>
      <c r="F11" s="15">
        <v>3046</v>
      </c>
      <c r="G11" s="15">
        <v>7135</v>
      </c>
      <c r="H11" s="15">
        <v>977</v>
      </c>
      <c r="I11" s="15"/>
      <c r="J11" s="4"/>
      <c r="K11" s="61">
        <v>2000</v>
      </c>
      <c r="L11" s="15">
        <v>6427</v>
      </c>
      <c r="M11" s="15"/>
      <c r="N11" s="15"/>
      <c r="O11" s="15"/>
      <c r="P11" s="4">
        <v>1488</v>
      </c>
      <c r="Q11" s="117">
        <f t="shared" si="0"/>
        <v>0</v>
      </c>
    </row>
    <row r="12" spans="1:17" ht="11.25">
      <c r="A12" s="63" t="s">
        <v>20</v>
      </c>
      <c r="B12" s="64" t="s">
        <v>21</v>
      </c>
      <c r="C12" s="16">
        <f t="shared" si="1"/>
        <v>330654</v>
      </c>
      <c r="D12" s="49">
        <v>300</v>
      </c>
      <c r="E12" s="15">
        <v>214457</v>
      </c>
      <c r="F12" s="15">
        <v>17096</v>
      </c>
      <c r="G12" s="15">
        <v>41448</v>
      </c>
      <c r="H12" s="15">
        <v>5673</v>
      </c>
      <c r="I12" s="15"/>
      <c r="J12" s="4">
        <v>1640</v>
      </c>
      <c r="K12" s="61">
        <v>3000</v>
      </c>
      <c r="L12" s="15">
        <v>34260</v>
      </c>
      <c r="M12" s="15"/>
      <c r="N12" s="15"/>
      <c r="O12" s="15">
        <v>300</v>
      </c>
      <c r="P12" s="4">
        <v>12480</v>
      </c>
      <c r="Q12" s="117">
        <f t="shared" si="0"/>
        <v>2240</v>
      </c>
    </row>
    <row r="13" spans="1:17" ht="11.25">
      <c r="A13" s="63" t="s">
        <v>22</v>
      </c>
      <c r="B13" s="64" t="s">
        <v>23</v>
      </c>
      <c r="C13" s="16">
        <f t="shared" si="1"/>
        <v>153930</v>
      </c>
      <c r="D13" s="49"/>
      <c r="E13" s="15">
        <v>110042</v>
      </c>
      <c r="F13" s="15">
        <v>9156</v>
      </c>
      <c r="G13" s="15">
        <v>20806</v>
      </c>
      <c r="H13" s="15">
        <v>2848</v>
      </c>
      <c r="I13" s="15"/>
      <c r="J13" s="4">
        <v>900</v>
      </c>
      <c r="K13" s="61"/>
      <c r="L13" s="15">
        <v>3938</v>
      </c>
      <c r="M13" s="15"/>
      <c r="N13" s="15"/>
      <c r="O13" s="15"/>
      <c r="P13" s="4">
        <v>6240</v>
      </c>
      <c r="Q13" s="117">
        <f t="shared" si="0"/>
        <v>900</v>
      </c>
    </row>
    <row r="14" spans="1:17" ht="11.25">
      <c r="A14" s="63" t="s">
        <v>24</v>
      </c>
      <c r="B14" s="64" t="s">
        <v>25</v>
      </c>
      <c r="C14" s="16">
        <f t="shared" si="1"/>
        <v>212422</v>
      </c>
      <c r="D14" s="49"/>
      <c r="E14" s="15">
        <v>144250</v>
      </c>
      <c r="F14" s="15">
        <v>11512</v>
      </c>
      <c r="G14" s="15">
        <v>27881</v>
      </c>
      <c r="H14" s="15">
        <v>3816</v>
      </c>
      <c r="I14" s="15"/>
      <c r="J14" s="4">
        <v>2000</v>
      </c>
      <c r="K14" s="61">
        <v>5000</v>
      </c>
      <c r="L14" s="15">
        <v>5603</v>
      </c>
      <c r="M14" s="15">
        <v>2000</v>
      </c>
      <c r="N14" s="15"/>
      <c r="O14" s="15">
        <v>1000</v>
      </c>
      <c r="P14" s="4">
        <v>9360</v>
      </c>
      <c r="Q14" s="117">
        <f t="shared" si="0"/>
        <v>5000</v>
      </c>
    </row>
    <row r="15" spans="1:17" ht="11.25">
      <c r="A15" s="63" t="s">
        <v>26</v>
      </c>
      <c r="B15" s="64" t="s">
        <v>27</v>
      </c>
      <c r="C15" s="16">
        <f t="shared" si="1"/>
        <v>144958</v>
      </c>
      <c r="D15" s="49">
        <v>500</v>
      </c>
      <c r="E15" s="15">
        <v>98446</v>
      </c>
      <c r="F15" s="15">
        <v>8208</v>
      </c>
      <c r="G15" s="15">
        <v>19091</v>
      </c>
      <c r="H15" s="15">
        <v>2613</v>
      </c>
      <c r="I15" s="15"/>
      <c r="J15" s="15">
        <v>1300</v>
      </c>
      <c r="K15" s="34"/>
      <c r="L15" s="15">
        <v>6730</v>
      </c>
      <c r="M15" s="15"/>
      <c r="N15" s="15"/>
      <c r="O15" s="15">
        <v>1200</v>
      </c>
      <c r="P15" s="4">
        <v>6870</v>
      </c>
      <c r="Q15" s="117">
        <f t="shared" si="0"/>
        <v>3000</v>
      </c>
    </row>
    <row r="16" spans="1:17" ht="11.25">
      <c r="A16" s="63" t="s">
        <v>28</v>
      </c>
      <c r="B16" s="64" t="s">
        <v>29</v>
      </c>
      <c r="C16" s="16">
        <f t="shared" si="1"/>
        <v>145125</v>
      </c>
      <c r="D16" s="49"/>
      <c r="E16" s="15">
        <v>92011</v>
      </c>
      <c r="F16" s="15">
        <v>7822</v>
      </c>
      <c r="G16" s="15">
        <v>17434</v>
      </c>
      <c r="H16" s="15">
        <v>2386</v>
      </c>
      <c r="I16" s="15"/>
      <c r="J16" s="4"/>
      <c r="K16" s="61"/>
      <c r="L16" s="15">
        <v>21752</v>
      </c>
      <c r="M16" s="15"/>
      <c r="N16" s="15"/>
      <c r="O16" s="15"/>
      <c r="P16" s="4">
        <v>3720</v>
      </c>
      <c r="Q16" s="117">
        <f t="shared" si="0"/>
        <v>0</v>
      </c>
    </row>
    <row r="17" spans="1:17" ht="11.25">
      <c r="A17" s="63" t="s">
        <v>30</v>
      </c>
      <c r="B17" s="64" t="s">
        <v>31</v>
      </c>
      <c r="C17" s="16">
        <f t="shared" si="1"/>
        <v>186963</v>
      </c>
      <c r="D17" s="49">
        <v>500</v>
      </c>
      <c r="E17" s="15">
        <v>131304</v>
      </c>
      <c r="F17" s="15">
        <v>10568</v>
      </c>
      <c r="G17" s="15">
        <v>25110</v>
      </c>
      <c r="H17" s="15">
        <v>3437</v>
      </c>
      <c r="I17" s="15"/>
      <c r="J17" s="4">
        <v>3500</v>
      </c>
      <c r="K17" s="61">
        <v>1500</v>
      </c>
      <c r="L17" s="15">
        <v>1500</v>
      </c>
      <c r="M17" s="15">
        <v>600</v>
      </c>
      <c r="N17" s="15"/>
      <c r="O17" s="15">
        <v>700</v>
      </c>
      <c r="P17" s="4">
        <v>8244</v>
      </c>
      <c r="Q17" s="117">
        <f t="shared" si="0"/>
        <v>5300</v>
      </c>
    </row>
    <row r="18" spans="1:17" ht="11.25">
      <c r="A18" s="63" t="s">
        <v>32</v>
      </c>
      <c r="B18" s="64" t="s">
        <v>33</v>
      </c>
      <c r="C18" s="16">
        <f t="shared" si="1"/>
        <v>136357</v>
      </c>
      <c r="D18" s="49">
        <v>600</v>
      </c>
      <c r="E18" s="15">
        <f>102582-13374+2004</f>
        <v>91212</v>
      </c>
      <c r="F18" s="15">
        <v>9100</v>
      </c>
      <c r="G18" s="15">
        <v>16645</v>
      </c>
      <c r="H18" s="15">
        <v>2278</v>
      </c>
      <c r="I18" s="15"/>
      <c r="J18" s="4">
        <v>900</v>
      </c>
      <c r="K18" s="61"/>
      <c r="L18" s="15">
        <v>6902</v>
      </c>
      <c r="M18" s="15">
        <v>1400</v>
      </c>
      <c r="N18" s="15">
        <v>200</v>
      </c>
      <c r="O18" s="15">
        <v>880</v>
      </c>
      <c r="P18" s="4">
        <v>6240</v>
      </c>
      <c r="Q18" s="117">
        <f t="shared" si="0"/>
        <v>3980</v>
      </c>
    </row>
    <row r="19" spans="1:17" ht="11.25">
      <c r="A19" s="63" t="s">
        <v>34</v>
      </c>
      <c r="B19" s="64" t="s">
        <v>34</v>
      </c>
      <c r="C19" s="16">
        <f t="shared" si="1"/>
        <v>298776</v>
      </c>
      <c r="D19" s="49"/>
      <c r="E19" s="15">
        <f>212284-2547</f>
        <v>209737</v>
      </c>
      <c r="F19" s="15">
        <v>16463</v>
      </c>
      <c r="G19" s="15">
        <v>40490</v>
      </c>
      <c r="H19" s="15">
        <v>5542</v>
      </c>
      <c r="I19" s="15"/>
      <c r="J19" s="4">
        <v>3000</v>
      </c>
      <c r="K19" s="61"/>
      <c r="L19" s="15">
        <v>6000</v>
      </c>
      <c r="M19" s="15"/>
      <c r="N19" s="15"/>
      <c r="O19" s="15">
        <v>4000</v>
      </c>
      <c r="P19" s="4">
        <v>13544</v>
      </c>
      <c r="Q19" s="117">
        <f t="shared" si="0"/>
        <v>7000</v>
      </c>
    </row>
    <row r="20" spans="1:17" ht="11.25">
      <c r="A20" s="63" t="s">
        <v>156</v>
      </c>
      <c r="B20" s="64" t="s">
        <v>157</v>
      </c>
      <c r="C20" s="16">
        <f t="shared" si="1"/>
        <v>95106</v>
      </c>
      <c r="D20" s="49"/>
      <c r="E20" s="15">
        <v>66648</v>
      </c>
      <c r="F20" s="15">
        <v>5510</v>
      </c>
      <c r="G20" s="15">
        <v>12916</v>
      </c>
      <c r="H20" s="15">
        <v>1768</v>
      </c>
      <c r="I20" s="15"/>
      <c r="J20" s="4">
        <v>1500</v>
      </c>
      <c r="K20" s="61">
        <v>1500</v>
      </c>
      <c r="L20" s="15">
        <v>1560</v>
      </c>
      <c r="M20" s="15"/>
      <c r="N20" s="15"/>
      <c r="O20" s="15">
        <v>1100</v>
      </c>
      <c r="P20" s="4">
        <v>2604</v>
      </c>
      <c r="Q20" s="117">
        <f t="shared" si="0"/>
        <v>2600</v>
      </c>
    </row>
    <row r="21" spans="1:17" ht="11.25">
      <c r="A21" s="63" t="s">
        <v>35</v>
      </c>
      <c r="B21" s="64" t="s">
        <v>36</v>
      </c>
      <c r="C21" s="16">
        <f t="shared" si="1"/>
        <v>182990</v>
      </c>
      <c r="D21" s="49">
        <v>800</v>
      </c>
      <c r="E21" s="15">
        <f>136378-6330</f>
        <v>130048</v>
      </c>
      <c r="F21" s="15">
        <v>9980</v>
      </c>
      <c r="G21" s="15">
        <v>25065</v>
      </c>
      <c r="H21" s="15">
        <v>3431</v>
      </c>
      <c r="I21" s="15">
        <v>1800</v>
      </c>
      <c r="J21" s="4">
        <v>1200</v>
      </c>
      <c r="K21" s="61"/>
      <c r="L21" s="15">
        <v>1050</v>
      </c>
      <c r="M21" s="15">
        <v>1000</v>
      </c>
      <c r="N21" s="15"/>
      <c r="O21" s="15"/>
      <c r="P21" s="4">
        <v>8616</v>
      </c>
      <c r="Q21" s="117">
        <f t="shared" si="0"/>
        <v>4800</v>
      </c>
    </row>
    <row r="22" spans="1:17" ht="11.25">
      <c r="A22" s="63" t="s">
        <v>37</v>
      </c>
      <c r="B22" s="64" t="s">
        <v>38</v>
      </c>
      <c r="C22" s="16">
        <f t="shared" si="1"/>
        <v>224846</v>
      </c>
      <c r="D22" s="49">
        <v>200</v>
      </c>
      <c r="E22" s="15">
        <f>169077-4700</f>
        <v>164377</v>
      </c>
      <c r="F22" s="15">
        <v>8900</v>
      </c>
      <c r="G22" s="15">
        <v>30766</v>
      </c>
      <c r="H22" s="15">
        <v>4211</v>
      </c>
      <c r="I22" s="15"/>
      <c r="J22" s="4">
        <v>4000</v>
      </c>
      <c r="K22" s="61"/>
      <c r="L22" s="15"/>
      <c r="M22" s="15">
        <v>700</v>
      </c>
      <c r="N22" s="15">
        <v>200</v>
      </c>
      <c r="O22" s="15">
        <v>500</v>
      </c>
      <c r="P22" s="15">
        <v>10992</v>
      </c>
      <c r="Q22" s="117">
        <f t="shared" si="0"/>
        <v>5600</v>
      </c>
    </row>
    <row r="23" spans="1:17" ht="11.25">
      <c r="A23" s="63" t="s">
        <v>39</v>
      </c>
      <c r="B23" s="64" t="s">
        <v>40</v>
      </c>
      <c r="C23" s="16">
        <f t="shared" si="1"/>
        <v>181564</v>
      </c>
      <c r="D23" s="49"/>
      <c r="E23" s="15">
        <f>126938-9007</f>
        <v>117931</v>
      </c>
      <c r="F23" s="15">
        <v>9464</v>
      </c>
      <c r="G23" s="15">
        <v>22804</v>
      </c>
      <c r="H23" s="15">
        <v>3121</v>
      </c>
      <c r="I23" s="15"/>
      <c r="J23" s="4">
        <v>1200</v>
      </c>
      <c r="K23" s="61"/>
      <c r="L23" s="15">
        <v>12000</v>
      </c>
      <c r="M23" s="15">
        <v>5600</v>
      </c>
      <c r="N23" s="15">
        <v>200</v>
      </c>
      <c r="O23" s="15">
        <v>1000</v>
      </c>
      <c r="P23" s="15">
        <v>8244</v>
      </c>
      <c r="Q23" s="117">
        <f t="shared" si="0"/>
        <v>8000</v>
      </c>
    </row>
    <row r="24" spans="1:17" ht="11.25">
      <c r="A24" s="63" t="s">
        <v>41</v>
      </c>
      <c r="B24" s="64" t="s">
        <v>42</v>
      </c>
      <c r="C24" s="16">
        <f t="shared" si="1"/>
        <v>222380</v>
      </c>
      <c r="D24" s="49">
        <v>1200</v>
      </c>
      <c r="E24" s="15">
        <f>160835-3997</f>
        <v>156838</v>
      </c>
      <c r="F24" s="15">
        <v>12718</v>
      </c>
      <c r="G24" s="15">
        <v>29993</v>
      </c>
      <c r="H24" s="15">
        <v>4105</v>
      </c>
      <c r="I24" s="15"/>
      <c r="J24" s="4">
        <v>1000</v>
      </c>
      <c r="K24" s="61"/>
      <c r="L24" s="15">
        <v>6166</v>
      </c>
      <c r="M24" s="15"/>
      <c r="N24" s="15"/>
      <c r="O24" s="15">
        <v>1000</v>
      </c>
      <c r="P24" s="4">
        <v>9360</v>
      </c>
      <c r="Q24" s="117">
        <f t="shared" si="0"/>
        <v>3200</v>
      </c>
    </row>
    <row r="25" spans="1:17" ht="11.25">
      <c r="A25" s="63" t="s">
        <v>114</v>
      </c>
      <c r="B25" s="64" t="s">
        <v>158</v>
      </c>
      <c r="C25" s="16">
        <f t="shared" si="1"/>
        <v>74742</v>
      </c>
      <c r="D25" s="49"/>
      <c r="E25" s="15">
        <v>51296</v>
      </c>
      <c r="F25" s="15">
        <v>4300</v>
      </c>
      <c r="G25" s="15">
        <v>9952</v>
      </c>
      <c r="H25" s="15">
        <v>1362</v>
      </c>
      <c r="I25" s="15"/>
      <c r="J25" s="4">
        <v>800</v>
      </c>
      <c r="K25" s="61"/>
      <c r="L25" s="15">
        <v>4100</v>
      </c>
      <c r="M25" s="15"/>
      <c r="N25" s="15"/>
      <c r="O25" s="15">
        <v>700</v>
      </c>
      <c r="P25" s="4">
        <v>2232</v>
      </c>
      <c r="Q25" s="117">
        <f t="shared" si="0"/>
        <v>1500</v>
      </c>
    </row>
    <row r="26" spans="1:17" ht="11.25">
      <c r="A26" s="63" t="s">
        <v>43</v>
      </c>
      <c r="B26" s="64" t="s">
        <v>44</v>
      </c>
      <c r="C26" s="16">
        <f t="shared" si="1"/>
        <v>209755</v>
      </c>
      <c r="D26" s="49"/>
      <c r="E26" s="15">
        <f>159225-12919</f>
        <v>146306</v>
      </c>
      <c r="F26" s="15">
        <v>12262</v>
      </c>
      <c r="G26" s="15">
        <v>28384</v>
      </c>
      <c r="H26" s="15">
        <v>3885</v>
      </c>
      <c r="I26" s="15"/>
      <c r="J26" s="4">
        <v>500</v>
      </c>
      <c r="K26" s="61"/>
      <c r="L26" s="15">
        <v>9932</v>
      </c>
      <c r="M26" s="15"/>
      <c r="N26" s="15"/>
      <c r="O26" s="15">
        <v>500</v>
      </c>
      <c r="P26" s="4">
        <v>7986</v>
      </c>
      <c r="Q26" s="117">
        <f t="shared" si="0"/>
        <v>1000</v>
      </c>
    </row>
    <row r="27" spans="1:17" ht="11.25">
      <c r="A27" s="63" t="s">
        <v>45</v>
      </c>
      <c r="B27" s="64" t="s">
        <v>46</v>
      </c>
      <c r="C27" s="16">
        <f t="shared" si="1"/>
        <v>173827</v>
      </c>
      <c r="D27" s="49">
        <v>400</v>
      </c>
      <c r="E27" s="15">
        <f>138838-21359</f>
        <v>117479</v>
      </c>
      <c r="F27" s="15">
        <v>9167</v>
      </c>
      <c r="G27" s="15">
        <v>21995</v>
      </c>
      <c r="H27" s="15">
        <v>3011</v>
      </c>
      <c r="I27" s="15"/>
      <c r="J27" s="4">
        <v>2300</v>
      </c>
      <c r="K27" s="61">
        <v>1500</v>
      </c>
      <c r="L27" s="15">
        <v>9063</v>
      </c>
      <c r="M27" s="15"/>
      <c r="N27" s="15"/>
      <c r="O27" s="15">
        <v>2300</v>
      </c>
      <c r="P27" s="4">
        <v>6612</v>
      </c>
      <c r="Q27" s="117">
        <f t="shared" si="0"/>
        <v>5000</v>
      </c>
    </row>
    <row r="28" spans="1:17" ht="11.25">
      <c r="A28" s="63" t="s">
        <v>47</v>
      </c>
      <c r="B28" s="64" t="s">
        <v>48</v>
      </c>
      <c r="C28" s="16">
        <f t="shared" si="1"/>
        <v>325737</v>
      </c>
      <c r="D28" s="49">
        <v>415</v>
      </c>
      <c r="E28" s="15">
        <f>201878-4756</f>
        <v>197122</v>
      </c>
      <c r="F28" s="15">
        <v>15054</v>
      </c>
      <c r="G28" s="15">
        <v>37141</v>
      </c>
      <c r="H28" s="15">
        <v>5084</v>
      </c>
      <c r="I28" s="15"/>
      <c r="J28" s="4">
        <v>3500</v>
      </c>
      <c r="K28" s="61">
        <v>1600</v>
      </c>
      <c r="L28" s="15">
        <v>51128</v>
      </c>
      <c r="M28" s="15">
        <v>1800</v>
      </c>
      <c r="N28" s="15"/>
      <c r="O28" s="15">
        <v>785</v>
      </c>
      <c r="P28" s="4">
        <v>12108</v>
      </c>
      <c r="Q28" s="117">
        <f t="shared" si="0"/>
        <v>6500</v>
      </c>
    </row>
    <row r="29" spans="1:17" ht="11.25">
      <c r="A29" s="63" t="s">
        <v>49</v>
      </c>
      <c r="B29" s="64" t="s">
        <v>50</v>
      </c>
      <c r="C29" s="16">
        <f t="shared" si="1"/>
        <v>245102</v>
      </c>
      <c r="D29" s="49"/>
      <c r="E29" s="15">
        <v>162563</v>
      </c>
      <c r="F29" s="15">
        <v>13684</v>
      </c>
      <c r="G29" s="15">
        <v>31548</v>
      </c>
      <c r="H29" s="15">
        <v>4318</v>
      </c>
      <c r="I29" s="15"/>
      <c r="J29" s="4">
        <v>3000</v>
      </c>
      <c r="K29" s="61">
        <v>5000</v>
      </c>
      <c r="L29" s="15">
        <v>13350</v>
      </c>
      <c r="M29" s="15"/>
      <c r="N29" s="15"/>
      <c r="O29" s="15"/>
      <c r="P29" s="15">
        <v>11639</v>
      </c>
      <c r="Q29" s="117">
        <f t="shared" si="0"/>
        <v>3000</v>
      </c>
    </row>
    <row r="30" spans="1:17" ht="11.25">
      <c r="A30" s="63" t="s">
        <v>51</v>
      </c>
      <c r="B30" s="64" t="s">
        <v>52</v>
      </c>
      <c r="C30" s="16">
        <f t="shared" si="1"/>
        <v>206057</v>
      </c>
      <c r="D30" s="49">
        <v>300</v>
      </c>
      <c r="E30" s="15">
        <v>143023</v>
      </c>
      <c r="F30" s="15">
        <v>10850</v>
      </c>
      <c r="G30" s="15">
        <v>27543</v>
      </c>
      <c r="H30" s="15">
        <v>3770</v>
      </c>
      <c r="I30" s="15"/>
      <c r="J30" s="4">
        <v>800</v>
      </c>
      <c r="K30" s="61">
        <v>2500</v>
      </c>
      <c r="L30" s="15">
        <v>7679</v>
      </c>
      <c r="M30" s="15"/>
      <c r="N30" s="15"/>
      <c r="O30" s="15">
        <v>790</v>
      </c>
      <c r="P30" s="4">
        <v>8802</v>
      </c>
      <c r="Q30" s="117">
        <f t="shared" si="0"/>
        <v>1890</v>
      </c>
    </row>
    <row r="31" spans="1:17" ht="11.25">
      <c r="A31" s="63" t="s">
        <v>53</v>
      </c>
      <c r="B31" s="64" t="s">
        <v>54</v>
      </c>
      <c r="C31" s="16">
        <f t="shared" si="1"/>
        <v>208308</v>
      </c>
      <c r="D31" s="49">
        <v>400</v>
      </c>
      <c r="E31" s="15">
        <v>143938</v>
      </c>
      <c r="F31" s="15">
        <v>10176</v>
      </c>
      <c r="G31" s="15">
        <v>27395</v>
      </c>
      <c r="H31" s="15">
        <v>3750</v>
      </c>
      <c r="I31" s="15"/>
      <c r="J31" s="15">
        <v>2400</v>
      </c>
      <c r="K31" s="34">
        <v>5000</v>
      </c>
      <c r="L31" s="15">
        <v>4568</v>
      </c>
      <c r="M31" s="15"/>
      <c r="N31" s="15">
        <v>300</v>
      </c>
      <c r="O31" s="15">
        <v>1393</v>
      </c>
      <c r="P31" s="4">
        <v>8988</v>
      </c>
      <c r="Q31" s="117">
        <f t="shared" si="0"/>
        <v>4493</v>
      </c>
    </row>
    <row r="32" spans="1:17" ht="11.25">
      <c r="A32" s="63" t="s">
        <v>55</v>
      </c>
      <c r="B32" s="64" t="s">
        <v>56</v>
      </c>
      <c r="C32" s="16">
        <f t="shared" si="1"/>
        <v>85899</v>
      </c>
      <c r="D32" s="49"/>
      <c r="E32" s="15">
        <f>73019-11024</f>
        <v>61995</v>
      </c>
      <c r="F32" s="15">
        <v>5044</v>
      </c>
      <c r="G32" s="15">
        <v>12000</v>
      </c>
      <c r="H32" s="15">
        <v>1642</v>
      </c>
      <c r="I32" s="15"/>
      <c r="J32" s="4"/>
      <c r="K32" s="61"/>
      <c r="L32" s="15">
        <v>2800</v>
      </c>
      <c r="M32" s="15"/>
      <c r="N32" s="15"/>
      <c r="O32" s="15"/>
      <c r="P32" s="4">
        <v>2418</v>
      </c>
      <c r="Q32" s="117">
        <f t="shared" si="0"/>
        <v>0</v>
      </c>
    </row>
    <row r="33" spans="1:17" ht="11.25" hidden="1">
      <c r="A33" s="63" t="s">
        <v>162</v>
      </c>
      <c r="B33" s="64" t="s">
        <v>136</v>
      </c>
      <c r="C33" s="16">
        <v>0</v>
      </c>
      <c r="D33" s="49"/>
      <c r="E33" s="15"/>
      <c r="F33" s="15"/>
      <c r="G33" s="15"/>
      <c r="H33" s="15"/>
      <c r="I33" s="15"/>
      <c r="J33" s="4"/>
      <c r="K33" s="61"/>
      <c r="L33" s="15"/>
      <c r="M33" s="15"/>
      <c r="N33" s="15"/>
      <c r="O33" s="15"/>
      <c r="P33" s="4"/>
      <c r="Q33" s="117"/>
    </row>
    <row r="34" spans="1:17" ht="11.25">
      <c r="A34" s="63" t="s">
        <v>57</v>
      </c>
      <c r="B34" s="64" t="s">
        <v>58</v>
      </c>
      <c r="C34" s="16">
        <f t="shared" si="1"/>
        <v>350090</v>
      </c>
      <c r="D34" s="49">
        <v>700</v>
      </c>
      <c r="E34" s="15">
        <f>242945-18549</f>
        <v>224396</v>
      </c>
      <c r="F34" s="15">
        <v>16990</v>
      </c>
      <c r="G34" s="15">
        <v>42947</v>
      </c>
      <c r="H34" s="15">
        <v>5878</v>
      </c>
      <c r="I34" s="15"/>
      <c r="J34" s="4">
        <v>2500</v>
      </c>
      <c r="K34" s="61"/>
      <c r="L34" s="15">
        <v>39180</v>
      </c>
      <c r="M34" s="15">
        <v>2000</v>
      </c>
      <c r="N34" s="15">
        <v>700</v>
      </c>
      <c r="O34" s="15">
        <v>1500</v>
      </c>
      <c r="P34" s="15">
        <v>13299</v>
      </c>
      <c r="Q34" s="117">
        <f aca="true" t="shared" si="2" ref="Q34:Q42">D34+J34+M34+O34+N34+I34</f>
        <v>7400</v>
      </c>
    </row>
    <row r="35" spans="1:17" ht="11.25">
      <c r="A35" s="63" t="s">
        <v>59</v>
      </c>
      <c r="B35" s="64" t="s">
        <v>60</v>
      </c>
      <c r="C35" s="16">
        <f t="shared" si="1"/>
        <v>299748</v>
      </c>
      <c r="D35" s="49"/>
      <c r="E35" s="15">
        <f>224950-32098</f>
        <v>192852</v>
      </c>
      <c r="F35" s="15">
        <v>15820</v>
      </c>
      <c r="G35" s="15">
        <v>36652</v>
      </c>
      <c r="H35" s="15">
        <v>5017</v>
      </c>
      <c r="I35" s="15"/>
      <c r="J35" s="15">
        <v>3924</v>
      </c>
      <c r="K35" s="34">
        <v>3000</v>
      </c>
      <c r="L35" s="15">
        <v>25771</v>
      </c>
      <c r="M35" s="15">
        <v>1640</v>
      </c>
      <c r="N35" s="15">
        <v>364</v>
      </c>
      <c r="O35" s="15">
        <v>2972</v>
      </c>
      <c r="P35" s="15">
        <v>11736</v>
      </c>
      <c r="Q35" s="117">
        <f t="shared" si="2"/>
        <v>8900</v>
      </c>
    </row>
    <row r="36" spans="1:17" ht="11.25">
      <c r="A36" s="63" t="s">
        <v>61</v>
      </c>
      <c r="B36" s="64" t="s">
        <v>163</v>
      </c>
      <c r="C36" s="16">
        <f t="shared" si="1"/>
        <v>89351</v>
      </c>
      <c r="D36" s="49"/>
      <c r="E36" s="15">
        <v>64235</v>
      </c>
      <c r="F36" s="15">
        <v>6606</v>
      </c>
      <c r="G36" s="15">
        <v>12681</v>
      </c>
      <c r="H36" s="15">
        <v>1736</v>
      </c>
      <c r="I36" s="15"/>
      <c r="J36" s="4"/>
      <c r="K36" s="61"/>
      <c r="L36" s="15">
        <v>1675</v>
      </c>
      <c r="M36" s="15"/>
      <c r="N36" s="15"/>
      <c r="O36" s="15"/>
      <c r="P36" s="4">
        <v>2418</v>
      </c>
      <c r="Q36" s="117">
        <f t="shared" si="2"/>
        <v>0</v>
      </c>
    </row>
    <row r="37" spans="1:17" ht="11.25">
      <c r="A37" s="64" t="s">
        <v>62</v>
      </c>
      <c r="B37" s="64" t="s">
        <v>63</v>
      </c>
      <c r="C37" s="16">
        <f t="shared" si="1"/>
        <v>214042</v>
      </c>
      <c r="D37" s="49"/>
      <c r="E37" s="15">
        <f>160812-5570</f>
        <v>155242</v>
      </c>
      <c r="F37" s="15">
        <v>12682</v>
      </c>
      <c r="G37" s="15">
        <v>29875</v>
      </c>
      <c r="H37" s="15">
        <v>4089</v>
      </c>
      <c r="I37" s="15"/>
      <c r="J37" s="4">
        <v>500</v>
      </c>
      <c r="K37" s="61"/>
      <c r="L37" s="15">
        <v>2666</v>
      </c>
      <c r="M37" s="15"/>
      <c r="N37" s="15"/>
      <c r="O37" s="15"/>
      <c r="P37" s="15">
        <v>8988</v>
      </c>
      <c r="Q37" s="117">
        <f t="shared" si="2"/>
        <v>500</v>
      </c>
    </row>
    <row r="38" spans="1:17" ht="11.25">
      <c r="A38" s="64" t="s">
        <v>64</v>
      </c>
      <c r="B38" s="64" t="s">
        <v>65</v>
      </c>
      <c r="C38" s="16">
        <f t="shared" si="1"/>
        <v>313075</v>
      </c>
      <c r="D38" s="49">
        <v>1800</v>
      </c>
      <c r="E38" s="15">
        <f>217727-8497</f>
        <v>209230</v>
      </c>
      <c r="F38" s="15">
        <v>15521</v>
      </c>
      <c r="G38" s="15">
        <v>38893</v>
      </c>
      <c r="H38" s="15">
        <v>5323</v>
      </c>
      <c r="I38" s="15"/>
      <c r="J38" s="15">
        <v>4500</v>
      </c>
      <c r="K38" s="34">
        <f>1000+1000</f>
        <v>2000</v>
      </c>
      <c r="L38" s="15">
        <v>21000</v>
      </c>
      <c r="M38" s="15">
        <v>2200</v>
      </c>
      <c r="N38" s="15"/>
      <c r="O38" s="15">
        <v>500</v>
      </c>
      <c r="P38" s="15">
        <v>12108</v>
      </c>
      <c r="Q38" s="117">
        <f t="shared" si="2"/>
        <v>9000</v>
      </c>
    </row>
    <row r="39" spans="1:17" ht="11.25">
      <c r="A39" s="64" t="s">
        <v>66</v>
      </c>
      <c r="B39" s="64" t="s">
        <v>67</v>
      </c>
      <c r="C39" s="16">
        <f t="shared" si="1"/>
        <v>196540</v>
      </c>
      <c r="D39" s="49"/>
      <c r="E39" s="15">
        <f>146075-9732</f>
        <v>136343</v>
      </c>
      <c r="F39" s="15">
        <v>9744</v>
      </c>
      <c r="G39" s="15">
        <v>25701</v>
      </c>
      <c r="H39" s="15">
        <v>3518</v>
      </c>
      <c r="I39" s="15"/>
      <c r="J39" s="4">
        <v>2600</v>
      </c>
      <c r="K39" s="61"/>
      <c r="L39" s="15">
        <v>7146</v>
      </c>
      <c r="M39" s="15">
        <v>1800</v>
      </c>
      <c r="N39" s="15"/>
      <c r="O39" s="15">
        <v>700</v>
      </c>
      <c r="P39" s="4">
        <v>8988</v>
      </c>
      <c r="Q39" s="117">
        <f t="shared" si="2"/>
        <v>5100</v>
      </c>
    </row>
    <row r="40" spans="1:17" ht="11.25">
      <c r="A40" s="64" t="s">
        <v>68</v>
      </c>
      <c r="B40" s="64" t="s">
        <v>69</v>
      </c>
      <c r="C40" s="16">
        <f t="shared" si="1"/>
        <v>318866</v>
      </c>
      <c r="D40" s="49"/>
      <c r="E40" s="15">
        <f>230687-5737</f>
        <v>224950</v>
      </c>
      <c r="F40" s="15">
        <v>17000</v>
      </c>
      <c r="G40" s="15">
        <v>43309</v>
      </c>
      <c r="H40" s="15">
        <v>5928</v>
      </c>
      <c r="I40" s="15"/>
      <c r="J40" s="4">
        <v>2000</v>
      </c>
      <c r="K40" s="61"/>
      <c r="L40" s="15">
        <v>7679</v>
      </c>
      <c r="M40" s="15">
        <v>1200</v>
      </c>
      <c r="N40" s="15"/>
      <c r="O40" s="15">
        <v>1800</v>
      </c>
      <c r="P40" s="4">
        <v>15000</v>
      </c>
      <c r="Q40" s="117">
        <f t="shared" si="2"/>
        <v>5000</v>
      </c>
    </row>
    <row r="41" spans="1:17" ht="11.25">
      <c r="A41" s="64" t="s">
        <v>70</v>
      </c>
      <c r="B41" s="64" t="s">
        <v>71</v>
      </c>
      <c r="C41" s="16">
        <f t="shared" si="1"/>
        <v>353533</v>
      </c>
      <c r="D41" s="49"/>
      <c r="E41" s="15">
        <v>235238</v>
      </c>
      <c r="F41" s="15">
        <v>16100</v>
      </c>
      <c r="G41" s="15">
        <v>44345</v>
      </c>
      <c r="H41" s="15">
        <v>6070</v>
      </c>
      <c r="I41" s="15"/>
      <c r="J41" s="4">
        <v>1500</v>
      </c>
      <c r="K41" s="61"/>
      <c r="L41" s="15">
        <v>33400</v>
      </c>
      <c r="M41" s="15">
        <v>2400</v>
      </c>
      <c r="N41" s="15"/>
      <c r="O41" s="15">
        <v>2000</v>
      </c>
      <c r="P41" s="15">
        <v>12480</v>
      </c>
      <c r="Q41" s="117">
        <f t="shared" si="2"/>
        <v>5900</v>
      </c>
    </row>
    <row r="42" spans="1:17" ht="11.25">
      <c r="A42" s="64" t="s">
        <v>72</v>
      </c>
      <c r="B42" s="64" t="s">
        <v>73</v>
      </c>
      <c r="C42" s="16">
        <f t="shared" si="1"/>
        <v>488516</v>
      </c>
      <c r="D42" s="49">
        <v>500</v>
      </c>
      <c r="E42" s="15">
        <f>337132-10200</f>
        <v>326932</v>
      </c>
      <c r="F42" s="15">
        <v>26726</v>
      </c>
      <c r="G42" s="15">
        <v>62061</v>
      </c>
      <c r="H42" s="15">
        <v>8494</v>
      </c>
      <c r="I42" s="15"/>
      <c r="J42" s="4">
        <v>5948</v>
      </c>
      <c r="K42" s="61"/>
      <c r="L42" s="15">
        <v>33619</v>
      </c>
      <c r="M42" s="15">
        <v>2000</v>
      </c>
      <c r="N42" s="15">
        <v>500</v>
      </c>
      <c r="O42" s="15">
        <v>2500</v>
      </c>
      <c r="P42" s="15">
        <v>19236</v>
      </c>
      <c r="Q42" s="117">
        <f t="shared" si="2"/>
        <v>11448</v>
      </c>
    </row>
    <row r="43" spans="1:17" ht="11.25">
      <c r="A43" s="64" t="s">
        <v>74</v>
      </c>
      <c r="B43" s="64" t="s">
        <v>75</v>
      </c>
      <c r="C43" s="16">
        <f>SUM(D43:P43)</f>
        <v>192565</v>
      </c>
      <c r="D43" s="49"/>
      <c r="E43" s="15">
        <v>140037</v>
      </c>
      <c r="F43" s="15">
        <v>12075</v>
      </c>
      <c r="G43" s="15">
        <v>26727</v>
      </c>
      <c r="H43" s="15">
        <v>3658</v>
      </c>
      <c r="I43" s="15"/>
      <c r="J43" s="4"/>
      <c r="K43" s="61"/>
      <c r="L43" s="15">
        <v>1710</v>
      </c>
      <c r="M43" s="15"/>
      <c r="N43" s="15"/>
      <c r="O43" s="15"/>
      <c r="P43" s="4">
        <v>8358</v>
      </c>
      <c r="Q43" s="117">
        <f>D43+J43+M43+O43+N43+I43</f>
        <v>0</v>
      </c>
    </row>
    <row r="44" spans="1:17" ht="33" customHeight="1">
      <c r="A44" s="273" t="s">
        <v>227</v>
      </c>
      <c r="B44" s="241"/>
      <c r="C44" s="16">
        <v>3500</v>
      </c>
      <c r="D44" s="49"/>
      <c r="E44" s="15"/>
      <c r="F44" s="15"/>
      <c r="G44" s="15"/>
      <c r="H44" s="15"/>
      <c r="I44" s="15"/>
      <c r="J44" s="4"/>
      <c r="K44" s="61"/>
      <c r="L44" s="15"/>
      <c r="M44" s="15"/>
      <c r="N44" s="15"/>
      <c r="O44" s="15"/>
      <c r="P44" s="4"/>
      <c r="Q44" s="117"/>
    </row>
    <row r="45" spans="1:17" ht="12.75">
      <c r="A45" s="20" t="s">
        <v>96</v>
      </c>
      <c r="B45" s="18"/>
      <c r="C45" s="16">
        <f aca="true" t="shared" si="3" ref="C45:Q45">SUM(C5:C44)</f>
        <v>7727648</v>
      </c>
      <c r="D45" s="16">
        <f t="shared" si="3"/>
        <v>8615</v>
      </c>
      <c r="E45" s="16">
        <f t="shared" si="3"/>
        <v>5229674</v>
      </c>
      <c r="F45" s="16">
        <f t="shared" si="3"/>
        <v>413202</v>
      </c>
      <c r="G45" s="16">
        <f t="shared" si="3"/>
        <v>998444</v>
      </c>
      <c r="H45" s="16">
        <f t="shared" si="3"/>
        <v>136660</v>
      </c>
      <c r="I45" s="16">
        <f t="shared" si="3"/>
        <v>1800</v>
      </c>
      <c r="J45" s="16">
        <f t="shared" si="3"/>
        <v>67223</v>
      </c>
      <c r="K45" s="35">
        <f t="shared" si="3"/>
        <v>35600</v>
      </c>
      <c r="L45" s="16">
        <f t="shared" si="3"/>
        <v>458198</v>
      </c>
      <c r="M45" s="16">
        <f t="shared" si="3"/>
        <v>28940</v>
      </c>
      <c r="N45" s="16">
        <f t="shared" si="3"/>
        <v>2464</v>
      </c>
      <c r="O45" s="16">
        <f t="shared" si="3"/>
        <v>32320</v>
      </c>
      <c r="P45" s="16">
        <f t="shared" si="3"/>
        <v>311008</v>
      </c>
      <c r="Q45" s="118">
        <f t="shared" si="3"/>
        <v>141362</v>
      </c>
    </row>
    <row r="46" spans="3:4" ht="11.25">
      <c r="C46" s="9"/>
      <c r="D46" s="9"/>
    </row>
    <row r="47" ht="11.25">
      <c r="E47" s="9"/>
    </row>
    <row r="48" ht="11.25">
      <c r="E48" s="9"/>
    </row>
    <row r="56" spans="1:11" ht="12.75">
      <c r="A56" s="37"/>
      <c r="B56" s="38"/>
      <c r="C56" s="8"/>
      <c r="D56" s="8"/>
      <c r="E56" s="8"/>
      <c r="F56" s="8"/>
      <c r="G56" s="8"/>
      <c r="H56" s="8"/>
      <c r="I56" s="8"/>
      <c r="J56" s="8"/>
      <c r="K56" s="26"/>
    </row>
    <row r="57" spans="1:11" ht="11.25">
      <c r="A57" s="8"/>
      <c r="B57" s="38"/>
      <c r="C57" s="8"/>
      <c r="D57" s="8"/>
      <c r="E57" s="8"/>
      <c r="F57" s="8"/>
      <c r="G57" s="8"/>
      <c r="H57" s="8"/>
      <c r="I57" s="8"/>
      <c r="J57" s="8"/>
      <c r="K57" s="26"/>
    </row>
    <row r="58" spans="1:11" ht="11.25">
      <c r="A58" s="28"/>
      <c r="B58" s="28"/>
      <c r="C58" s="39"/>
      <c r="D58" s="39"/>
      <c r="E58" s="28"/>
      <c r="F58" s="28"/>
      <c r="G58" s="29"/>
      <c r="H58" s="39"/>
      <c r="I58" s="39"/>
      <c r="J58" s="28"/>
      <c r="K58" s="71"/>
    </row>
    <row r="59" spans="1:11" ht="11.25">
      <c r="A59" s="38"/>
      <c r="B59" s="38"/>
      <c r="C59" s="7"/>
      <c r="D59" s="7"/>
      <c r="E59" s="7"/>
      <c r="F59" s="7"/>
      <c r="G59" s="7"/>
      <c r="H59" s="7"/>
      <c r="I59" s="7"/>
      <c r="J59" s="8"/>
      <c r="K59" s="26"/>
    </row>
    <row r="60" spans="1:11" ht="11.25">
      <c r="A60" s="38"/>
      <c r="B60" s="38"/>
      <c r="C60" s="7"/>
      <c r="D60" s="7"/>
      <c r="E60" s="7"/>
      <c r="F60" s="7"/>
      <c r="G60" s="7"/>
      <c r="H60" s="7"/>
      <c r="I60" s="7"/>
      <c r="J60" s="8"/>
      <c r="K60" s="26"/>
    </row>
    <row r="61" spans="1:11" ht="11.25">
      <c r="A61" s="38"/>
      <c r="B61" s="38"/>
      <c r="C61" s="7"/>
      <c r="D61" s="7"/>
      <c r="E61" s="7"/>
      <c r="F61" s="7"/>
      <c r="G61" s="7"/>
      <c r="H61" s="7"/>
      <c r="I61" s="7"/>
      <c r="J61" s="8"/>
      <c r="K61" s="26"/>
    </row>
    <row r="62" spans="1:11" ht="11.25">
      <c r="A62" s="8"/>
      <c r="B62" s="38"/>
      <c r="C62" s="7"/>
      <c r="D62" s="7"/>
      <c r="E62" s="7"/>
      <c r="F62" s="7"/>
      <c r="G62" s="7"/>
      <c r="H62" s="7"/>
      <c r="I62" s="7"/>
      <c r="J62" s="7"/>
      <c r="K62" s="72"/>
    </row>
    <row r="63" spans="1:11" ht="11.25">
      <c r="A63" s="40"/>
      <c r="B63" s="38"/>
      <c r="C63" s="7"/>
      <c r="D63" s="7"/>
      <c r="E63" s="7"/>
      <c r="F63" s="7"/>
      <c r="G63" s="7"/>
      <c r="H63" s="7"/>
      <c r="I63" s="7"/>
      <c r="J63" s="8"/>
      <c r="K63" s="26"/>
    </row>
    <row r="64" spans="1:11" ht="11.25">
      <c r="A64" s="40"/>
      <c r="B64" s="38"/>
      <c r="C64" s="7"/>
      <c r="D64" s="7"/>
      <c r="E64" s="7"/>
      <c r="F64" s="7"/>
      <c r="G64" s="7"/>
      <c r="H64" s="7"/>
      <c r="I64" s="7"/>
      <c r="J64" s="8"/>
      <c r="K64" s="26"/>
    </row>
    <row r="65" spans="1:11" ht="11.25">
      <c r="A65" s="40"/>
      <c r="B65" s="38"/>
      <c r="C65" s="7"/>
      <c r="D65" s="7"/>
      <c r="E65" s="7"/>
      <c r="F65" s="7"/>
      <c r="G65" s="7"/>
      <c r="H65" s="7"/>
      <c r="I65" s="7"/>
      <c r="J65" s="8"/>
      <c r="K65" s="26"/>
    </row>
    <row r="66" spans="1:11" ht="11.25">
      <c r="A66" s="40"/>
      <c r="B66" s="38"/>
      <c r="C66" s="7"/>
      <c r="D66" s="7"/>
      <c r="E66" s="7"/>
      <c r="F66" s="7"/>
      <c r="G66" s="7"/>
      <c r="H66" s="7"/>
      <c r="I66" s="7"/>
      <c r="J66" s="8"/>
      <c r="K66" s="26"/>
    </row>
    <row r="67" spans="1:11" ht="11.25">
      <c r="A67" s="40"/>
      <c r="B67" s="38"/>
      <c r="C67" s="7"/>
      <c r="D67" s="7"/>
      <c r="E67" s="7"/>
      <c r="F67" s="7"/>
      <c r="G67" s="7"/>
      <c r="H67" s="7"/>
      <c r="I67" s="7"/>
      <c r="J67" s="8"/>
      <c r="K67" s="26"/>
    </row>
    <row r="68" spans="1:11" ht="11.25">
      <c r="A68" s="40"/>
      <c r="B68" s="38"/>
      <c r="C68" s="7"/>
      <c r="D68" s="7"/>
      <c r="E68" s="7"/>
      <c r="F68" s="7"/>
      <c r="G68" s="7"/>
      <c r="H68" s="7"/>
      <c r="I68" s="7"/>
      <c r="J68" s="8"/>
      <c r="K68" s="26"/>
    </row>
    <row r="69" spans="1:11" ht="11.25">
      <c r="A69" s="40"/>
      <c r="B69" s="38"/>
      <c r="C69" s="7"/>
      <c r="D69" s="7"/>
      <c r="E69" s="7"/>
      <c r="F69" s="7"/>
      <c r="G69" s="7"/>
      <c r="H69" s="7"/>
      <c r="I69" s="7"/>
      <c r="J69" s="8"/>
      <c r="K69" s="26"/>
    </row>
    <row r="70" spans="1:11" ht="11.25">
      <c r="A70" s="40"/>
      <c r="B70" s="38"/>
      <c r="C70" s="7"/>
      <c r="D70" s="7"/>
      <c r="E70" s="7"/>
      <c r="F70" s="7"/>
      <c r="G70" s="7"/>
      <c r="H70" s="7"/>
      <c r="I70" s="7"/>
      <c r="J70" s="8"/>
      <c r="K70" s="26"/>
    </row>
    <row r="71" spans="1:11" ht="11.25">
      <c r="A71" s="40"/>
      <c r="B71" s="38"/>
      <c r="C71" s="7"/>
      <c r="D71" s="7"/>
      <c r="E71" s="7"/>
      <c r="F71" s="7"/>
      <c r="G71" s="7"/>
      <c r="H71" s="7"/>
      <c r="I71" s="7"/>
      <c r="J71" s="8"/>
      <c r="K71" s="26"/>
    </row>
    <row r="72" spans="1:11" ht="11.25">
      <c r="A72" s="40"/>
      <c r="B72" s="38"/>
      <c r="C72" s="7"/>
      <c r="D72" s="7"/>
      <c r="E72" s="7"/>
      <c r="F72" s="7"/>
      <c r="G72" s="7"/>
      <c r="H72" s="7"/>
      <c r="I72" s="7"/>
      <c r="J72" s="8"/>
      <c r="K72" s="26"/>
    </row>
    <row r="73" spans="1:11" ht="11.25">
      <c r="A73" s="40"/>
      <c r="B73" s="38"/>
      <c r="C73" s="7"/>
      <c r="D73" s="7"/>
      <c r="E73" s="7"/>
      <c r="F73" s="7"/>
      <c r="G73" s="7"/>
      <c r="H73" s="7"/>
      <c r="I73" s="7"/>
      <c r="J73" s="8"/>
      <c r="K73" s="26"/>
    </row>
    <row r="74" spans="1:11" ht="11.25">
      <c r="A74" s="40"/>
      <c r="B74" s="38"/>
      <c r="C74" s="7"/>
      <c r="D74" s="7"/>
      <c r="E74" s="7"/>
      <c r="F74" s="7"/>
      <c r="G74" s="7"/>
      <c r="H74" s="7"/>
      <c r="I74" s="7"/>
      <c r="J74" s="8"/>
      <c r="K74" s="26"/>
    </row>
    <row r="75" spans="1:11" ht="11.25">
      <c r="A75" s="40"/>
      <c r="B75" s="38"/>
      <c r="C75" s="7"/>
      <c r="D75" s="7"/>
      <c r="E75" s="7"/>
      <c r="F75" s="7"/>
      <c r="G75" s="7"/>
      <c r="H75" s="7"/>
      <c r="I75" s="7"/>
      <c r="J75" s="8"/>
      <c r="K75" s="26"/>
    </row>
    <row r="76" spans="1:11" ht="11.25">
      <c r="A76" s="40"/>
      <c r="B76" s="38"/>
      <c r="C76" s="7"/>
      <c r="D76" s="7"/>
      <c r="E76" s="7"/>
      <c r="F76" s="7"/>
      <c r="G76" s="7"/>
      <c r="H76" s="7"/>
      <c r="I76" s="7"/>
      <c r="J76" s="7"/>
      <c r="K76" s="72"/>
    </row>
    <row r="77" spans="1:11" ht="11.25">
      <c r="A77" s="40"/>
      <c r="B77" s="38"/>
      <c r="C77" s="7"/>
      <c r="D77" s="7"/>
      <c r="E77" s="7"/>
      <c r="F77" s="7"/>
      <c r="G77" s="7"/>
      <c r="H77" s="7"/>
      <c r="I77" s="7"/>
      <c r="J77" s="7"/>
      <c r="K77" s="72"/>
    </row>
    <row r="78" spans="1:11" ht="11.25">
      <c r="A78" s="40"/>
      <c r="B78" s="38"/>
      <c r="C78" s="7"/>
      <c r="D78" s="7"/>
      <c r="E78" s="7"/>
      <c r="F78" s="7"/>
      <c r="G78" s="7"/>
      <c r="H78" s="7"/>
      <c r="I78" s="7"/>
      <c r="J78" s="8"/>
      <c r="K78" s="26"/>
    </row>
    <row r="79" spans="1:11" ht="11.25">
      <c r="A79" s="40"/>
      <c r="B79" s="38"/>
      <c r="C79" s="7"/>
      <c r="D79" s="7"/>
      <c r="E79" s="7"/>
      <c r="F79" s="7"/>
      <c r="G79" s="7"/>
      <c r="H79" s="7"/>
      <c r="I79" s="7"/>
      <c r="J79" s="8"/>
      <c r="K79" s="26"/>
    </row>
    <row r="80" spans="1:11" ht="11.25">
      <c r="A80" s="40"/>
      <c r="B80" s="38"/>
      <c r="C80" s="7"/>
      <c r="D80" s="7"/>
      <c r="E80" s="7"/>
      <c r="F80" s="7"/>
      <c r="G80" s="7"/>
      <c r="H80" s="7"/>
      <c r="I80" s="7"/>
      <c r="J80" s="8"/>
      <c r="K80" s="26"/>
    </row>
    <row r="81" spans="1:11" ht="11.25">
      <c r="A81" s="40"/>
      <c r="B81" s="38"/>
      <c r="C81" s="7"/>
      <c r="D81" s="7"/>
      <c r="E81" s="7"/>
      <c r="F81" s="7"/>
      <c r="G81" s="7"/>
      <c r="H81" s="7"/>
      <c r="I81" s="7"/>
      <c r="J81" s="8"/>
      <c r="K81" s="26"/>
    </row>
    <row r="82" spans="1:11" ht="11.25">
      <c r="A82" s="40"/>
      <c r="B82" s="38"/>
      <c r="C82" s="7"/>
      <c r="D82" s="7"/>
      <c r="E82" s="7"/>
      <c r="F82" s="7"/>
      <c r="G82" s="7"/>
      <c r="H82" s="7"/>
      <c r="I82" s="7"/>
      <c r="J82" s="8"/>
      <c r="K82" s="26"/>
    </row>
    <row r="83" spans="1:11" ht="11.25">
      <c r="A83" s="40"/>
      <c r="B83" s="38"/>
      <c r="C83" s="7"/>
      <c r="D83" s="7"/>
      <c r="E83" s="7"/>
      <c r="F83" s="7"/>
      <c r="G83" s="7"/>
      <c r="H83" s="7"/>
      <c r="I83" s="7"/>
      <c r="J83" s="7"/>
      <c r="K83" s="72"/>
    </row>
    <row r="84" spans="1:11" ht="11.25">
      <c r="A84" s="40"/>
      <c r="B84" s="38"/>
      <c r="C84" s="7"/>
      <c r="D84" s="7"/>
      <c r="E84" s="7"/>
      <c r="F84" s="7"/>
      <c r="G84" s="7"/>
      <c r="H84" s="7"/>
      <c r="I84" s="7"/>
      <c r="J84" s="8"/>
      <c r="K84" s="26"/>
    </row>
    <row r="85" spans="1:11" ht="11.25">
      <c r="A85" s="40"/>
      <c r="B85" s="38"/>
      <c r="C85" s="7"/>
      <c r="D85" s="7"/>
      <c r="E85" s="7"/>
      <c r="F85" s="7"/>
      <c r="G85" s="7"/>
      <c r="H85" s="7"/>
      <c r="I85" s="7"/>
      <c r="J85" s="8"/>
      <c r="K85" s="26"/>
    </row>
    <row r="86" spans="1:11" ht="11.25">
      <c r="A86" s="40"/>
      <c r="B86" s="38"/>
      <c r="C86" s="7"/>
      <c r="D86" s="7"/>
      <c r="E86" s="7"/>
      <c r="F86" s="7"/>
      <c r="G86" s="7"/>
      <c r="H86" s="7"/>
      <c r="I86" s="7"/>
      <c r="J86" s="8"/>
      <c r="K86" s="26"/>
    </row>
    <row r="87" spans="1:11" ht="11.25">
      <c r="A87" s="40"/>
      <c r="B87" s="38"/>
      <c r="C87" s="7"/>
      <c r="D87" s="7"/>
      <c r="E87" s="7"/>
      <c r="F87" s="7"/>
      <c r="G87" s="7"/>
      <c r="H87" s="7"/>
      <c r="I87" s="7"/>
      <c r="J87" s="7"/>
      <c r="K87" s="72"/>
    </row>
    <row r="88" spans="1:11" ht="11.25">
      <c r="A88" s="40"/>
      <c r="B88" s="38"/>
      <c r="C88" s="7"/>
      <c r="D88" s="7"/>
      <c r="E88" s="7"/>
      <c r="F88" s="7"/>
      <c r="G88" s="7"/>
      <c r="H88" s="7"/>
      <c r="I88" s="7"/>
      <c r="J88" s="7"/>
      <c r="K88" s="72"/>
    </row>
    <row r="89" spans="1:11" ht="11.25">
      <c r="A89" s="40"/>
      <c r="B89" s="38"/>
      <c r="C89" s="7"/>
      <c r="D89" s="7"/>
      <c r="E89" s="7"/>
      <c r="F89" s="7"/>
      <c r="G89" s="7"/>
      <c r="H89" s="7"/>
      <c r="I89" s="7"/>
      <c r="J89" s="8"/>
      <c r="K89" s="26"/>
    </row>
    <row r="90" spans="1:11" ht="11.25">
      <c r="A90" s="38"/>
      <c r="B90" s="38"/>
      <c r="C90" s="7"/>
      <c r="D90" s="7"/>
      <c r="E90" s="7"/>
      <c r="F90" s="7"/>
      <c r="G90" s="7"/>
      <c r="H90" s="7"/>
      <c r="I90" s="7"/>
      <c r="J90" s="7"/>
      <c r="K90" s="72"/>
    </row>
    <row r="91" spans="1:11" ht="11.25">
      <c r="A91" s="38"/>
      <c r="B91" s="38"/>
      <c r="C91" s="7"/>
      <c r="D91" s="7"/>
      <c r="E91" s="7"/>
      <c r="F91" s="7"/>
      <c r="G91" s="7"/>
      <c r="H91" s="7"/>
      <c r="I91" s="7"/>
      <c r="J91" s="7"/>
      <c r="K91" s="72"/>
    </row>
    <row r="92" spans="1:11" ht="11.25">
      <c r="A92" s="38"/>
      <c r="B92" s="38"/>
      <c r="C92" s="7"/>
      <c r="D92" s="7"/>
      <c r="E92" s="7"/>
      <c r="F92" s="7"/>
      <c r="G92" s="7"/>
      <c r="H92" s="7"/>
      <c r="I92" s="7"/>
      <c r="J92" s="8"/>
      <c r="K92" s="26"/>
    </row>
    <row r="93" spans="1:11" ht="11.25">
      <c r="A93" s="38"/>
      <c r="B93" s="38"/>
      <c r="C93" s="7"/>
      <c r="D93" s="7"/>
      <c r="E93" s="7"/>
      <c r="F93" s="7"/>
      <c r="G93" s="7"/>
      <c r="H93" s="7"/>
      <c r="I93" s="7"/>
      <c r="J93" s="8"/>
      <c r="K93" s="26"/>
    </row>
    <row r="94" spans="1:11" ht="11.25">
      <c r="A94" s="38"/>
      <c r="B94" s="38"/>
      <c r="C94" s="7"/>
      <c r="D94" s="7"/>
      <c r="E94" s="7"/>
      <c r="F94" s="7"/>
      <c r="G94" s="7"/>
      <c r="H94" s="7"/>
      <c r="I94" s="7"/>
      <c r="J94" s="7"/>
      <c r="K94" s="72"/>
    </row>
    <row r="95" spans="1:11" ht="11.25">
      <c r="A95" s="38"/>
      <c r="B95" s="38"/>
      <c r="C95" s="7"/>
      <c r="D95" s="7"/>
      <c r="E95" s="7"/>
      <c r="F95" s="7"/>
      <c r="G95" s="7"/>
      <c r="H95" s="7"/>
      <c r="I95" s="7"/>
      <c r="J95" s="7"/>
      <c r="K95" s="72"/>
    </row>
    <row r="96" spans="1:11" ht="11.25">
      <c r="A96" s="38"/>
      <c r="B96" s="38"/>
      <c r="C96" s="7"/>
      <c r="D96" s="7"/>
      <c r="E96" s="7"/>
      <c r="F96" s="7"/>
      <c r="G96" s="7"/>
      <c r="H96" s="7"/>
      <c r="I96" s="7"/>
      <c r="J96" s="8"/>
      <c r="K96" s="26"/>
    </row>
    <row r="97" spans="1:11" ht="11.25">
      <c r="A97" s="8"/>
      <c r="B97" s="38"/>
      <c r="C97" s="30"/>
      <c r="D97" s="30"/>
      <c r="E97" s="30"/>
      <c r="F97" s="30"/>
      <c r="G97" s="30"/>
      <c r="H97" s="30"/>
      <c r="I97" s="30"/>
      <c r="J97" s="30"/>
      <c r="K97" s="73"/>
    </row>
  </sheetData>
  <mergeCells count="1">
    <mergeCell ref="A44:B44"/>
  </mergeCells>
  <printOptions horizontalCentered="1" verticalCentered="1"/>
  <pageMargins left="0.71" right="0.7874015748031497" top="0.3937007874015748" bottom="0.22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6"/>
  <sheetViews>
    <sheetView showZeros="0" tabSelected="1" workbookViewId="0" topLeftCell="A1">
      <pane xSplit="1" ySplit="3" topLeftCell="B7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2.75"/>
  <cols>
    <col min="1" max="1" width="18.25390625" style="109" customWidth="1"/>
    <col min="2" max="2" width="6.75390625" style="96" customWidth="1"/>
    <col min="3" max="3" width="5.625" style="94" customWidth="1"/>
    <col min="4" max="4" width="8.00390625" style="94" customWidth="1"/>
    <col min="5" max="5" width="6.00390625" style="94" customWidth="1"/>
    <col min="6" max="6" width="5.875" style="94" customWidth="1"/>
    <col min="7" max="7" width="8.00390625" style="94" customWidth="1"/>
    <col min="8" max="9" width="7.25390625" style="94" customWidth="1"/>
    <col min="10" max="10" width="6.00390625" style="94" customWidth="1"/>
    <col min="11" max="11" width="5.75390625" style="94" customWidth="1"/>
    <col min="12" max="12" width="5.875" style="94" customWidth="1"/>
    <col min="13" max="13" width="6.00390625" style="94" customWidth="1"/>
    <col min="14" max="14" width="5.75390625" style="94" customWidth="1"/>
    <col min="15" max="15" width="5.875" style="94" customWidth="1"/>
    <col min="16" max="16" width="7.875" style="94" bestFit="1" customWidth="1"/>
    <col min="17" max="17" width="6.125" style="94" customWidth="1"/>
    <col min="18" max="18" width="5.75390625" style="94" customWidth="1"/>
    <col min="19" max="19" width="5.875" style="94" customWidth="1"/>
    <col min="20" max="20" width="5.75390625" style="94" customWidth="1"/>
    <col min="21" max="21" width="5.875" style="94" customWidth="1"/>
    <col min="22" max="22" width="5.75390625" style="94" customWidth="1"/>
    <col min="23" max="23" width="5.875" style="94" customWidth="1"/>
    <col min="24" max="24" width="7.00390625" style="94" customWidth="1"/>
    <col min="25" max="25" width="5.375" style="94" customWidth="1"/>
    <col min="26" max="26" width="7.875" style="94" hidden="1" customWidth="1"/>
    <col min="27" max="16384" width="9.125" style="94" customWidth="1"/>
  </cols>
  <sheetData>
    <row r="1" ht="11.25">
      <c r="Y1" s="185" t="s">
        <v>279</v>
      </c>
    </row>
    <row r="2" spans="1:3" ht="33.75" customHeight="1">
      <c r="A2" s="74" t="s">
        <v>285</v>
      </c>
      <c r="B2" s="101"/>
      <c r="C2" s="100"/>
    </row>
    <row r="3" spans="1:26" s="114" customFormat="1" ht="33" customHeight="1">
      <c r="A3" s="115" t="s">
        <v>1</v>
      </c>
      <c r="B3" s="110" t="s">
        <v>98</v>
      </c>
      <c r="C3" s="111" t="s">
        <v>228</v>
      </c>
      <c r="D3" s="111" t="s">
        <v>103</v>
      </c>
      <c r="E3" s="111" t="s">
        <v>7</v>
      </c>
      <c r="F3" s="111" t="s">
        <v>167</v>
      </c>
      <c r="G3" s="111" t="s">
        <v>3</v>
      </c>
      <c r="H3" s="111" t="s">
        <v>4</v>
      </c>
      <c r="I3" s="111" t="s">
        <v>5</v>
      </c>
      <c r="J3" s="111" t="s">
        <v>6</v>
      </c>
      <c r="K3" s="111" t="s">
        <v>100</v>
      </c>
      <c r="L3" s="111" t="s">
        <v>147</v>
      </c>
      <c r="M3" s="111" t="s">
        <v>9</v>
      </c>
      <c r="N3" s="111" t="s">
        <v>168</v>
      </c>
      <c r="O3" s="111" t="s">
        <v>81</v>
      </c>
      <c r="P3" s="111" t="s">
        <v>10</v>
      </c>
      <c r="Q3" s="111" t="s">
        <v>11</v>
      </c>
      <c r="R3" s="111" t="s">
        <v>13</v>
      </c>
      <c r="S3" s="111" t="s">
        <v>12</v>
      </c>
      <c r="T3" s="111" t="s">
        <v>218</v>
      </c>
      <c r="U3" s="111" t="s">
        <v>82</v>
      </c>
      <c r="V3" s="111" t="s">
        <v>169</v>
      </c>
      <c r="W3" s="111" t="s">
        <v>101</v>
      </c>
      <c r="X3" s="111" t="s">
        <v>8</v>
      </c>
      <c r="Y3" s="112" t="s">
        <v>164</v>
      </c>
      <c r="Z3" s="113" t="s">
        <v>102</v>
      </c>
    </row>
    <row r="4" spans="1:26" s="78" customFormat="1" ht="15" customHeight="1">
      <c r="A4" s="116" t="s">
        <v>170</v>
      </c>
      <c r="B4" s="76"/>
      <c r="C4" s="77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  <c r="R4" s="103"/>
      <c r="S4" s="102"/>
      <c r="T4" s="102"/>
      <c r="U4" s="102"/>
      <c r="V4" s="102"/>
      <c r="W4" s="102"/>
      <c r="X4" s="102"/>
      <c r="Y4" s="104"/>
      <c r="Z4" s="105"/>
    </row>
    <row r="5" spans="1:26" s="78" customFormat="1" ht="22.5">
      <c r="A5" s="79" t="s">
        <v>171</v>
      </c>
      <c r="B5" s="79">
        <v>24</v>
      </c>
      <c r="C5" s="80">
        <f aca="true" t="shared" si="0" ref="C5:C12">D5/12/B5</f>
        <v>1914</v>
      </c>
      <c r="D5" s="89">
        <f>SUM(E5:Y5)</f>
        <v>551225</v>
      </c>
      <c r="E5" s="91">
        <v>0</v>
      </c>
      <c r="F5" s="91"/>
      <c r="G5" s="91">
        <f>409190-7062</f>
        <v>402128</v>
      </c>
      <c r="H5" s="91">
        <v>32110</v>
      </c>
      <c r="I5" s="91">
        <v>69408</v>
      </c>
      <c r="J5" s="91">
        <v>9500</v>
      </c>
      <c r="K5" s="91">
        <v>0</v>
      </c>
      <c r="L5" s="91">
        <v>0</v>
      </c>
      <c r="M5" s="91">
        <v>12290</v>
      </c>
      <c r="N5" s="91"/>
      <c r="O5" s="91">
        <v>1000</v>
      </c>
      <c r="P5" s="91">
        <v>3756</v>
      </c>
      <c r="Q5" s="106">
        <v>0</v>
      </c>
      <c r="R5" s="106">
        <v>0</v>
      </c>
      <c r="S5" s="91">
        <v>0</v>
      </c>
      <c r="T5" s="91">
        <v>0</v>
      </c>
      <c r="U5" s="91">
        <v>0</v>
      </c>
      <c r="V5" s="91"/>
      <c r="W5" s="91">
        <v>0</v>
      </c>
      <c r="X5" s="91">
        <v>21033</v>
      </c>
      <c r="Y5" s="92"/>
      <c r="Z5" s="107">
        <f aca="true" t="shared" si="1" ref="Z5:Z26">E5+M5+Q5+R5+S5+U5+W5+K5+O5+T5+L5+F5+V5+Y5+N5</f>
        <v>13290</v>
      </c>
    </row>
    <row r="6" spans="1:26" s="78" customFormat="1" ht="22.5">
      <c r="A6" s="81" t="s">
        <v>172</v>
      </c>
      <c r="B6" s="79">
        <v>131</v>
      </c>
      <c r="C6" s="80">
        <f t="shared" si="0"/>
        <v>1154</v>
      </c>
      <c r="D6" s="89">
        <f aca="true" t="shared" si="2" ref="D6:D62">SUM(E6:Y6)</f>
        <v>1814746</v>
      </c>
      <c r="E6" s="91">
        <v>2000</v>
      </c>
      <c r="F6" s="91">
        <v>0</v>
      </c>
      <c r="G6" s="91">
        <f>1221560-31933</f>
        <v>1189627</v>
      </c>
      <c r="H6" s="91">
        <v>105242</v>
      </c>
      <c r="I6" s="91">
        <v>227431</v>
      </c>
      <c r="J6" s="91">
        <v>31129</v>
      </c>
      <c r="K6" s="91">
        <v>0</v>
      </c>
      <c r="L6" s="91">
        <v>0</v>
      </c>
      <c r="M6" s="91">
        <f>3247</f>
        <v>3247</v>
      </c>
      <c r="N6" s="91"/>
      <c r="O6" s="91">
        <f>2000</f>
        <v>2000</v>
      </c>
      <c r="P6" s="91">
        <f>145000-5000</f>
        <v>140000</v>
      </c>
      <c r="Q6" s="106">
        <v>45000</v>
      </c>
      <c r="R6" s="106">
        <v>2000</v>
      </c>
      <c r="S6" s="91">
        <f>3000</f>
        <v>3000</v>
      </c>
      <c r="T6" s="91">
        <v>0</v>
      </c>
      <c r="U6" s="91">
        <v>801</v>
      </c>
      <c r="V6" s="91"/>
      <c r="W6" s="91">
        <v>0</v>
      </c>
      <c r="X6" s="91">
        <v>63269</v>
      </c>
      <c r="Y6" s="92"/>
      <c r="Z6" s="107">
        <f t="shared" si="1"/>
        <v>58048</v>
      </c>
    </row>
    <row r="7" spans="1:26" s="78" customFormat="1" ht="22.5">
      <c r="A7" s="81" t="s">
        <v>173</v>
      </c>
      <c r="B7" s="79">
        <v>92</v>
      </c>
      <c r="C7" s="80">
        <f t="shared" si="0"/>
        <v>1772</v>
      </c>
      <c r="D7" s="89">
        <f t="shared" si="2"/>
        <v>1956002</v>
      </c>
      <c r="E7" s="91"/>
      <c r="F7" s="91"/>
      <c r="G7" s="91">
        <f>1442540-8540</f>
        <v>1434000</v>
      </c>
      <c r="H7" s="91">
        <v>113100</v>
      </c>
      <c r="I7" s="91">
        <v>271834</v>
      </c>
      <c r="J7" s="91">
        <v>37206</v>
      </c>
      <c r="K7" s="91">
        <v>0</v>
      </c>
      <c r="L7" s="91">
        <v>0</v>
      </c>
      <c r="M7" s="91">
        <v>2163</v>
      </c>
      <c r="N7" s="91"/>
      <c r="O7" s="91">
        <v>3000</v>
      </c>
      <c r="P7" s="91">
        <v>17915</v>
      </c>
      <c r="Q7" s="106">
        <v>2000</v>
      </c>
      <c r="R7" s="106">
        <v>0</v>
      </c>
      <c r="S7" s="91">
        <v>2000</v>
      </c>
      <c r="T7" s="91">
        <v>0</v>
      </c>
      <c r="U7" s="91">
        <v>0</v>
      </c>
      <c r="V7" s="91"/>
      <c r="W7" s="91">
        <v>0</v>
      </c>
      <c r="X7" s="91">
        <v>72784</v>
      </c>
      <c r="Y7" s="92"/>
      <c r="Z7" s="107">
        <f t="shared" si="1"/>
        <v>9163</v>
      </c>
    </row>
    <row r="8" spans="1:26" s="78" customFormat="1" ht="32.25">
      <c r="A8" s="82" t="s">
        <v>219</v>
      </c>
      <c r="B8" s="89">
        <f>SUM(B5:B7)</f>
        <v>247</v>
      </c>
      <c r="C8" s="83">
        <f t="shared" si="0"/>
        <v>1458</v>
      </c>
      <c r="D8" s="89">
        <f>SUM(D5:D7)</f>
        <v>4321973</v>
      </c>
      <c r="E8" s="89">
        <f aca="true" t="shared" si="3" ref="E8:Y8">SUM(E5:E7)</f>
        <v>2000</v>
      </c>
      <c r="F8" s="89">
        <f t="shared" si="3"/>
        <v>0</v>
      </c>
      <c r="G8" s="89">
        <f t="shared" si="3"/>
        <v>3025755</v>
      </c>
      <c r="H8" s="89">
        <f t="shared" si="3"/>
        <v>250452</v>
      </c>
      <c r="I8" s="89">
        <f t="shared" si="3"/>
        <v>568673</v>
      </c>
      <c r="J8" s="89">
        <f t="shared" si="3"/>
        <v>77835</v>
      </c>
      <c r="K8" s="89">
        <f>SUM(K5:K7)</f>
        <v>0</v>
      </c>
      <c r="L8" s="89">
        <f>SUM(L5:L7)</f>
        <v>0</v>
      </c>
      <c r="M8" s="89">
        <f t="shared" si="3"/>
        <v>17700</v>
      </c>
      <c r="N8" s="89">
        <f t="shared" si="3"/>
        <v>0</v>
      </c>
      <c r="O8" s="89">
        <f t="shared" si="3"/>
        <v>6000</v>
      </c>
      <c r="P8" s="89">
        <f t="shared" si="3"/>
        <v>161671</v>
      </c>
      <c r="Q8" s="89">
        <f t="shared" si="3"/>
        <v>47000</v>
      </c>
      <c r="R8" s="89">
        <f t="shared" si="3"/>
        <v>2000</v>
      </c>
      <c r="S8" s="89">
        <f t="shared" si="3"/>
        <v>5000</v>
      </c>
      <c r="T8" s="89">
        <f t="shared" si="3"/>
        <v>0</v>
      </c>
      <c r="U8" s="89">
        <f t="shared" si="3"/>
        <v>801</v>
      </c>
      <c r="V8" s="89">
        <f t="shared" si="3"/>
        <v>0</v>
      </c>
      <c r="W8" s="89">
        <f t="shared" si="3"/>
        <v>0</v>
      </c>
      <c r="X8" s="89">
        <f t="shared" si="3"/>
        <v>157086</v>
      </c>
      <c r="Y8" s="90">
        <f t="shared" si="3"/>
        <v>0</v>
      </c>
      <c r="Z8" s="107">
        <f t="shared" si="1"/>
        <v>80501</v>
      </c>
    </row>
    <row r="9" spans="1:26" s="78" customFormat="1" ht="22.5">
      <c r="A9" s="79" t="s">
        <v>171</v>
      </c>
      <c r="B9" s="79">
        <v>13</v>
      </c>
      <c r="C9" s="80">
        <f t="shared" si="0"/>
        <v>2097</v>
      </c>
      <c r="D9" s="89">
        <f t="shared" si="2"/>
        <v>327078</v>
      </c>
      <c r="E9" s="91">
        <v>0</v>
      </c>
      <c r="F9" s="91"/>
      <c r="G9" s="91">
        <f>257709-20760</f>
        <v>236949</v>
      </c>
      <c r="H9" s="91">
        <v>19731</v>
      </c>
      <c r="I9" s="91">
        <v>44331</v>
      </c>
      <c r="J9" s="91">
        <v>6068</v>
      </c>
      <c r="K9" s="91">
        <v>0</v>
      </c>
      <c r="L9" s="91">
        <v>0</v>
      </c>
      <c r="M9" s="91">
        <v>7895</v>
      </c>
      <c r="N9" s="91"/>
      <c r="O9" s="91">
        <v>0</v>
      </c>
      <c r="P9" s="91">
        <v>1827</v>
      </c>
      <c r="Q9" s="106">
        <v>0</v>
      </c>
      <c r="R9" s="106">
        <v>0</v>
      </c>
      <c r="S9" s="91">
        <v>0</v>
      </c>
      <c r="T9" s="91">
        <v>0</v>
      </c>
      <c r="U9" s="91">
        <v>0</v>
      </c>
      <c r="V9" s="91"/>
      <c r="W9" s="91">
        <v>0</v>
      </c>
      <c r="X9" s="91">
        <v>10277</v>
      </c>
      <c r="Y9" s="92">
        <v>0</v>
      </c>
      <c r="Z9" s="107">
        <f t="shared" si="1"/>
        <v>7895</v>
      </c>
    </row>
    <row r="10" spans="1:26" s="78" customFormat="1" ht="22.5">
      <c r="A10" s="81" t="s">
        <v>172</v>
      </c>
      <c r="B10" s="79">
        <v>100</v>
      </c>
      <c r="C10" s="80">
        <f t="shared" si="0"/>
        <v>1305</v>
      </c>
      <c r="D10" s="89">
        <f t="shared" si="2"/>
        <v>1565858</v>
      </c>
      <c r="E10" s="91">
        <v>0</v>
      </c>
      <c r="F10" s="91"/>
      <c r="G10" s="91">
        <f>1199256-32514</f>
        <v>1166742</v>
      </c>
      <c r="H10" s="91">
        <v>82396</v>
      </c>
      <c r="I10" s="91">
        <v>215125</v>
      </c>
      <c r="J10" s="91">
        <v>29444</v>
      </c>
      <c r="K10" s="91">
        <v>0</v>
      </c>
      <c r="L10" s="91">
        <v>0</v>
      </c>
      <c r="M10" s="91">
        <v>5661</v>
      </c>
      <c r="N10" s="91"/>
      <c r="O10" s="91">
        <v>0</v>
      </c>
      <c r="P10" s="91">
        <v>0</v>
      </c>
      <c r="Q10" s="106">
        <v>0</v>
      </c>
      <c r="R10" s="106">
        <v>0</v>
      </c>
      <c r="S10" s="91">
        <v>4000</v>
      </c>
      <c r="T10" s="91">
        <v>0</v>
      </c>
      <c r="U10" s="91">
        <v>0</v>
      </c>
      <c r="V10" s="91"/>
      <c r="W10" s="91">
        <v>0</v>
      </c>
      <c r="X10" s="91">
        <v>62490</v>
      </c>
      <c r="Y10" s="92">
        <v>0</v>
      </c>
      <c r="Z10" s="107">
        <f t="shared" si="1"/>
        <v>9661</v>
      </c>
    </row>
    <row r="11" spans="1:26" ht="22.5">
      <c r="A11" s="81" t="s">
        <v>173</v>
      </c>
      <c r="B11" s="79">
        <v>25</v>
      </c>
      <c r="C11" s="80">
        <f t="shared" si="0"/>
        <v>1208</v>
      </c>
      <c r="D11" s="89">
        <f t="shared" si="2"/>
        <v>362347</v>
      </c>
      <c r="E11" s="91">
        <v>0</v>
      </c>
      <c r="F11" s="91"/>
      <c r="G11" s="91">
        <f>273983-11315</f>
        <v>262668</v>
      </c>
      <c r="H11" s="91">
        <v>26842</v>
      </c>
      <c r="I11" s="91">
        <v>50570</v>
      </c>
      <c r="J11" s="91">
        <v>6922</v>
      </c>
      <c r="K11" s="91">
        <v>0</v>
      </c>
      <c r="L11" s="91">
        <v>0</v>
      </c>
      <c r="M11" s="91">
        <v>840</v>
      </c>
      <c r="N11" s="91"/>
      <c r="O11" s="91">
        <v>500</v>
      </c>
      <c r="P11" s="91">
        <v>534</v>
      </c>
      <c r="Q11" s="91">
        <v>450</v>
      </c>
      <c r="R11" s="91">
        <v>0</v>
      </c>
      <c r="S11" s="91">
        <v>700</v>
      </c>
      <c r="T11" s="91">
        <v>0</v>
      </c>
      <c r="U11" s="91">
        <v>0</v>
      </c>
      <c r="V11" s="91"/>
      <c r="W11" s="91">
        <v>0</v>
      </c>
      <c r="X11" s="91">
        <v>12321</v>
      </c>
      <c r="Y11" s="92">
        <v>0</v>
      </c>
      <c r="Z11" s="107">
        <f t="shared" si="1"/>
        <v>2490</v>
      </c>
    </row>
    <row r="12" spans="1:26" ht="21.75">
      <c r="A12" s="82" t="s">
        <v>174</v>
      </c>
      <c r="B12" s="89">
        <f>SUM(B9:B11)</f>
        <v>138</v>
      </c>
      <c r="C12" s="83">
        <f t="shared" si="0"/>
        <v>1362</v>
      </c>
      <c r="D12" s="89">
        <f>SUM(D9:D11)</f>
        <v>2255283</v>
      </c>
      <c r="E12" s="89">
        <f aca="true" t="shared" si="4" ref="E12:Y12">SUM(E9:E11)</f>
        <v>0</v>
      </c>
      <c r="F12" s="89">
        <f t="shared" si="4"/>
        <v>0</v>
      </c>
      <c r="G12" s="89">
        <f t="shared" si="4"/>
        <v>1666359</v>
      </c>
      <c r="H12" s="89">
        <f t="shared" si="4"/>
        <v>128969</v>
      </c>
      <c r="I12" s="89">
        <f t="shared" si="4"/>
        <v>310026</v>
      </c>
      <c r="J12" s="89">
        <f t="shared" si="4"/>
        <v>42434</v>
      </c>
      <c r="K12" s="89">
        <f t="shared" si="4"/>
        <v>0</v>
      </c>
      <c r="L12" s="89">
        <f t="shared" si="4"/>
        <v>0</v>
      </c>
      <c r="M12" s="89">
        <f t="shared" si="4"/>
        <v>14396</v>
      </c>
      <c r="N12" s="89">
        <f t="shared" si="4"/>
        <v>0</v>
      </c>
      <c r="O12" s="89">
        <f t="shared" si="4"/>
        <v>500</v>
      </c>
      <c r="P12" s="89">
        <f t="shared" si="4"/>
        <v>2361</v>
      </c>
      <c r="Q12" s="89">
        <f t="shared" si="4"/>
        <v>450</v>
      </c>
      <c r="R12" s="89">
        <f t="shared" si="4"/>
        <v>0</v>
      </c>
      <c r="S12" s="89">
        <f t="shared" si="4"/>
        <v>4700</v>
      </c>
      <c r="T12" s="89">
        <f t="shared" si="4"/>
        <v>0</v>
      </c>
      <c r="U12" s="89">
        <f t="shared" si="4"/>
        <v>0</v>
      </c>
      <c r="V12" s="89">
        <f t="shared" si="4"/>
        <v>0</v>
      </c>
      <c r="W12" s="89">
        <f t="shared" si="4"/>
        <v>0</v>
      </c>
      <c r="X12" s="89">
        <f t="shared" si="4"/>
        <v>85088</v>
      </c>
      <c r="Y12" s="90">
        <f t="shared" si="4"/>
        <v>0</v>
      </c>
      <c r="Z12" s="107">
        <f t="shared" si="1"/>
        <v>20046</v>
      </c>
    </row>
    <row r="13" spans="1:26" ht="11.25">
      <c r="A13" s="81" t="s">
        <v>175</v>
      </c>
      <c r="B13" s="79">
        <v>545</v>
      </c>
      <c r="C13" s="80">
        <f aca="true" t="shared" si="5" ref="C13:C31">D13/12/B13</f>
        <v>366</v>
      </c>
      <c r="D13" s="89">
        <f t="shared" si="2"/>
        <v>2395174</v>
      </c>
      <c r="E13" s="91">
        <v>3581</v>
      </c>
      <c r="F13" s="91"/>
      <c r="G13" s="91">
        <v>1537550</v>
      </c>
      <c r="H13" s="91">
        <v>119813</v>
      </c>
      <c r="I13" s="91">
        <v>288515</v>
      </c>
      <c r="J13" s="91">
        <v>39489</v>
      </c>
      <c r="K13" s="91"/>
      <c r="L13" s="91">
        <v>40000</v>
      </c>
      <c r="M13" s="91">
        <f>148000</f>
        <v>148000</v>
      </c>
      <c r="N13" s="91"/>
      <c r="O13" s="91">
        <v>2000</v>
      </c>
      <c r="P13" s="91">
        <f>26187</f>
        <v>26187</v>
      </c>
      <c r="Q13" s="91">
        <v>0</v>
      </c>
      <c r="R13" s="91">
        <v>2000</v>
      </c>
      <c r="S13" s="91">
        <v>88481</v>
      </c>
      <c r="T13" s="91"/>
      <c r="U13" s="91">
        <v>600</v>
      </c>
      <c r="V13" s="91"/>
      <c r="W13" s="91"/>
      <c r="X13" s="91">
        <v>98958</v>
      </c>
      <c r="Y13" s="92">
        <v>0</v>
      </c>
      <c r="Z13" s="107">
        <f t="shared" si="1"/>
        <v>284662</v>
      </c>
    </row>
    <row r="14" spans="1:26" ht="11.25">
      <c r="A14" s="81" t="s">
        <v>176</v>
      </c>
      <c r="B14" s="79">
        <v>570</v>
      </c>
      <c r="C14" s="80">
        <f t="shared" si="5"/>
        <v>417</v>
      </c>
      <c r="D14" s="89">
        <f t="shared" si="2"/>
        <v>2850470</v>
      </c>
      <c r="E14" s="91">
        <v>7000</v>
      </c>
      <c r="F14" s="91"/>
      <c r="G14" s="91">
        <f>1990176-17500</f>
        <v>1972676</v>
      </c>
      <c r="H14" s="91">
        <v>157541</v>
      </c>
      <c r="I14" s="91">
        <v>360540</v>
      </c>
      <c r="J14" s="91">
        <v>49348</v>
      </c>
      <c r="K14" s="91">
        <v>21386</v>
      </c>
      <c r="L14" s="91">
        <v>0</v>
      </c>
      <c r="M14" s="91">
        <f>11036</f>
        <v>11036</v>
      </c>
      <c r="N14" s="91"/>
      <c r="O14" s="91">
        <v>2000</v>
      </c>
      <c r="P14" s="91">
        <f>150000-10000</f>
        <v>140000</v>
      </c>
      <c r="Q14" s="91">
        <v>1500</v>
      </c>
      <c r="R14" s="91">
        <v>1470</v>
      </c>
      <c r="S14" s="91">
        <f>8448</f>
        <v>8448</v>
      </c>
      <c r="T14" s="91">
        <v>3000</v>
      </c>
      <c r="U14" s="91">
        <v>1500</v>
      </c>
      <c r="V14" s="91"/>
      <c r="W14" s="91"/>
      <c r="X14" s="91">
        <v>113025</v>
      </c>
      <c r="Y14" s="92">
        <v>0</v>
      </c>
      <c r="Z14" s="107">
        <f t="shared" si="1"/>
        <v>57340</v>
      </c>
    </row>
    <row r="15" spans="1:26" ht="11.25">
      <c r="A15" s="84" t="s">
        <v>177</v>
      </c>
      <c r="B15" s="79">
        <v>665</v>
      </c>
      <c r="C15" s="80">
        <f t="shared" si="5"/>
        <v>500</v>
      </c>
      <c r="D15" s="89">
        <f t="shared" si="2"/>
        <v>3989970</v>
      </c>
      <c r="E15" s="91">
        <v>0</v>
      </c>
      <c r="F15" s="91"/>
      <c r="G15" s="91">
        <f>2819004-66645</f>
        <v>2752359</v>
      </c>
      <c r="H15" s="91">
        <v>241386</v>
      </c>
      <c r="I15" s="91">
        <v>525830</v>
      </c>
      <c r="J15" s="91">
        <v>71971</v>
      </c>
      <c r="K15" s="91">
        <v>0</v>
      </c>
      <c r="L15" s="91">
        <v>0</v>
      </c>
      <c r="M15" s="91">
        <f>10000</f>
        <v>10000</v>
      </c>
      <c r="N15" s="91"/>
      <c r="O15" s="91">
        <f>7000</f>
        <v>7000</v>
      </c>
      <c r="P15" s="91">
        <f>213150-10000</f>
        <v>203150</v>
      </c>
      <c r="Q15" s="91">
        <v>0</v>
      </c>
      <c r="R15" s="91">
        <v>3000</v>
      </c>
      <c r="S15" s="91">
        <f>22294</f>
        <v>22294</v>
      </c>
      <c r="T15" s="91">
        <v>0</v>
      </c>
      <c r="U15" s="91">
        <v>0</v>
      </c>
      <c r="V15" s="91">
        <v>0</v>
      </c>
      <c r="W15" s="91">
        <v>0</v>
      </c>
      <c r="X15" s="91">
        <v>152980</v>
      </c>
      <c r="Y15" s="92">
        <v>0</v>
      </c>
      <c r="Z15" s="107">
        <f t="shared" si="1"/>
        <v>42294</v>
      </c>
    </row>
    <row r="16" spans="1:26" ht="11.25">
      <c r="A16" s="81" t="s">
        <v>178</v>
      </c>
      <c r="B16" s="79">
        <v>560</v>
      </c>
      <c r="C16" s="80">
        <f t="shared" si="5"/>
        <v>372</v>
      </c>
      <c r="D16" s="89">
        <f t="shared" si="2"/>
        <v>2502696</v>
      </c>
      <c r="E16" s="91">
        <v>2000</v>
      </c>
      <c r="F16" s="91"/>
      <c r="G16" s="91">
        <f>1727595-29240</f>
        <v>1698355</v>
      </c>
      <c r="H16" s="91">
        <v>125836</v>
      </c>
      <c r="I16" s="91">
        <v>317351</v>
      </c>
      <c r="J16" s="91">
        <v>43436</v>
      </c>
      <c r="K16" s="91">
        <v>0</v>
      </c>
      <c r="L16" s="91">
        <v>0</v>
      </c>
      <c r="M16" s="91">
        <f>11918+1000</f>
        <v>12918</v>
      </c>
      <c r="N16" s="91"/>
      <c r="O16" s="91">
        <v>5000</v>
      </c>
      <c r="P16" s="91">
        <f>187334-10000</f>
        <v>177334</v>
      </c>
      <c r="Q16" s="91">
        <v>0</v>
      </c>
      <c r="R16" s="91">
        <v>800</v>
      </c>
      <c r="S16" s="91">
        <f>17598+2000</f>
        <v>19598</v>
      </c>
      <c r="T16" s="91">
        <v>1000</v>
      </c>
      <c r="U16" s="91">
        <v>1500</v>
      </c>
      <c r="V16" s="91"/>
      <c r="W16" s="91">
        <v>800</v>
      </c>
      <c r="X16" s="91">
        <v>96768</v>
      </c>
      <c r="Y16" s="92"/>
      <c r="Z16" s="107">
        <f t="shared" si="1"/>
        <v>43616</v>
      </c>
    </row>
    <row r="17" spans="1:26" ht="11.25">
      <c r="A17" s="81" t="s">
        <v>179</v>
      </c>
      <c r="B17" s="79">
        <v>487</v>
      </c>
      <c r="C17" s="80">
        <f t="shared" si="5"/>
        <v>403</v>
      </c>
      <c r="D17" s="89">
        <f t="shared" si="2"/>
        <v>2352435</v>
      </c>
      <c r="E17" s="91">
        <v>1000</v>
      </c>
      <c r="F17" s="91"/>
      <c r="G17" s="91">
        <f>1679913-16989</f>
        <v>1662924</v>
      </c>
      <c r="H17" s="91">
        <v>123653</v>
      </c>
      <c r="I17" s="91">
        <v>307070</v>
      </c>
      <c r="J17" s="91">
        <v>42029</v>
      </c>
      <c r="K17" s="91">
        <v>0</v>
      </c>
      <c r="L17" s="91">
        <v>16460</v>
      </c>
      <c r="M17" s="91">
        <v>0</v>
      </c>
      <c r="N17" s="91"/>
      <c r="O17" s="91">
        <f>2000+5000</f>
        <v>7000</v>
      </c>
      <c r="P17" s="91">
        <v>53288</v>
      </c>
      <c r="Q17" s="91">
        <v>2000</v>
      </c>
      <c r="R17" s="91">
        <v>1360</v>
      </c>
      <c r="S17" s="91">
        <v>29092</v>
      </c>
      <c r="T17" s="91">
        <v>2600</v>
      </c>
      <c r="U17" s="91">
        <v>300</v>
      </c>
      <c r="V17" s="91"/>
      <c r="W17" s="91">
        <v>4031</v>
      </c>
      <c r="X17" s="91">
        <v>99628</v>
      </c>
      <c r="Y17" s="92">
        <v>0</v>
      </c>
      <c r="Z17" s="107">
        <f t="shared" si="1"/>
        <v>63843</v>
      </c>
    </row>
    <row r="18" spans="1:26" ht="11.25">
      <c r="A18" s="81" t="s">
        <v>180</v>
      </c>
      <c r="B18" s="79">
        <v>578</v>
      </c>
      <c r="C18" s="80">
        <f t="shared" si="5"/>
        <v>383</v>
      </c>
      <c r="D18" s="89">
        <f t="shared" si="2"/>
        <v>2654387</v>
      </c>
      <c r="E18" s="91">
        <v>5000</v>
      </c>
      <c r="F18" s="91"/>
      <c r="G18" s="91">
        <f>1837477-14936</f>
        <v>1822541</v>
      </c>
      <c r="H18" s="91">
        <v>136894</v>
      </c>
      <c r="I18" s="91">
        <v>338730</v>
      </c>
      <c r="J18" s="91">
        <v>46363</v>
      </c>
      <c r="K18" s="91">
        <v>12023</v>
      </c>
      <c r="L18" s="91">
        <v>0</v>
      </c>
      <c r="M18" s="91">
        <f>13924</f>
        <v>13924</v>
      </c>
      <c r="N18" s="91"/>
      <c r="O18" s="91">
        <v>500</v>
      </c>
      <c r="P18" s="91">
        <f>97980</f>
        <v>97980</v>
      </c>
      <c r="Q18" s="91">
        <v>2000</v>
      </c>
      <c r="R18" s="91">
        <v>700</v>
      </c>
      <c r="S18" s="91">
        <f>12937</f>
        <v>12937</v>
      </c>
      <c r="T18" s="91">
        <v>0</v>
      </c>
      <c r="U18" s="91">
        <v>700</v>
      </c>
      <c r="V18" s="91"/>
      <c r="W18" s="91">
        <v>1000</v>
      </c>
      <c r="X18" s="91">
        <v>103095</v>
      </c>
      <c r="Y18" s="92">
        <v>60000</v>
      </c>
      <c r="Z18" s="107">
        <f t="shared" si="1"/>
        <v>108784</v>
      </c>
    </row>
    <row r="19" spans="1:26" ht="11.25">
      <c r="A19" s="81" t="s">
        <v>181</v>
      </c>
      <c r="B19" s="79">
        <v>188</v>
      </c>
      <c r="C19" s="80">
        <f t="shared" si="5"/>
        <v>410</v>
      </c>
      <c r="D19" s="89">
        <f t="shared" si="2"/>
        <v>925178</v>
      </c>
      <c r="E19" s="91">
        <v>2000</v>
      </c>
      <c r="F19" s="91"/>
      <c r="G19" s="91">
        <f>663747-33309</f>
        <v>630438</v>
      </c>
      <c r="H19" s="91">
        <v>52710</v>
      </c>
      <c r="I19" s="91">
        <v>116899</v>
      </c>
      <c r="J19" s="91">
        <v>16000</v>
      </c>
      <c r="K19" s="91">
        <v>7000</v>
      </c>
      <c r="L19" s="91">
        <v>1000</v>
      </c>
      <c r="M19" s="91">
        <v>3500</v>
      </c>
      <c r="N19" s="91"/>
      <c r="O19" s="91">
        <v>2000</v>
      </c>
      <c r="P19" s="91">
        <v>45622</v>
      </c>
      <c r="Q19" s="91">
        <v>2000</v>
      </c>
      <c r="R19" s="91">
        <v>1500</v>
      </c>
      <c r="S19" s="91">
        <v>3176</v>
      </c>
      <c r="T19" s="91">
        <v>1000</v>
      </c>
      <c r="U19" s="91">
        <v>518</v>
      </c>
      <c r="V19" s="91"/>
      <c r="W19" s="91">
        <v>0</v>
      </c>
      <c r="X19" s="91">
        <v>39815</v>
      </c>
      <c r="Y19" s="92">
        <v>0</v>
      </c>
      <c r="Z19" s="107">
        <f t="shared" si="1"/>
        <v>23694</v>
      </c>
    </row>
    <row r="20" spans="1:26" ht="11.25">
      <c r="A20" s="81" t="s">
        <v>182</v>
      </c>
      <c r="B20" s="79">
        <v>326</v>
      </c>
      <c r="C20" s="80">
        <f t="shared" si="5"/>
        <v>496</v>
      </c>
      <c r="D20" s="89">
        <f t="shared" si="2"/>
        <v>1941240</v>
      </c>
      <c r="E20" s="91">
        <v>3300</v>
      </c>
      <c r="F20" s="91"/>
      <c r="G20" s="91">
        <f>1370739-37200</f>
        <v>1333539</v>
      </c>
      <c r="H20" s="91">
        <v>101213</v>
      </c>
      <c r="I20" s="91">
        <v>247822</v>
      </c>
      <c r="J20" s="91">
        <v>33920</v>
      </c>
      <c r="K20" s="91">
        <v>0</v>
      </c>
      <c r="L20" s="91">
        <v>0</v>
      </c>
      <c r="M20" s="91">
        <v>8548</v>
      </c>
      <c r="N20" s="91"/>
      <c r="O20" s="91">
        <v>1000</v>
      </c>
      <c r="P20" s="91">
        <v>91356</v>
      </c>
      <c r="Q20" s="91">
        <f>2000+25000</f>
        <v>27000</v>
      </c>
      <c r="R20" s="91">
        <v>2200</v>
      </c>
      <c r="S20" s="91">
        <v>4789</v>
      </c>
      <c r="T20" s="91">
        <v>3000</v>
      </c>
      <c r="U20" s="91">
        <v>0</v>
      </c>
      <c r="V20" s="91"/>
      <c r="W20" s="91">
        <v>200</v>
      </c>
      <c r="X20" s="91">
        <v>83353</v>
      </c>
      <c r="Y20" s="92">
        <v>0</v>
      </c>
      <c r="Z20" s="107">
        <f t="shared" si="1"/>
        <v>50037</v>
      </c>
    </row>
    <row r="21" spans="1:26" ht="11.25">
      <c r="A21" s="81" t="s">
        <v>183</v>
      </c>
      <c r="B21" s="79">
        <v>528</v>
      </c>
      <c r="C21" s="80">
        <f t="shared" si="5"/>
        <v>346</v>
      </c>
      <c r="D21" s="89">
        <f t="shared" si="2"/>
        <v>2193496</v>
      </c>
      <c r="E21" s="91">
        <v>1900</v>
      </c>
      <c r="F21" s="91"/>
      <c r="G21" s="91">
        <f>1510685-6995</f>
        <v>1503690</v>
      </c>
      <c r="H21" s="91">
        <v>113943</v>
      </c>
      <c r="I21" s="91">
        <v>281448</v>
      </c>
      <c r="J21" s="91">
        <v>38522</v>
      </c>
      <c r="K21" s="91">
        <v>0</v>
      </c>
      <c r="L21" s="91">
        <v>0</v>
      </c>
      <c r="M21" s="91">
        <f>10708</f>
        <v>10708</v>
      </c>
      <c r="N21" s="91"/>
      <c r="O21" s="91">
        <f>2000+6000</f>
        <v>8000</v>
      </c>
      <c r="P21" s="91">
        <f>72000-5000</f>
        <v>67000</v>
      </c>
      <c r="Q21" s="91">
        <v>0</v>
      </c>
      <c r="R21" s="91">
        <v>2000</v>
      </c>
      <c r="S21" s="91">
        <f>72193</f>
        <v>72193</v>
      </c>
      <c r="T21" s="91">
        <v>2000</v>
      </c>
      <c r="U21" s="91">
        <v>800</v>
      </c>
      <c r="V21" s="91"/>
      <c r="W21" s="91">
        <v>300</v>
      </c>
      <c r="X21" s="91">
        <v>90992</v>
      </c>
      <c r="Y21" s="92">
        <v>0</v>
      </c>
      <c r="Z21" s="107">
        <f t="shared" si="1"/>
        <v>97901</v>
      </c>
    </row>
    <row r="22" spans="1:26" ht="11.25">
      <c r="A22" s="81" t="s">
        <v>184</v>
      </c>
      <c r="B22" s="79">
        <v>434</v>
      </c>
      <c r="C22" s="80">
        <f t="shared" si="5"/>
        <v>344</v>
      </c>
      <c r="D22" s="89">
        <f t="shared" si="2"/>
        <v>1793897</v>
      </c>
      <c r="E22" s="91">
        <v>500</v>
      </c>
      <c r="F22" s="91"/>
      <c r="G22" s="91">
        <f>1192612-31315</f>
        <v>1161297</v>
      </c>
      <c r="H22" s="91">
        <v>96450</v>
      </c>
      <c r="I22" s="91">
        <v>219368</v>
      </c>
      <c r="J22" s="91">
        <v>30025</v>
      </c>
      <c r="K22" s="91">
        <v>12000</v>
      </c>
      <c r="L22" s="91">
        <v>0</v>
      </c>
      <c r="M22" s="91">
        <f>14916</f>
        <v>14916</v>
      </c>
      <c r="N22" s="91"/>
      <c r="O22" s="91">
        <f>1000</f>
        <v>1000</v>
      </c>
      <c r="P22" s="91">
        <f>104545</f>
        <v>104545</v>
      </c>
      <c r="Q22" s="91">
        <f>60000</f>
        <v>60000</v>
      </c>
      <c r="R22" s="91">
        <v>2000</v>
      </c>
      <c r="S22" s="91">
        <f>14415</f>
        <v>14415</v>
      </c>
      <c r="T22" s="91">
        <v>500</v>
      </c>
      <c r="U22" s="91">
        <v>0</v>
      </c>
      <c r="V22" s="91"/>
      <c r="W22" s="91">
        <v>0</v>
      </c>
      <c r="X22" s="91">
        <v>76881</v>
      </c>
      <c r="Y22" s="92">
        <v>0</v>
      </c>
      <c r="Z22" s="107">
        <f t="shared" si="1"/>
        <v>105331</v>
      </c>
    </row>
    <row r="23" spans="1:26" ht="11.25">
      <c r="A23" s="81" t="s">
        <v>185</v>
      </c>
      <c r="B23" s="79">
        <v>286</v>
      </c>
      <c r="C23" s="80">
        <f t="shared" si="5"/>
        <v>356</v>
      </c>
      <c r="D23" s="89">
        <f t="shared" si="2"/>
        <v>1222746</v>
      </c>
      <c r="E23" s="91">
        <v>400</v>
      </c>
      <c r="F23" s="91"/>
      <c r="G23" s="91">
        <f>904583-26999</f>
        <v>877584</v>
      </c>
      <c r="H23" s="91">
        <v>71707</v>
      </c>
      <c r="I23" s="91">
        <v>161615</v>
      </c>
      <c r="J23" s="91">
        <v>22121</v>
      </c>
      <c r="K23" s="91">
        <v>1080</v>
      </c>
      <c r="L23" s="91">
        <v>0</v>
      </c>
      <c r="M23" s="91">
        <v>9063</v>
      </c>
      <c r="N23" s="91"/>
      <c r="O23" s="91">
        <v>2600</v>
      </c>
      <c r="P23" s="91">
        <v>13863</v>
      </c>
      <c r="Q23" s="91">
        <v>1000</v>
      </c>
      <c r="R23" s="91">
        <v>900</v>
      </c>
      <c r="S23" s="91">
        <v>8734</v>
      </c>
      <c r="T23" s="91">
        <v>700</v>
      </c>
      <c r="U23" s="91">
        <v>800</v>
      </c>
      <c r="V23" s="91"/>
      <c r="W23" s="91">
        <v>1200</v>
      </c>
      <c r="X23" s="91">
        <v>49379</v>
      </c>
      <c r="Y23" s="92">
        <v>0</v>
      </c>
      <c r="Z23" s="107">
        <f t="shared" si="1"/>
        <v>26477</v>
      </c>
    </row>
    <row r="24" spans="1:26" ht="11.25">
      <c r="A24" s="81" t="s">
        <v>186</v>
      </c>
      <c r="B24" s="79">
        <v>303</v>
      </c>
      <c r="C24" s="80">
        <f t="shared" si="5"/>
        <v>479</v>
      </c>
      <c r="D24" s="89">
        <f t="shared" si="2"/>
        <v>1741994</v>
      </c>
      <c r="E24" s="91">
        <v>800</v>
      </c>
      <c r="F24" s="91"/>
      <c r="G24" s="91">
        <f>1140998-53905</f>
        <v>1087093</v>
      </c>
      <c r="H24" s="91">
        <v>98100</v>
      </c>
      <c r="I24" s="91">
        <v>205391</v>
      </c>
      <c r="J24" s="91">
        <v>28112</v>
      </c>
      <c r="K24" s="91">
        <v>0</v>
      </c>
      <c r="L24" s="91">
        <v>0</v>
      </c>
      <c r="M24" s="91">
        <v>13000</v>
      </c>
      <c r="N24" s="91"/>
      <c r="O24" s="91">
        <v>1500</v>
      </c>
      <c r="P24" s="91">
        <f>188500-5000</f>
        <v>183500</v>
      </c>
      <c r="Q24" s="91">
        <f>1500+50000</f>
        <v>51500</v>
      </c>
      <c r="R24" s="91">
        <v>2000</v>
      </c>
      <c r="S24" s="91">
        <v>3771</v>
      </c>
      <c r="T24" s="91">
        <v>320</v>
      </c>
      <c r="U24" s="91">
        <v>380</v>
      </c>
      <c r="V24" s="91"/>
      <c r="W24" s="91">
        <v>0</v>
      </c>
      <c r="X24" s="91">
        <v>66527</v>
      </c>
      <c r="Y24" s="92">
        <v>0</v>
      </c>
      <c r="Z24" s="107">
        <f t="shared" si="1"/>
        <v>73271</v>
      </c>
    </row>
    <row r="25" spans="1:26" ht="11.25">
      <c r="A25" s="81" t="s">
        <v>187</v>
      </c>
      <c r="B25" s="79">
        <v>565</v>
      </c>
      <c r="C25" s="80">
        <f t="shared" si="5"/>
        <v>342</v>
      </c>
      <c r="D25" s="89">
        <f t="shared" si="2"/>
        <v>2321907</v>
      </c>
      <c r="E25" s="91">
        <v>4000</v>
      </c>
      <c r="F25" s="91">
        <v>0</v>
      </c>
      <c r="G25" s="91">
        <f>1613322-21693</f>
        <v>1591629</v>
      </c>
      <c r="H25" s="91">
        <v>130484</v>
      </c>
      <c r="I25" s="91">
        <v>296475</v>
      </c>
      <c r="J25" s="91">
        <v>40579</v>
      </c>
      <c r="K25" s="91">
        <v>0</v>
      </c>
      <c r="L25" s="91">
        <v>3000</v>
      </c>
      <c r="M25" s="91">
        <v>11000</v>
      </c>
      <c r="N25" s="91"/>
      <c r="O25" s="91">
        <v>2546</v>
      </c>
      <c r="P25" s="91">
        <v>123323</v>
      </c>
      <c r="Q25" s="91">
        <v>0</v>
      </c>
      <c r="R25" s="91">
        <v>0</v>
      </c>
      <c r="S25" s="91">
        <v>12636</v>
      </c>
      <c r="T25" s="91">
        <v>2100</v>
      </c>
      <c r="U25" s="91">
        <v>2500</v>
      </c>
      <c r="V25" s="91"/>
      <c r="W25" s="91">
        <v>3000</v>
      </c>
      <c r="X25" s="91">
        <v>98635</v>
      </c>
      <c r="Y25" s="92">
        <v>0</v>
      </c>
      <c r="Z25" s="107">
        <f t="shared" si="1"/>
        <v>40782</v>
      </c>
    </row>
    <row r="26" spans="1:26" ht="11.25">
      <c r="A26" s="81" t="s">
        <v>188</v>
      </c>
      <c r="B26" s="79">
        <v>337</v>
      </c>
      <c r="C26" s="80">
        <f>D26/12/B26</f>
        <v>179</v>
      </c>
      <c r="D26" s="89">
        <f>SUM(E26:Y26)</f>
        <v>724891</v>
      </c>
      <c r="E26" s="91">
        <v>1500</v>
      </c>
      <c r="F26" s="91"/>
      <c r="G26" s="91">
        <f>510266-6699</f>
        <v>503567</v>
      </c>
      <c r="H26" s="91">
        <v>42160</v>
      </c>
      <c r="I26" s="91">
        <v>96478</v>
      </c>
      <c r="J26" s="91">
        <v>13205</v>
      </c>
      <c r="K26" s="91">
        <v>0</v>
      </c>
      <c r="L26" s="91">
        <v>0</v>
      </c>
      <c r="M26" s="91">
        <f>11000</f>
        <v>11000</v>
      </c>
      <c r="N26" s="91"/>
      <c r="O26" s="91">
        <v>660</v>
      </c>
      <c r="P26" s="91">
        <f>18229</f>
        <v>18229</v>
      </c>
      <c r="Q26" s="91">
        <v>0</v>
      </c>
      <c r="R26" s="91">
        <v>700</v>
      </c>
      <c r="S26" s="91">
        <v>6275</v>
      </c>
      <c r="T26" s="91">
        <v>0</v>
      </c>
      <c r="U26" s="91">
        <v>0</v>
      </c>
      <c r="V26" s="91"/>
      <c r="W26" s="91">
        <v>0</v>
      </c>
      <c r="X26" s="91">
        <v>31117</v>
      </c>
      <c r="Y26" s="92">
        <v>0</v>
      </c>
      <c r="Z26" s="107">
        <f t="shared" si="1"/>
        <v>20135</v>
      </c>
    </row>
    <row r="27" spans="1:26" ht="22.5">
      <c r="A27" s="93" t="s">
        <v>223</v>
      </c>
      <c r="B27" s="79"/>
      <c r="C27" s="80"/>
      <c r="D27" s="89">
        <v>2422004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2"/>
      <c r="Z27" s="107"/>
    </row>
    <row r="28" spans="1:26" ht="15.75" customHeight="1">
      <c r="A28" s="93" t="s">
        <v>226</v>
      </c>
      <c r="B28" s="79"/>
      <c r="C28" s="80"/>
      <c r="D28" s="89">
        <f>SUM(E28:Y28)</f>
        <v>136496</v>
      </c>
      <c r="E28" s="91"/>
      <c r="F28" s="91"/>
      <c r="G28" s="91">
        <v>126585</v>
      </c>
      <c r="H28" s="91"/>
      <c r="I28" s="91">
        <v>8723</v>
      </c>
      <c r="J28" s="91">
        <v>1188</v>
      </c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2"/>
      <c r="Z28" s="107"/>
    </row>
    <row r="29" spans="1:26" ht="23.25" customHeight="1">
      <c r="A29" s="93" t="s">
        <v>224</v>
      </c>
      <c r="B29" s="79"/>
      <c r="C29" s="80"/>
      <c r="D29" s="89">
        <v>202000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2"/>
      <c r="Z29" s="107"/>
    </row>
    <row r="30" spans="1:26" ht="32.25">
      <c r="A30" s="82" t="s">
        <v>189</v>
      </c>
      <c r="B30" s="89">
        <f>SUM(B13:B29)</f>
        <v>6372</v>
      </c>
      <c r="C30" s="83">
        <f t="shared" si="5"/>
        <v>423</v>
      </c>
      <c r="D30" s="89">
        <f aca="true" t="shared" si="6" ref="D30:J30">SUM(D13:D29)</f>
        <v>32370981</v>
      </c>
      <c r="E30" s="89">
        <f t="shared" si="6"/>
        <v>32981</v>
      </c>
      <c r="F30" s="89">
        <f t="shared" si="6"/>
        <v>0</v>
      </c>
      <c r="G30" s="89">
        <f t="shared" si="6"/>
        <v>20261827</v>
      </c>
      <c r="H30" s="89">
        <f t="shared" si="6"/>
        <v>1611890</v>
      </c>
      <c r="I30" s="89">
        <f t="shared" si="6"/>
        <v>3772255</v>
      </c>
      <c r="J30" s="89">
        <f t="shared" si="6"/>
        <v>516308</v>
      </c>
      <c r="K30" s="89">
        <f aca="true" t="shared" si="7" ref="K30:Z30">SUM(K13:K29)</f>
        <v>53489</v>
      </c>
      <c r="L30" s="89">
        <f t="shared" si="7"/>
        <v>60460</v>
      </c>
      <c r="M30" s="89">
        <f t="shared" si="7"/>
        <v>277613</v>
      </c>
      <c r="N30" s="89">
        <f t="shared" si="7"/>
        <v>0</v>
      </c>
      <c r="O30" s="89">
        <f t="shared" si="7"/>
        <v>42806</v>
      </c>
      <c r="P30" s="89">
        <f t="shared" si="7"/>
        <v>1345377</v>
      </c>
      <c r="Q30" s="89">
        <f t="shared" si="7"/>
        <v>147000</v>
      </c>
      <c r="R30" s="89">
        <f t="shared" si="7"/>
        <v>20630</v>
      </c>
      <c r="S30" s="89">
        <f t="shared" si="7"/>
        <v>306839</v>
      </c>
      <c r="T30" s="89">
        <f t="shared" si="7"/>
        <v>16220</v>
      </c>
      <c r="U30" s="89">
        <f t="shared" si="7"/>
        <v>9598</v>
      </c>
      <c r="V30" s="89">
        <f t="shared" si="7"/>
        <v>0</v>
      </c>
      <c r="W30" s="89">
        <f t="shared" si="7"/>
        <v>10531</v>
      </c>
      <c r="X30" s="89">
        <f t="shared" si="7"/>
        <v>1201153</v>
      </c>
      <c r="Y30" s="90">
        <f t="shared" si="7"/>
        <v>60000</v>
      </c>
      <c r="Z30" s="90">
        <f t="shared" si="7"/>
        <v>1038167</v>
      </c>
    </row>
    <row r="31" spans="1:26" s="78" customFormat="1" ht="22.5">
      <c r="A31" s="79" t="s">
        <v>171</v>
      </c>
      <c r="B31" s="91">
        <v>9</v>
      </c>
      <c r="C31" s="80">
        <f t="shared" si="5"/>
        <v>2022</v>
      </c>
      <c r="D31" s="89">
        <f t="shared" si="2"/>
        <v>218369</v>
      </c>
      <c r="E31" s="91">
        <v>0</v>
      </c>
      <c r="F31" s="91"/>
      <c r="G31" s="91">
        <v>165772</v>
      </c>
      <c r="H31" s="91">
        <v>8637</v>
      </c>
      <c r="I31" s="91">
        <v>30974</v>
      </c>
      <c r="J31" s="91">
        <v>4239</v>
      </c>
      <c r="K31" s="91">
        <v>0</v>
      </c>
      <c r="L31" s="91">
        <v>0</v>
      </c>
      <c r="M31" s="91">
        <v>2740</v>
      </c>
      <c r="N31" s="91"/>
      <c r="O31" s="91">
        <v>897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/>
      <c r="W31" s="91">
        <v>0</v>
      </c>
      <c r="X31" s="91">
        <v>5110</v>
      </c>
      <c r="Y31" s="92">
        <v>0</v>
      </c>
      <c r="Z31" s="107">
        <f aca="true" t="shared" si="8" ref="Z31:Z39">E31+M31+Q31+R31+S31+U31+W31+K31+O31+T31+L31+F31+V31+Y31+N31</f>
        <v>3637</v>
      </c>
    </row>
    <row r="32" spans="1:26" s="78" customFormat="1" ht="32.25">
      <c r="A32" s="82" t="s">
        <v>220</v>
      </c>
      <c r="B32" s="89">
        <f>B31</f>
        <v>9</v>
      </c>
      <c r="C32" s="89">
        <f>C31</f>
        <v>2022</v>
      </c>
      <c r="D32" s="89">
        <f>SUM(D31)</f>
        <v>218369</v>
      </c>
      <c r="E32" s="89">
        <f>E31</f>
        <v>0</v>
      </c>
      <c r="F32" s="89"/>
      <c r="G32" s="89">
        <f aca="true" t="shared" si="9" ref="G32:Y32">G31</f>
        <v>165772</v>
      </c>
      <c r="H32" s="89">
        <f t="shared" si="9"/>
        <v>8637</v>
      </c>
      <c r="I32" s="89">
        <f t="shared" si="9"/>
        <v>30974</v>
      </c>
      <c r="J32" s="89">
        <f t="shared" si="9"/>
        <v>4239</v>
      </c>
      <c r="K32" s="89">
        <f t="shared" si="9"/>
        <v>0</v>
      </c>
      <c r="L32" s="89">
        <f t="shared" si="9"/>
        <v>0</v>
      </c>
      <c r="M32" s="89">
        <f t="shared" si="9"/>
        <v>2740</v>
      </c>
      <c r="N32" s="89">
        <f t="shared" si="9"/>
        <v>0</v>
      </c>
      <c r="O32" s="89">
        <f t="shared" si="9"/>
        <v>897</v>
      </c>
      <c r="P32" s="89">
        <f t="shared" si="9"/>
        <v>0</v>
      </c>
      <c r="Q32" s="89">
        <f t="shared" si="9"/>
        <v>0</v>
      </c>
      <c r="R32" s="89">
        <f t="shared" si="9"/>
        <v>0</v>
      </c>
      <c r="S32" s="89">
        <f t="shared" si="9"/>
        <v>0</v>
      </c>
      <c r="T32" s="89">
        <f t="shared" si="9"/>
        <v>0</v>
      </c>
      <c r="U32" s="89">
        <f t="shared" si="9"/>
        <v>0</v>
      </c>
      <c r="V32" s="89">
        <f t="shared" si="9"/>
        <v>0</v>
      </c>
      <c r="W32" s="89">
        <f t="shared" si="9"/>
        <v>0</v>
      </c>
      <c r="X32" s="89">
        <f t="shared" si="9"/>
        <v>5110</v>
      </c>
      <c r="Y32" s="90">
        <f t="shared" si="9"/>
        <v>0</v>
      </c>
      <c r="Z32" s="107">
        <f t="shared" si="8"/>
        <v>3637</v>
      </c>
    </row>
    <row r="33" spans="1:26" ht="33.75">
      <c r="A33" s="81" t="s">
        <v>190</v>
      </c>
      <c r="B33" s="79">
        <v>169</v>
      </c>
      <c r="C33" s="80">
        <f aca="true" t="shared" si="10" ref="C33:C57">D33/12/B33</f>
        <v>431</v>
      </c>
      <c r="D33" s="89">
        <f t="shared" si="2"/>
        <v>874244</v>
      </c>
      <c r="E33" s="91">
        <v>1300</v>
      </c>
      <c r="F33" s="91"/>
      <c r="G33" s="91">
        <v>593995</v>
      </c>
      <c r="H33" s="91">
        <v>51746</v>
      </c>
      <c r="I33" s="91">
        <v>115588</v>
      </c>
      <c r="J33" s="91">
        <v>15821</v>
      </c>
      <c r="K33" s="91">
        <v>0</v>
      </c>
      <c r="L33" s="91">
        <v>500</v>
      </c>
      <c r="M33" s="91">
        <v>4467</v>
      </c>
      <c r="N33" s="91"/>
      <c r="O33" s="91">
        <v>1000</v>
      </c>
      <c r="P33" s="91">
        <v>41044</v>
      </c>
      <c r="Q33" s="91">
        <v>1300</v>
      </c>
      <c r="R33" s="91">
        <v>1200</v>
      </c>
      <c r="S33" s="91">
        <v>3840</v>
      </c>
      <c r="T33" s="91">
        <v>700</v>
      </c>
      <c r="U33" s="91">
        <v>700</v>
      </c>
      <c r="V33" s="91"/>
      <c r="W33" s="91">
        <v>0</v>
      </c>
      <c r="X33" s="91">
        <v>41043</v>
      </c>
      <c r="Y33" s="92"/>
      <c r="Z33" s="107">
        <f t="shared" si="8"/>
        <v>15007</v>
      </c>
    </row>
    <row r="34" spans="1:26" ht="33.75">
      <c r="A34" s="81" t="s">
        <v>191</v>
      </c>
      <c r="B34" s="79">
        <v>79</v>
      </c>
      <c r="C34" s="80">
        <f t="shared" si="10"/>
        <v>283</v>
      </c>
      <c r="D34" s="89">
        <f t="shared" si="2"/>
        <v>267969</v>
      </c>
      <c r="E34" s="91">
        <v>1200</v>
      </c>
      <c r="F34" s="91"/>
      <c r="G34" s="91">
        <v>185068</v>
      </c>
      <c r="H34" s="91">
        <v>15800</v>
      </c>
      <c r="I34" s="91">
        <v>35487</v>
      </c>
      <c r="J34" s="91">
        <v>4857</v>
      </c>
      <c r="K34" s="91">
        <v>3000</v>
      </c>
      <c r="L34" s="91">
        <v>0</v>
      </c>
      <c r="M34" s="91">
        <v>1945</v>
      </c>
      <c r="N34" s="91"/>
      <c r="O34" s="91">
        <v>210</v>
      </c>
      <c r="P34" s="91">
        <v>3230</v>
      </c>
      <c r="Q34" s="91">
        <v>0</v>
      </c>
      <c r="R34" s="91">
        <v>210</v>
      </c>
      <c r="S34" s="91">
        <v>3000</v>
      </c>
      <c r="T34" s="91">
        <v>0</v>
      </c>
      <c r="U34" s="91">
        <v>150</v>
      </c>
      <c r="V34" s="91"/>
      <c r="W34" s="91">
        <v>300</v>
      </c>
      <c r="X34" s="91">
        <v>13512</v>
      </c>
      <c r="Y34" s="92"/>
      <c r="Z34" s="107">
        <f t="shared" si="8"/>
        <v>10015</v>
      </c>
    </row>
    <row r="35" spans="1:26" ht="22.5">
      <c r="A35" s="81" t="s">
        <v>192</v>
      </c>
      <c r="B35" s="79">
        <v>48</v>
      </c>
      <c r="C35" s="80">
        <f t="shared" si="10"/>
        <v>273</v>
      </c>
      <c r="D35" s="89">
        <f t="shared" si="2"/>
        <v>157041</v>
      </c>
      <c r="E35" s="91">
        <v>100</v>
      </c>
      <c r="F35" s="91"/>
      <c r="G35" s="91">
        <v>95381</v>
      </c>
      <c r="H35" s="91">
        <v>13033</v>
      </c>
      <c r="I35" s="91">
        <v>18792</v>
      </c>
      <c r="J35" s="91">
        <v>2572</v>
      </c>
      <c r="K35" s="91">
        <v>180</v>
      </c>
      <c r="L35" s="91">
        <v>2395</v>
      </c>
      <c r="M35" s="91">
        <v>0</v>
      </c>
      <c r="N35" s="91"/>
      <c r="O35" s="91">
        <v>200</v>
      </c>
      <c r="P35" s="91">
        <v>14845</v>
      </c>
      <c r="Q35" s="91">
        <v>120</v>
      </c>
      <c r="R35" s="91">
        <v>225</v>
      </c>
      <c r="S35" s="91">
        <v>1022</v>
      </c>
      <c r="T35" s="91">
        <v>0</v>
      </c>
      <c r="U35" s="91">
        <v>0</v>
      </c>
      <c r="V35" s="91"/>
      <c r="W35" s="91">
        <v>200</v>
      </c>
      <c r="X35" s="91">
        <v>7976</v>
      </c>
      <c r="Y35" s="92"/>
      <c r="Z35" s="107">
        <f t="shared" si="8"/>
        <v>4442</v>
      </c>
    </row>
    <row r="36" spans="1:26" ht="22.5">
      <c r="A36" s="81" t="s">
        <v>193</v>
      </c>
      <c r="B36" s="79">
        <v>349</v>
      </c>
      <c r="C36" s="80">
        <f t="shared" si="10"/>
        <v>389</v>
      </c>
      <c r="D36" s="89">
        <f t="shared" si="2"/>
        <v>1627562</v>
      </c>
      <c r="E36" s="91">
        <v>0</v>
      </c>
      <c r="F36" s="91"/>
      <c r="G36" s="91">
        <f>1177526-8875</f>
        <v>1168651</v>
      </c>
      <c r="H36" s="91">
        <v>90717</v>
      </c>
      <c r="I36" s="91">
        <v>211400</v>
      </c>
      <c r="J36" s="91">
        <v>28935</v>
      </c>
      <c r="K36" s="91">
        <v>1950</v>
      </c>
      <c r="L36" s="91">
        <v>0</v>
      </c>
      <c r="M36" s="91">
        <v>7940</v>
      </c>
      <c r="N36" s="91"/>
      <c r="O36" s="91">
        <v>1500</v>
      </c>
      <c r="P36" s="91">
        <v>31947</v>
      </c>
      <c r="Q36" s="91">
        <v>0</v>
      </c>
      <c r="R36" s="91">
        <v>0</v>
      </c>
      <c r="S36" s="91">
        <v>6977</v>
      </c>
      <c r="T36" s="91">
        <v>10386</v>
      </c>
      <c r="U36" s="91">
        <v>0</v>
      </c>
      <c r="V36" s="91"/>
      <c r="W36" s="91">
        <v>0</v>
      </c>
      <c r="X36" s="91">
        <v>67159</v>
      </c>
      <c r="Y36" s="92"/>
      <c r="Z36" s="107">
        <f t="shared" si="8"/>
        <v>28753</v>
      </c>
    </row>
    <row r="37" spans="1:26" ht="33.75">
      <c r="A37" s="81" t="s">
        <v>194</v>
      </c>
      <c r="B37" s="79">
        <v>125</v>
      </c>
      <c r="C37" s="80">
        <f t="shared" si="10"/>
        <v>347</v>
      </c>
      <c r="D37" s="89">
        <f t="shared" si="2"/>
        <v>520416</v>
      </c>
      <c r="E37" s="91">
        <v>0</v>
      </c>
      <c r="F37" s="91"/>
      <c r="G37" s="91">
        <f>375224-11510</f>
        <v>363714</v>
      </c>
      <c r="H37" s="91">
        <v>31801</v>
      </c>
      <c r="I37" s="91">
        <v>68596</v>
      </c>
      <c r="J37" s="91">
        <v>9389</v>
      </c>
      <c r="K37" s="91">
        <v>0</v>
      </c>
      <c r="L37" s="91">
        <v>0</v>
      </c>
      <c r="M37" s="91">
        <v>2600</v>
      </c>
      <c r="N37" s="91"/>
      <c r="O37" s="91">
        <v>4000</v>
      </c>
      <c r="P37" s="91">
        <v>12800</v>
      </c>
      <c r="Q37" s="91">
        <v>0</v>
      </c>
      <c r="R37" s="91">
        <v>0</v>
      </c>
      <c r="S37" s="91">
        <v>4000</v>
      </c>
      <c r="T37" s="91">
        <v>0</v>
      </c>
      <c r="U37" s="91">
        <v>500</v>
      </c>
      <c r="V37" s="91"/>
      <c r="W37" s="91">
        <v>0</v>
      </c>
      <c r="X37" s="91">
        <v>23016</v>
      </c>
      <c r="Y37" s="92"/>
      <c r="Z37" s="107">
        <f t="shared" si="8"/>
        <v>11100</v>
      </c>
    </row>
    <row r="38" spans="1:26" ht="33.75">
      <c r="A38" s="81" t="s">
        <v>195</v>
      </c>
      <c r="B38" s="79">
        <v>96</v>
      </c>
      <c r="C38" s="80">
        <f t="shared" si="10"/>
        <v>289</v>
      </c>
      <c r="D38" s="89">
        <f t="shared" si="2"/>
        <v>333489</v>
      </c>
      <c r="E38" s="91">
        <v>1000</v>
      </c>
      <c r="F38" s="91"/>
      <c r="G38" s="91">
        <v>225596</v>
      </c>
      <c r="H38" s="91">
        <v>15000</v>
      </c>
      <c r="I38" s="91">
        <v>43067</v>
      </c>
      <c r="J38" s="91">
        <v>5895</v>
      </c>
      <c r="K38" s="91">
        <v>1700</v>
      </c>
      <c r="L38" s="91">
        <v>0</v>
      </c>
      <c r="M38" s="91">
        <v>1200</v>
      </c>
      <c r="N38" s="91"/>
      <c r="O38" s="91">
        <v>1500</v>
      </c>
      <c r="P38" s="91">
        <v>15936</v>
      </c>
      <c r="Q38" s="91">
        <v>0</v>
      </c>
      <c r="R38" s="91">
        <v>0</v>
      </c>
      <c r="S38" s="91">
        <v>4825</v>
      </c>
      <c r="T38" s="91">
        <v>0</v>
      </c>
      <c r="U38" s="91">
        <v>0</v>
      </c>
      <c r="V38" s="91"/>
      <c r="W38" s="91">
        <v>0</v>
      </c>
      <c r="X38" s="91">
        <v>17770</v>
      </c>
      <c r="Y38" s="92"/>
      <c r="Z38" s="107">
        <f t="shared" si="8"/>
        <v>10225</v>
      </c>
    </row>
    <row r="39" spans="1:26" ht="22.5">
      <c r="A39" s="81" t="s">
        <v>196</v>
      </c>
      <c r="B39" s="79">
        <v>85</v>
      </c>
      <c r="C39" s="80">
        <f>D39/12/B39</f>
        <v>208</v>
      </c>
      <c r="D39" s="89">
        <f>SUM(E39:Y39)</f>
        <v>212649</v>
      </c>
      <c r="E39" s="91">
        <v>400</v>
      </c>
      <c r="F39" s="91"/>
      <c r="G39" s="91">
        <v>145921</v>
      </c>
      <c r="H39" s="91">
        <v>9219</v>
      </c>
      <c r="I39" s="91">
        <v>25669</v>
      </c>
      <c r="J39" s="91">
        <v>3513</v>
      </c>
      <c r="K39" s="91">
        <v>0</v>
      </c>
      <c r="L39" s="91">
        <v>0</v>
      </c>
      <c r="M39" s="91">
        <v>3400</v>
      </c>
      <c r="N39" s="91"/>
      <c r="O39" s="91">
        <v>0</v>
      </c>
      <c r="P39" s="91">
        <v>10759</v>
      </c>
      <c r="Q39" s="91">
        <v>0</v>
      </c>
      <c r="R39" s="91">
        <v>0</v>
      </c>
      <c r="S39" s="91">
        <v>3748</v>
      </c>
      <c r="T39" s="91">
        <v>0</v>
      </c>
      <c r="U39" s="91">
        <v>0</v>
      </c>
      <c r="V39" s="91"/>
      <c r="W39" s="91">
        <v>0</v>
      </c>
      <c r="X39" s="91">
        <v>10020</v>
      </c>
      <c r="Y39" s="92"/>
      <c r="Z39" s="107">
        <f t="shared" si="8"/>
        <v>7548</v>
      </c>
    </row>
    <row r="40" spans="1:26" ht="22.5">
      <c r="A40" s="93" t="s">
        <v>223</v>
      </c>
      <c r="B40" s="79"/>
      <c r="C40" s="80"/>
      <c r="D40" s="89">
        <v>135453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2"/>
      <c r="Z40" s="107"/>
    </row>
    <row r="41" spans="1:26" ht="21.75">
      <c r="A41" s="82" t="s">
        <v>197</v>
      </c>
      <c r="B41" s="89">
        <f>SUM(B33:B40)</f>
        <v>951</v>
      </c>
      <c r="C41" s="83">
        <f t="shared" si="10"/>
        <v>362</v>
      </c>
      <c r="D41" s="89">
        <f aca="true" t="shared" si="11" ref="D41:J41">SUM(D33:D40)</f>
        <v>4128823</v>
      </c>
      <c r="E41" s="89">
        <f t="shared" si="11"/>
        <v>4000</v>
      </c>
      <c r="F41" s="89">
        <f t="shared" si="11"/>
        <v>0</v>
      </c>
      <c r="G41" s="89">
        <f t="shared" si="11"/>
        <v>2778326</v>
      </c>
      <c r="H41" s="89">
        <f t="shared" si="11"/>
        <v>227316</v>
      </c>
      <c r="I41" s="89">
        <f t="shared" si="11"/>
        <v>518599</v>
      </c>
      <c r="J41" s="89">
        <f t="shared" si="11"/>
        <v>70982</v>
      </c>
      <c r="K41" s="89">
        <f aca="true" t="shared" si="12" ref="K41:Z41">SUM(K33:K40)</f>
        <v>6830</v>
      </c>
      <c r="L41" s="89">
        <f t="shared" si="12"/>
        <v>2895</v>
      </c>
      <c r="M41" s="89">
        <f t="shared" si="12"/>
        <v>21552</v>
      </c>
      <c r="N41" s="89">
        <f t="shared" si="12"/>
        <v>0</v>
      </c>
      <c r="O41" s="89">
        <f t="shared" si="12"/>
        <v>8410</v>
      </c>
      <c r="P41" s="89">
        <f t="shared" si="12"/>
        <v>130561</v>
      </c>
      <c r="Q41" s="89">
        <f t="shared" si="12"/>
        <v>1420</v>
      </c>
      <c r="R41" s="89">
        <f t="shared" si="12"/>
        <v>1635</v>
      </c>
      <c r="S41" s="89">
        <f t="shared" si="12"/>
        <v>27412</v>
      </c>
      <c r="T41" s="89">
        <f t="shared" si="12"/>
        <v>11086</v>
      </c>
      <c r="U41" s="89">
        <f t="shared" si="12"/>
        <v>1350</v>
      </c>
      <c r="V41" s="89">
        <f t="shared" si="12"/>
        <v>0</v>
      </c>
      <c r="W41" s="89">
        <f t="shared" si="12"/>
        <v>500</v>
      </c>
      <c r="X41" s="89">
        <f t="shared" si="12"/>
        <v>180496</v>
      </c>
      <c r="Y41" s="90">
        <f t="shared" si="12"/>
        <v>0</v>
      </c>
      <c r="Z41" s="107">
        <f t="shared" si="12"/>
        <v>87090</v>
      </c>
    </row>
    <row r="42" spans="1:26" ht="33.75">
      <c r="A42" s="81" t="s">
        <v>190</v>
      </c>
      <c r="B42" s="79">
        <v>617</v>
      </c>
      <c r="C42" s="80">
        <f t="shared" si="10"/>
        <v>359</v>
      </c>
      <c r="D42" s="89">
        <f t="shared" si="2"/>
        <v>2655118</v>
      </c>
      <c r="E42" s="91">
        <v>3500</v>
      </c>
      <c r="F42" s="91"/>
      <c r="G42" s="91">
        <f>1807871-26693</f>
        <v>1781178</v>
      </c>
      <c r="H42" s="91">
        <v>139854</v>
      </c>
      <c r="I42" s="91">
        <v>326204</v>
      </c>
      <c r="J42" s="91">
        <v>44648</v>
      </c>
      <c r="K42" s="91">
        <v>0</v>
      </c>
      <c r="L42" s="91">
        <v>700</v>
      </c>
      <c r="M42" s="91">
        <f>13250</f>
        <v>13250</v>
      </c>
      <c r="N42" s="91"/>
      <c r="O42" s="91">
        <f>3000+2000</f>
        <v>5000</v>
      </c>
      <c r="P42" s="91">
        <f>123130</f>
        <v>123130</v>
      </c>
      <c r="Q42" s="91">
        <f>4000+80000</f>
        <v>84000</v>
      </c>
      <c r="R42" s="91">
        <v>2450</v>
      </c>
      <c r="S42" s="91">
        <f>9521</f>
        <v>9521</v>
      </c>
      <c r="T42" s="91">
        <v>1500</v>
      </c>
      <c r="U42" s="91">
        <v>1320</v>
      </c>
      <c r="V42" s="91"/>
      <c r="W42" s="91">
        <v>0</v>
      </c>
      <c r="X42" s="91">
        <v>118863</v>
      </c>
      <c r="Y42" s="92"/>
      <c r="Z42" s="107">
        <f aca="true" t="shared" si="13" ref="Z42:Z52">E42+M42+Q42+R42+S42+U42+W42+K42+O42+T42+L42+F42+V42+Y42+N42</f>
        <v>121241</v>
      </c>
    </row>
    <row r="43" spans="1:26" ht="22.5">
      <c r="A43" s="81" t="s">
        <v>198</v>
      </c>
      <c r="B43" s="79">
        <v>464</v>
      </c>
      <c r="C43" s="80">
        <f t="shared" si="10"/>
        <v>275</v>
      </c>
      <c r="D43" s="89">
        <f t="shared" si="2"/>
        <v>1532636</v>
      </c>
      <c r="E43" s="91">
        <v>3669</v>
      </c>
      <c r="F43" s="91"/>
      <c r="G43" s="91">
        <f>1083414-28351</f>
        <v>1055063</v>
      </c>
      <c r="H43" s="91">
        <v>83684</v>
      </c>
      <c r="I43" s="91">
        <v>199793</v>
      </c>
      <c r="J43" s="91">
        <v>27346</v>
      </c>
      <c r="K43" s="91">
        <v>0</v>
      </c>
      <c r="L43" s="91">
        <v>0</v>
      </c>
      <c r="M43" s="91">
        <v>10035</v>
      </c>
      <c r="N43" s="91"/>
      <c r="O43" s="91">
        <f>3000</f>
        <v>3000</v>
      </c>
      <c r="P43" s="91">
        <f>48334</f>
        <v>48334</v>
      </c>
      <c r="Q43" s="91">
        <v>0</v>
      </c>
      <c r="R43" s="91">
        <v>2000</v>
      </c>
      <c r="S43" s="91">
        <f>35476</f>
        <v>35476</v>
      </c>
      <c r="T43" s="91">
        <v>2160</v>
      </c>
      <c r="U43" s="91">
        <v>0</v>
      </c>
      <c r="V43" s="91"/>
      <c r="W43" s="91">
        <v>0</v>
      </c>
      <c r="X43" s="91">
        <v>62076</v>
      </c>
      <c r="Y43" s="92"/>
      <c r="Z43" s="107">
        <f t="shared" si="13"/>
        <v>56340</v>
      </c>
    </row>
    <row r="44" spans="1:26" ht="33.75">
      <c r="A44" s="81" t="s">
        <v>194</v>
      </c>
      <c r="B44" s="79">
        <v>620</v>
      </c>
      <c r="C44" s="80">
        <f t="shared" si="10"/>
        <v>440</v>
      </c>
      <c r="D44" s="89">
        <f t="shared" si="2"/>
        <v>3270884</v>
      </c>
      <c r="E44" s="91">
        <v>1000</v>
      </c>
      <c r="F44" s="91"/>
      <c r="G44" s="91">
        <f>2151997-42110</f>
        <v>2109887</v>
      </c>
      <c r="H44" s="91">
        <v>164506</v>
      </c>
      <c r="I44" s="91">
        <v>394750</v>
      </c>
      <c r="J44" s="91">
        <v>54030</v>
      </c>
      <c r="K44" s="91">
        <v>0</v>
      </c>
      <c r="L44" s="91">
        <v>0</v>
      </c>
      <c r="M44" s="91">
        <f>20432</f>
        <v>20432</v>
      </c>
      <c r="N44" s="91"/>
      <c r="O44" s="91">
        <f>15000+4000</f>
        <v>19000</v>
      </c>
      <c r="P44" s="91">
        <f>264700</f>
        <v>264700</v>
      </c>
      <c r="Q44" s="91">
        <v>90000</v>
      </c>
      <c r="R44" s="91">
        <v>2000</v>
      </c>
      <c r="S44" s="91">
        <v>21000</v>
      </c>
      <c r="T44" s="91">
        <v>7000</v>
      </c>
      <c r="U44" s="91">
        <v>1000</v>
      </c>
      <c r="V44" s="91"/>
      <c r="W44" s="91">
        <v>0</v>
      </c>
      <c r="X44" s="91">
        <v>121579</v>
      </c>
      <c r="Y44" s="92"/>
      <c r="Z44" s="107">
        <f t="shared" si="13"/>
        <v>161432</v>
      </c>
    </row>
    <row r="45" spans="1:26" ht="33.75">
      <c r="A45" s="81" t="s">
        <v>191</v>
      </c>
      <c r="B45" s="79">
        <v>680</v>
      </c>
      <c r="C45" s="80">
        <f t="shared" si="10"/>
        <v>420</v>
      </c>
      <c r="D45" s="89">
        <f t="shared" si="2"/>
        <v>3425249</v>
      </c>
      <c r="E45" s="91">
        <v>7500</v>
      </c>
      <c r="F45" s="91"/>
      <c r="G45" s="91">
        <f>2303799-58479</f>
        <v>2245320</v>
      </c>
      <c r="H45" s="91">
        <v>177900</v>
      </c>
      <c r="I45" s="91">
        <v>419116</v>
      </c>
      <c r="J45" s="91">
        <v>57365</v>
      </c>
      <c r="K45" s="91">
        <v>18960</v>
      </c>
      <c r="L45" s="91">
        <v>0</v>
      </c>
      <c r="M45" s="91">
        <v>8169</v>
      </c>
      <c r="N45" s="91"/>
      <c r="O45" s="91">
        <v>1290</v>
      </c>
      <c r="P45" s="91">
        <f>123200-5000</f>
        <v>118200</v>
      </c>
      <c r="Q45" s="91">
        <v>200000</v>
      </c>
      <c r="R45" s="91">
        <v>1353</v>
      </c>
      <c r="S45" s="91">
        <f>18240</f>
        <v>18240</v>
      </c>
      <c r="T45" s="91">
        <v>3646</v>
      </c>
      <c r="U45" s="91">
        <v>850</v>
      </c>
      <c r="V45" s="91"/>
      <c r="W45" s="91">
        <v>2200</v>
      </c>
      <c r="X45" s="91">
        <v>145140</v>
      </c>
      <c r="Y45" s="92"/>
      <c r="Z45" s="107">
        <f t="shared" si="13"/>
        <v>262208</v>
      </c>
    </row>
    <row r="46" spans="1:26" ht="22.5">
      <c r="A46" s="81" t="s">
        <v>192</v>
      </c>
      <c r="B46" s="79">
        <v>435</v>
      </c>
      <c r="C46" s="80">
        <f t="shared" si="10"/>
        <v>414</v>
      </c>
      <c r="D46" s="89">
        <f t="shared" si="2"/>
        <v>2160388</v>
      </c>
      <c r="E46" s="91">
        <v>1500</v>
      </c>
      <c r="F46" s="91"/>
      <c r="G46" s="91">
        <f>1384181-16138</f>
        <v>1368043</v>
      </c>
      <c r="H46" s="91">
        <v>110575</v>
      </c>
      <c r="I46" s="91">
        <v>257568</v>
      </c>
      <c r="J46" s="91">
        <v>35254</v>
      </c>
      <c r="K46" s="91">
        <v>2340</v>
      </c>
      <c r="L46" s="91">
        <v>2000</v>
      </c>
      <c r="M46" s="91">
        <f>9510</f>
        <v>9510</v>
      </c>
      <c r="N46" s="91"/>
      <c r="O46" s="91">
        <f>3200</f>
        <v>3200</v>
      </c>
      <c r="P46" s="91">
        <f>249777-15000</f>
        <v>234777</v>
      </c>
      <c r="Q46" s="91">
        <f>1700+1000</f>
        <v>2700</v>
      </c>
      <c r="R46" s="91">
        <v>1575</v>
      </c>
      <c r="S46" s="91">
        <f>9923+30550</f>
        <v>40473</v>
      </c>
      <c r="T46" s="91">
        <v>1500</v>
      </c>
      <c r="U46" s="91">
        <v>1300</v>
      </c>
      <c r="V46" s="91"/>
      <c r="W46" s="91">
        <v>3200</v>
      </c>
      <c r="X46" s="91">
        <v>84873</v>
      </c>
      <c r="Y46" s="92"/>
      <c r="Z46" s="107">
        <f t="shared" si="13"/>
        <v>69298</v>
      </c>
    </row>
    <row r="47" spans="1:26" ht="22.5">
      <c r="A47" s="81" t="s">
        <v>193</v>
      </c>
      <c r="B47" s="79">
        <v>280</v>
      </c>
      <c r="C47" s="80">
        <f t="shared" si="10"/>
        <v>653</v>
      </c>
      <c r="D47" s="89">
        <f t="shared" si="2"/>
        <v>2192603</v>
      </c>
      <c r="E47" s="91">
        <v>4200</v>
      </c>
      <c r="F47" s="91"/>
      <c r="G47" s="91">
        <f>1310166-22100</f>
        <v>1288066</v>
      </c>
      <c r="H47" s="91">
        <v>115459</v>
      </c>
      <c r="I47" s="91">
        <v>221291</v>
      </c>
      <c r="J47" s="91">
        <v>30288</v>
      </c>
      <c r="K47" s="91">
        <v>0</v>
      </c>
      <c r="L47" s="91">
        <v>0</v>
      </c>
      <c r="M47" s="91">
        <f>5599</f>
        <v>5599</v>
      </c>
      <c r="N47" s="91"/>
      <c r="O47" s="91">
        <f>2300</f>
        <v>2300</v>
      </c>
      <c r="P47" s="91">
        <f>181573</f>
        <v>181573</v>
      </c>
      <c r="Q47" s="91">
        <v>250000</v>
      </c>
      <c r="R47" s="91">
        <v>4000</v>
      </c>
      <c r="S47" s="91">
        <f>13465</f>
        <v>13465</v>
      </c>
      <c r="T47" s="91">
        <v>0</v>
      </c>
      <c r="U47" s="91">
        <v>900</v>
      </c>
      <c r="V47" s="91"/>
      <c r="W47" s="91">
        <v>0</v>
      </c>
      <c r="X47" s="91">
        <v>75462</v>
      </c>
      <c r="Y47" s="92"/>
      <c r="Z47" s="107">
        <f t="shared" si="13"/>
        <v>280464</v>
      </c>
    </row>
    <row r="48" spans="1:26" ht="33.75">
      <c r="A48" s="81" t="s">
        <v>195</v>
      </c>
      <c r="B48" s="79">
        <v>645</v>
      </c>
      <c r="C48" s="80">
        <f t="shared" si="10"/>
        <v>291</v>
      </c>
      <c r="D48" s="89">
        <f t="shared" si="2"/>
        <v>2250347</v>
      </c>
      <c r="E48" s="91">
        <v>5000</v>
      </c>
      <c r="F48" s="91"/>
      <c r="G48" s="91">
        <f>1426557-8700</f>
        <v>1417857</v>
      </c>
      <c r="H48" s="91">
        <v>120000</v>
      </c>
      <c r="I48" s="91">
        <v>272355</v>
      </c>
      <c r="J48" s="91">
        <v>37278</v>
      </c>
      <c r="K48" s="91">
        <v>13000</v>
      </c>
      <c r="L48" s="91">
        <v>2000</v>
      </c>
      <c r="M48" s="91">
        <f>5372</f>
        <v>5372</v>
      </c>
      <c r="N48" s="91"/>
      <c r="O48" s="91">
        <v>2000</v>
      </c>
      <c r="P48" s="91">
        <f>135700</f>
        <v>135700</v>
      </c>
      <c r="Q48" s="91">
        <v>3000</v>
      </c>
      <c r="R48" s="91">
        <v>3500</v>
      </c>
      <c r="S48" s="91">
        <v>46423</v>
      </c>
      <c r="T48" s="91">
        <v>6000</v>
      </c>
      <c r="U48" s="91">
        <v>2100</v>
      </c>
      <c r="V48" s="91"/>
      <c r="W48" s="91">
        <v>3000</v>
      </c>
      <c r="X48" s="91">
        <v>95762</v>
      </c>
      <c r="Y48" s="92">
        <v>80000</v>
      </c>
      <c r="Z48" s="107">
        <f t="shared" si="13"/>
        <v>171395</v>
      </c>
    </row>
    <row r="49" spans="1:26" ht="22.5">
      <c r="A49" s="81" t="s">
        <v>196</v>
      </c>
      <c r="B49" s="79">
        <v>295</v>
      </c>
      <c r="C49" s="80">
        <f t="shared" si="10"/>
        <v>361</v>
      </c>
      <c r="D49" s="89">
        <f t="shared" si="2"/>
        <v>1277878</v>
      </c>
      <c r="E49" s="91">
        <v>1400</v>
      </c>
      <c r="F49" s="91"/>
      <c r="G49" s="91">
        <f>841810-6328</f>
        <v>835482</v>
      </c>
      <c r="H49" s="91">
        <v>83387</v>
      </c>
      <c r="I49" s="91">
        <v>161159</v>
      </c>
      <c r="J49" s="91">
        <v>22058</v>
      </c>
      <c r="K49" s="91">
        <v>0</v>
      </c>
      <c r="L49" s="91">
        <v>0</v>
      </c>
      <c r="M49" s="91">
        <f>5936</f>
        <v>5936</v>
      </c>
      <c r="N49" s="91"/>
      <c r="O49" s="91">
        <v>600</v>
      </c>
      <c r="P49" s="91">
        <f>105168</f>
        <v>105168</v>
      </c>
      <c r="Q49" s="91">
        <v>2000</v>
      </c>
      <c r="R49" s="91">
        <v>1890</v>
      </c>
      <c r="S49" s="91">
        <v>5497</v>
      </c>
      <c r="T49" s="91">
        <v>0</v>
      </c>
      <c r="U49" s="91">
        <v>3300</v>
      </c>
      <c r="V49" s="91"/>
      <c r="W49" s="91">
        <v>0</v>
      </c>
      <c r="X49" s="91">
        <v>50001</v>
      </c>
      <c r="Y49" s="92"/>
      <c r="Z49" s="107">
        <f t="shared" si="13"/>
        <v>20623</v>
      </c>
    </row>
    <row r="50" spans="1:26" ht="22.5">
      <c r="A50" s="81" t="s">
        <v>199</v>
      </c>
      <c r="B50" s="79">
        <v>523</v>
      </c>
      <c r="C50" s="80">
        <f t="shared" si="10"/>
        <v>384</v>
      </c>
      <c r="D50" s="89">
        <f t="shared" si="2"/>
        <v>2407043</v>
      </c>
      <c r="E50" s="91">
        <v>2000</v>
      </c>
      <c r="F50" s="91"/>
      <c r="G50" s="91">
        <f>1725912-106897</f>
        <v>1619015</v>
      </c>
      <c r="H50" s="91">
        <v>138600</v>
      </c>
      <c r="I50" s="91">
        <v>300497</v>
      </c>
      <c r="J50" s="91">
        <v>41129</v>
      </c>
      <c r="K50" s="91">
        <v>8000</v>
      </c>
      <c r="L50" s="91">
        <v>5000</v>
      </c>
      <c r="M50" s="91">
        <f>11122+3000</f>
        <v>14122</v>
      </c>
      <c r="N50" s="91"/>
      <c r="O50" s="91">
        <v>2000</v>
      </c>
      <c r="P50" s="91">
        <f>179200-15000</f>
        <v>164200</v>
      </c>
      <c r="Q50" s="91">
        <v>0</v>
      </c>
      <c r="R50" s="91">
        <v>3000</v>
      </c>
      <c r="S50" s="91">
        <f>10384</f>
        <v>10384</v>
      </c>
      <c r="T50" s="91">
        <v>1000</v>
      </c>
      <c r="U50" s="91">
        <v>1000</v>
      </c>
      <c r="V50" s="91"/>
      <c r="W50" s="91">
        <v>2600</v>
      </c>
      <c r="X50" s="91">
        <v>94496</v>
      </c>
      <c r="Y50" s="92"/>
      <c r="Z50" s="107">
        <f t="shared" si="13"/>
        <v>49106</v>
      </c>
    </row>
    <row r="51" spans="1:26" ht="11.25">
      <c r="A51" s="81" t="s">
        <v>188</v>
      </c>
      <c r="B51" s="79">
        <v>223</v>
      </c>
      <c r="C51" s="80">
        <f t="shared" si="10"/>
        <v>226</v>
      </c>
      <c r="D51" s="89">
        <f t="shared" si="2"/>
        <v>605852</v>
      </c>
      <c r="E51" s="91">
        <v>874</v>
      </c>
      <c r="F51" s="91"/>
      <c r="G51" s="91">
        <f>443472-19538</f>
        <v>423934</v>
      </c>
      <c r="H51" s="91">
        <v>28540</v>
      </c>
      <c r="I51" s="91">
        <v>80951</v>
      </c>
      <c r="J51" s="91">
        <v>11080</v>
      </c>
      <c r="K51" s="91">
        <v>0</v>
      </c>
      <c r="L51" s="91">
        <v>0</v>
      </c>
      <c r="M51" s="91">
        <v>8140</v>
      </c>
      <c r="N51" s="91"/>
      <c r="O51" s="91">
        <v>1000</v>
      </c>
      <c r="P51" s="91">
        <v>18128</v>
      </c>
      <c r="Q51" s="91">
        <v>0</v>
      </c>
      <c r="R51" s="91">
        <v>0</v>
      </c>
      <c r="S51" s="91">
        <v>3391</v>
      </c>
      <c r="T51" s="91">
        <v>0</v>
      </c>
      <c r="U51" s="91">
        <v>300</v>
      </c>
      <c r="V51" s="91"/>
      <c r="W51" s="91">
        <v>0</v>
      </c>
      <c r="X51" s="91">
        <v>29514</v>
      </c>
      <c r="Y51" s="92"/>
      <c r="Z51" s="107">
        <f t="shared" si="13"/>
        <v>13705</v>
      </c>
    </row>
    <row r="52" spans="1:26" ht="22.5">
      <c r="A52" s="108" t="s">
        <v>200</v>
      </c>
      <c r="B52" s="108">
        <v>442</v>
      </c>
      <c r="C52" s="80">
        <f>D52/12/B52</f>
        <v>389</v>
      </c>
      <c r="D52" s="89">
        <f>SUM(E52:Y52)</f>
        <v>2062440</v>
      </c>
      <c r="E52" s="91">
        <v>0</v>
      </c>
      <c r="F52" s="91"/>
      <c r="G52" s="91">
        <f>1444586-18660</f>
        <v>1425926</v>
      </c>
      <c r="H52" s="91">
        <v>113089</v>
      </c>
      <c r="I52" s="91">
        <v>271503</v>
      </c>
      <c r="J52" s="91">
        <v>37161</v>
      </c>
      <c r="K52" s="91">
        <v>0</v>
      </c>
      <c r="L52" s="91">
        <v>0</v>
      </c>
      <c r="M52" s="91">
        <v>8000</v>
      </c>
      <c r="N52" s="91"/>
      <c r="O52" s="91">
        <v>1000</v>
      </c>
      <c r="P52" s="91">
        <f>75576</f>
        <v>75576</v>
      </c>
      <c r="Q52" s="91">
        <v>10950</v>
      </c>
      <c r="R52" s="91">
        <v>1620</v>
      </c>
      <c r="S52" s="91">
        <f>9755</f>
        <v>9755</v>
      </c>
      <c r="T52" s="91">
        <v>11419</v>
      </c>
      <c r="U52" s="91">
        <v>0</v>
      </c>
      <c r="V52" s="91"/>
      <c r="W52" s="91">
        <v>0</v>
      </c>
      <c r="X52" s="91">
        <v>96441</v>
      </c>
      <c r="Y52" s="92"/>
      <c r="Z52" s="107">
        <f t="shared" si="13"/>
        <v>42744</v>
      </c>
    </row>
    <row r="53" spans="1:26" ht="22.5">
      <c r="A53" s="184" t="s">
        <v>223</v>
      </c>
      <c r="B53" s="108"/>
      <c r="C53" s="80"/>
      <c r="D53" s="89">
        <v>1125136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2"/>
      <c r="Z53" s="107"/>
    </row>
    <row r="54" spans="1:26" ht="21.75">
      <c r="A54" s="82" t="s">
        <v>201</v>
      </c>
      <c r="B54" s="89">
        <f>SUM(B42:B53)</f>
        <v>5224</v>
      </c>
      <c r="C54" s="83">
        <f t="shared" si="10"/>
        <v>398</v>
      </c>
      <c r="D54" s="89">
        <f aca="true" t="shared" si="14" ref="D54:J54">SUM(D42:D53)</f>
        <v>24965574</v>
      </c>
      <c r="E54" s="89">
        <f t="shared" si="14"/>
        <v>30643</v>
      </c>
      <c r="F54" s="89">
        <f t="shared" si="14"/>
        <v>0</v>
      </c>
      <c r="G54" s="89">
        <f t="shared" si="14"/>
        <v>15569771</v>
      </c>
      <c r="H54" s="89">
        <f t="shared" si="14"/>
        <v>1275594</v>
      </c>
      <c r="I54" s="89">
        <f t="shared" si="14"/>
        <v>2905187</v>
      </c>
      <c r="J54" s="89">
        <f t="shared" si="14"/>
        <v>397637</v>
      </c>
      <c r="K54" s="89">
        <f aca="true" t="shared" si="15" ref="K54:Z54">SUM(K42:K53)</f>
        <v>42300</v>
      </c>
      <c r="L54" s="89">
        <f t="shared" si="15"/>
        <v>9700</v>
      </c>
      <c r="M54" s="89">
        <f t="shared" si="15"/>
        <v>108565</v>
      </c>
      <c r="N54" s="89">
        <f t="shared" si="15"/>
        <v>0</v>
      </c>
      <c r="O54" s="89">
        <f t="shared" si="15"/>
        <v>40390</v>
      </c>
      <c r="P54" s="89">
        <f t="shared" si="15"/>
        <v>1469486</v>
      </c>
      <c r="Q54" s="89">
        <f t="shared" si="15"/>
        <v>642650</v>
      </c>
      <c r="R54" s="89">
        <f t="shared" si="15"/>
        <v>23388</v>
      </c>
      <c r="S54" s="89">
        <f t="shared" si="15"/>
        <v>213625</v>
      </c>
      <c r="T54" s="89">
        <f t="shared" si="15"/>
        <v>34225</v>
      </c>
      <c r="U54" s="89">
        <f t="shared" si="15"/>
        <v>12070</v>
      </c>
      <c r="V54" s="89">
        <f t="shared" si="15"/>
        <v>0</v>
      </c>
      <c r="W54" s="89">
        <f t="shared" si="15"/>
        <v>11000</v>
      </c>
      <c r="X54" s="89">
        <f t="shared" si="15"/>
        <v>974207</v>
      </c>
      <c r="Y54" s="90">
        <f t="shared" si="15"/>
        <v>80000</v>
      </c>
      <c r="Z54" s="90">
        <f t="shared" si="15"/>
        <v>1248556</v>
      </c>
    </row>
    <row r="55" spans="1:26" ht="21.75">
      <c r="A55" s="82" t="s">
        <v>202</v>
      </c>
      <c r="B55" s="75">
        <v>268</v>
      </c>
      <c r="C55" s="83">
        <f t="shared" si="10"/>
        <v>570</v>
      </c>
      <c r="D55" s="89">
        <f t="shared" si="2"/>
        <v>1831550</v>
      </c>
      <c r="E55" s="89">
        <v>600</v>
      </c>
      <c r="F55" s="89">
        <v>0</v>
      </c>
      <c r="G55" s="89">
        <f>1255736-1960</f>
        <v>1253776</v>
      </c>
      <c r="H55" s="89">
        <v>99027</v>
      </c>
      <c r="I55" s="89">
        <v>235221</v>
      </c>
      <c r="J55" s="89">
        <v>32195</v>
      </c>
      <c r="K55" s="89">
        <v>10800</v>
      </c>
      <c r="L55" s="89">
        <v>0</v>
      </c>
      <c r="M55" s="89">
        <f>6000</f>
        <v>6000</v>
      </c>
      <c r="N55" s="89"/>
      <c r="O55" s="89">
        <f>1892</f>
        <v>1892</v>
      </c>
      <c r="P55" s="89">
        <f>57331</f>
        <v>57331</v>
      </c>
      <c r="Q55" s="89">
        <f>1000+40000</f>
        <v>41000</v>
      </c>
      <c r="R55" s="89">
        <v>3000</v>
      </c>
      <c r="S55" s="89">
        <f>10000+1960</f>
        <v>11960</v>
      </c>
      <c r="T55" s="89">
        <v>700</v>
      </c>
      <c r="U55" s="89">
        <v>1000</v>
      </c>
      <c r="V55" s="89"/>
      <c r="W55" s="89">
        <v>2500</v>
      </c>
      <c r="X55" s="89">
        <v>74548</v>
      </c>
      <c r="Y55" s="90">
        <v>0</v>
      </c>
      <c r="Z55" s="107">
        <f>E55+M55+Q55+R55+S55+U55+W55+K55+O55+T55+L55+F55+V55+Y55+N55</f>
        <v>79452</v>
      </c>
    </row>
    <row r="56" spans="1:26" ht="22.5">
      <c r="A56" s="81" t="s">
        <v>172</v>
      </c>
      <c r="B56" s="75">
        <v>25</v>
      </c>
      <c r="C56" s="83">
        <f t="shared" si="10"/>
        <v>1203</v>
      </c>
      <c r="D56" s="89">
        <f t="shared" si="2"/>
        <v>360843</v>
      </c>
      <c r="E56" s="89">
        <v>0</v>
      </c>
      <c r="F56" s="89"/>
      <c r="G56" s="91">
        <v>273026</v>
      </c>
      <c r="H56" s="91">
        <v>11961</v>
      </c>
      <c r="I56" s="91">
        <v>51013</v>
      </c>
      <c r="J56" s="91">
        <v>6982</v>
      </c>
      <c r="K56" s="91">
        <v>0</v>
      </c>
      <c r="L56" s="91">
        <v>0</v>
      </c>
      <c r="M56" s="91">
        <v>1000</v>
      </c>
      <c r="N56" s="91"/>
      <c r="O56" s="91">
        <v>0</v>
      </c>
      <c r="P56" s="91">
        <v>0</v>
      </c>
      <c r="Q56" s="91">
        <v>0</v>
      </c>
      <c r="R56" s="91">
        <v>0</v>
      </c>
      <c r="S56" s="91">
        <v>1490</v>
      </c>
      <c r="T56" s="91">
        <v>0</v>
      </c>
      <c r="U56" s="91">
        <v>0</v>
      </c>
      <c r="V56" s="91"/>
      <c r="W56" s="91">
        <v>0</v>
      </c>
      <c r="X56" s="91">
        <v>15371</v>
      </c>
      <c r="Y56" s="92"/>
      <c r="Z56" s="107">
        <f>E56+M56+Q56+R56+S56+U56+W56+K56+O56+T56+L56+F56+V56+Y56+N56</f>
        <v>2490</v>
      </c>
    </row>
    <row r="57" spans="1:26" ht="22.5">
      <c r="A57" s="81" t="s">
        <v>203</v>
      </c>
      <c r="B57" s="75">
        <v>20</v>
      </c>
      <c r="C57" s="83">
        <f t="shared" si="10"/>
        <v>1226</v>
      </c>
      <c r="D57" s="89">
        <f t="shared" si="2"/>
        <v>294350</v>
      </c>
      <c r="E57" s="89">
        <v>0</v>
      </c>
      <c r="F57" s="89">
        <v>0</v>
      </c>
      <c r="G57" s="91">
        <v>222546</v>
      </c>
      <c r="H57" s="91">
        <v>13450</v>
      </c>
      <c r="I57" s="91">
        <v>40079</v>
      </c>
      <c r="J57" s="91">
        <v>5486</v>
      </c>
      <c r="K57" s="91">
        <v>0</v>
      </c>
      <c r="L57" s="91">
        <v>0</v>
      </c>
      <c r="M57" s="91">
        <f>1392</f>
        <v>1392</v>
      </c>
      <c r="N57" s="91"/>
      <c r="O57" s="91">
        <v>200</v>
      </c>
      <c r="P57" s="91">
        <v>508</v>
      </c>
      <c r="Q57" s="91">
        <v>200</v>
      </c>
      <c r="R57" s="91">
        <v>0</v>
      </c>
      <c r="S57" s="91">
        <v>200</v>
      </c>
      <c r="T57" s="91">
        <v>0</v>
      </c>
      <c r="U57" s="91">
        <v>0</v>
      </c>
      <c r="V57" s="91"/>
      <c r="W57" s="91">
        <v>0</v>
      </c>
      <c r="X57" s="91">
        <v>10289</v>
      </c>
      <c r="Y57" s="92"/>
      <c r="Z57" s="107">
        <f>E57+M57+Q57+R57+S57+U57+W57+K57+O57+T57+L57+F57+V57+Y57+N57</f>
        <v>1992</v>
      </c>
    </row>
    <row r="58" spans="1:26" ht="22.5">
      <c r="A58" s="81" t="s">
        <v>204</v>
      </c>
      <c r="B58" s="75">
        <v>59</v>
      </c>
      <c r="C58" s="83">
        <f>D58/12/B58</f>
        <v>1478</v>
      </c>
      <c r="D58" s="89">
        <f>SUM(E58:Y58)</f>
        <v>1046245</v>
      </c>
      <c r="E58" s="89">
        <v>0</v>
      </c>
      <c r="F58" s="89">
        <v>0</v>
      </c>
      <c r="G58" s="91">
        <f>773295-48065</f>
        <v>725230</v>
      </c>
      <c r="H58" s="91">
        <v>55308</v>
      </c>
      <c r="I58" s="91">
        <v>135353</v>
      </c>
      <c r="J58" s="91">
        <v>18526</v>
      </c>
      <c r="K58" s="91">
        <v>0</v>
      </c>
      <c r="L58" s="91">
        <v>0</v>
      </c>
      <c r="M58" s="91">
        <f>1000</f>
        <v>1000</v>
      </c>
      <c r="N58" s="91"/>
      <c r="O58" s="91">
        <v>0</v>
      </c>
      <c r="P58" s="91">
        <f>76000-5000</f>
        <v>71000</v>
      </c>
      <c r="Q58" s="91">
        <v>0</v>
      </c>
      <c r="R58" s="91">
        <v>1000</v>
      </c>
      <c r="S58" s="91">
        <v>2500</v>
      </c>
      <c r="T58" s="91">
        <v>0</v>
      </c>
      <c r="U58" s="91">
        <v>500</v>
      </c>
      <c r="V58" s="91"/>
      <c r="W58" s="91">
        <v>876</v>
      </c>
      <c r="X58" s="91">
        <v>34952</v>
      </c>
      <c r="Y58" s="92"/>
      <c r="Z58" s="107">
        <f>E58+M58+Q58+R58+S58+U58+W58+K58+O58+T58+L58+F58+V58+Y58+N58</f>
        <v>5876</v>
      </c>
    </row>
    <row r="59" spans="1:26" ht="33.75">
      <c r="A59" s="93" t="s">
        <v>224</v>
      </c>
      <c r="B59" s="75"/>
      <c r="C59" s="83"/>
      <c r="D59" s="89">
        <v>252000</v>
      </c>
      <c r="E59" s="89"/>
      <c r="F59" s="89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2"/>
      <c r="Z59" s="107"/>
    </row>
    <row r="60" spans="1:26" ht="21.75">
      <c r="A60" s="82" t="s">
        <v>205</v>
      </c>
      <c r="B60" s="75">
        <f aca="true" t="shared" si="16" ref="B60:M60">SUM(B56:B59)</f>
        <v>104</v>
      </c>
      <c r="C60" s="75">
        <f t="shared" si="16"/>
        <v>3907</v>
      </c>
      <c r="D60" s="89">
        <f>SUM(D56:D59)</f>
        <v>1953438</v>
      </c>
      <c r="E60" s="75">
        <f t="shared" si="16"/>
        <v>0</v>
      </c>
      <c r="F60" s="75">
        <f t="shared" si="16"/>
        <v>0</v>
      </c>
      <c r="G60" s="85">
        <f t="shared" si="16"/>
        <v>1220802</v>
      </c>
      <c r="H60" s="85">
        <f t="shared" si="16"/>
        <v>80719</v>
      </c>
      <c r="I60" s="85">
        <f t="shared" si="16"/>
        <v>226445</v>
      </c>
      <c r="J60" s="85">
        <f t="shared" si="16"/>
        <v>30994</v>
      </c>
      <c r="K60" s="85">
        <f t="shared" si="16"/>
        <v>0</v>
      </c>
      <c r="L60" s="85">
        <f t="shared" si="16"/>
        <v>0</v>
      </c>
      <c r="M60" s="85">
        <f t="shared" si="16"/>
        <v>3392</v>
      </c>
      <c r="N60" s="85"/>
      <c r="O60" s="85">
        <f aca="true" t="shared" si="17" ref="O60:U60">SUM(O56:O59)</f>
        <v>200</v>
      </c>
      <c r="P60" s="85">
        <f t="shared" si="17"/>
        <v>71508</v>
      </c>
      <c r="Q60" s="85">
        <f t="shared" si="17"/>
        <v>200</v>
      </c>
      <c r="R60" s="85">
        <f t="shared" si="17"/>
        <v>1000</v>
      </c>
      <c r="S60" s="85">
        <f t="shared" si="17"/>
        <v>4190</v>
      </c>
      <c r="T60" s="85">
        <f t="shared" si="17"/>
        <v>0</v>
      </c>
      <c r="U60" s="85">
        <f t="shared" si="17"/>
        <v>500</v>
      </c>
      <c r="V60" s="85"/>
      <c r="W60" s="85">
        <f>SUM(W56:W59)</f>
        <v>876</v>
      </c>
      <c r="X60" s="85">
        <f>SUM(X56:X59)</f>
        <v>60612</v>
      </c>
      <c r="Y60" s="86">
        <f>SUM(Y56:Y59)</f>
        <v>0</v>
      </c>
      <c r="Z60" s="107">
        <f aca="true" t="shared" si="18" ref="Z60:Z76">E60+M60+Q60+R60+S60+U60+W60+K60+O60+T60+L60+F60+V60+Y60+N60</f>
        <v>10358</v>
      </c>
    </row>
    <row r="61" spans="1:26" ht="32.25">
      <c r="A61" s="82" t="s">
        <v>206</v>
      </c>
      <c r="B61" s="75">
        <v>26</v>
      </c>
      <c r="C61" s="83">
        <f>D61/12/B61</f>
        <v>377</v>
      </c>
      <c r="D61" s="89">
        <f t="shared" si="2"/>
        <v>117584</v>
      </c>
      <c r="E61" s="89">
        <v>0</v>
      </c>
      <c r="F61" s="89">
        <v>0</v>
      </c>
      <c r="G61" s="89">
        <v>61190</v>
      </c>
      <c r="H61" s="89">
        <v>6600</v>
      </c>
      <c r="I61" s="89">
        <v>12125</v>
      </c>
      <c r="J61" s="89">
        <v>1660</v>
      </c>
      <c r="K61" s="89">
        <v>0</v>
      </c>
      <c r="L61" s="89">
        <v>1000</v>
      </c>
      <c r="M61" s="89">
        <v>500</v>
      </c>
      <c r="N61" s="89"/>
      <c r="O61" s="89">
        <v>0</v>
      </c>
      <c r="P61" s="89">
        <v>28000</v>
      </c>
      <c r="Q61" s="89">
        <v>0</v>
      </c>
      <c r="R61" s="89">
        <v>0</v>
      </c>
      <c r="S61" s="89">
        <v>809</v>
      </c>
      <c r="T61" s="89">
        <v>0</v>
      </c>
      <c r="U61" s="89">
        <v>0</v>
      </c>
      <c r="V61" s="89"/>
      <c r="W61" s="89">
        <v>0</v>
      </c>
      <c r="X61" s="89">
        <v>5700</v>
      </c>
      <c r="Y61" s="90">
        <v>0</v>
      </c>
      <c r="Z61" s="107">
        <f t="shared" si="18"/>
        <v>2309</v>
      </c>
    </row>
    <row r="62" spans="1:26" ht="42.75">
      <c r="A62" s="82" t="s">
        <v>207</v>
      </c>
      <c r="B62" s="75">
        <v>0</v>
      </c>
      <c r="C62" s="83">
        <v>0</v>
      </c>
      <c r="D62" s="89">
        <f t="shared" si="2"/>
        <v>513049</v>
      </c>
      <c r="E62" s="89">
        <v>200</v>
      </c>
      <c r="F62" s="89">
        <v>0</v>
      </c>
      <c r="G62" s="89">
        <v>317837</v>
      </c>
      <c r="H62" s="89">
        <v>23582</v>
      </c>
      <c r="I62" s="89">
        <v>60211</v>
      </c>
      <c r="J62" s="89">
        <v>8241</v>
      </c>
      <c r="K62" s="89">
        <v>0</v>
      </c>
      <c r="L62" s="89">
        <v>30000</v>
      </c>
      <c r="M62" s="89">
        <v>13500</v>
      </c>
      <c r="N62" s="89"/>
      <c r="O62" s="89">
        <v>2000</v>
      </c>
      <c r="P62" s="89">
        <v>3756</v>
      </c>
      <c r="Q62" s="89">
        <v>2000</v>
      </c>
      <c r="R62" s="89">
        <v>500</v>
      </c>
      <c r="S62" s="89">
        <v>28200</v>
      </c>
      <c r="T62" s="89">
        <v>0</v>
      </c>
      <c r="U62" s="89">
        <v>3500</v>
      </c>
      <c r="V62" s="89"/>
      <c r="W62" s="89">
        <v>1000</v>
      </c>
      <c r="X62" s="89">
        <v>18522</v>
      </c>
      <c r="Y62" s="90">
        <v>0</v>
      </c>
      <c r="Z62" s="107">
        <f t="shared" si="18"/>
        <v>80900</v>
      </c>
    </row>
    <row r="63" spans="1:26" ht="18.75" customHeight="1">
      <c r="A63" s="116" t="s">
        <v>208</v>
      </c>
      <c r="B63" s="75"/>
      <c r="C63" s="80"/>
      <c r="D63" s="89"/>
      <c r="E63" s="87"/>
      <c r="F63" s="87"/>
      <c r="G63" s="91"/>
      <c r="H63" s="91"/>
      <c r="I63" s="91"/>
      <c r="J63" s="91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107">
        <f t="shared" si="18"/>
        <v>0</v>
      </c>
    </row>
    <row r="64" spans="1:26" ht="32.25">
      <c r="A64" s="82" t="s">
        <v>221</v>
      </c>
      <c r="B64" s="75">
        <v>100</v>
      </c>
      <c r="C64" s="83">
        <f aca="true" t="shared" si="19" ref="C64:C71">D64/12/B64</f>
        <v>169</v>
      </c>
      <c r="D64" s="89">
        <f>SUM(E64:Y64)</f>
        <v>202692</v>
      </c>
      <c r="E64" s="89">
        <v>0</v>
      </c>
      <c r="F64" s="89">
        <v>0</v>
      </c>
      <c r="G64" s="89">
        <f>156650-8196</f>
        <v>148454</v>
      </c>
      <c r="H64" s="89">
        <v>12580</v>
      </c>
      <c r="I64" s="89">
        <v>28458</v>
      </c>
      <c r="J64" s="89">
        <v>3895</v>
      </c>
      <c r="K64" s="89">
        <v>0</v>
      </c>
      <c r="L64" s="89">
        <v>0</v>
      </c>
      <c r="M64" s="89">
        <v>0</v>
      </c>
      <c r="N64" s="89">
        <v>3065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6240</v>
      </c>
      <c r="Y64" s="90">
        <v>0</v>
      </c>
      <c r="Z64" s="107">
        <f t="shared" si="18"/>
        <v>3065</v>
      </c>
    </row>
    <row r="65" spans="1:26" ht="22.5">
      <c r="A65" s="81" t="s">
        <v>209</v>
      </c>
      <c r="B65" s="79">
        <v>26</v>
      </c>
      <c r="C65" s="80">
        <f t="shared" si="19"/>
        <v>2524</v>
      </c>
      <c r="D65" s="89">
        <f>SUM(E65:Y65)</f>
        <v>787518</v>
      </c>
      <c r="E65" s="91">
        <v>4000</v>
      </c>
      <c r="F65" s="91">
        <v>0</v>
      </c>
      <c r="G65" s="91">
        <f>445426-7887</f>
        <v>437539</v>
      </c>
      <c r="H65" s="91">
        <v>35340</v>
      </c>
      <c r="I65" s="91">
        <v>83190</v>
      </c>
      <c r="J65" s="91">
        <v>11386</v>
      </c>
      <c r="K65" s="91">
        <v>0</v>
      </c>
      <c r="L65" s="91">
        <v>0</v>
      </c>
      <c r="M65" s="91">
        <f>18316</f>
        <v>18316</v>
      </c>
      <c r="N65" s="91"/>
      <c r="O65" s="91">
        <v>0</v>
      </c>
      <c r="P65" s="91">
        <f>65141-5000-1700</f>
        <v>58441</v>
      </c>
      <c r="Q65" s="91">
        <f>15000+60000</f>
        <v>75000</v>
      </c>
      <c r="R65" s="91">
        <v>5300</v>
      </c>
      <c r="S65" s="91">
        <v>26000</v>
      </c>
      <c r="T65" s="91">
        <v>1700</v>
      </c>
      <c r="U65" s="91">
        <v>1500</v>
      </c>
      <c r="V65" s="91"/>
      <c r="W65" s="91">
        <v>4000</v>
      </c>
      <c r="X65" s="91">
        <v>25806</v>
      </c>
      <c r="Y65" s="92"/>
      <c r="Z65" s="107">
        <f t="shared" si="18"/>
        <v>135816</v>
      </c>
    </row>
    <row r="66" spans="1:26" ht="22.5">
      <c r="A66" s="81" t="s">
        <v>210</v>
      </c>
      <c r="B66" s="79">
        <v>20</v>
      </c>
      <c r="C66" s="80">
        <f t="shared" si="19"/>
        <v>2866</v>
      </c>
      <c r="D66" s="89">
        <f>SUM(E66:Y66)</f>
        <v>687748</v>
      </c>
      <c r="E66" s="91">
        <v>1000</v>
      </c>
      <c r="F66" s="91">
        <v>1100</v>
      </c>
      <c r="G66" s="91">
        <f>416792-27246</f>
        <v>389546</v>
      </c>
      <c r="H66" s="91">
        <v>38732</v>
      </c>
      <c r="I66" s="91">
        <v>75669</v>
      </c>
      <c r="J66" s="91">
        <v>10357</v>
      </c>
      <c r="K66" s="91">
        <v>0</v>
      </c>
      <c r="L66" s="91">
        <v>0</v>
      </c>
      <c r="M66" s="91">
        <f>15220</f>
        <v>15220</v>
      </c>
      <c r="N66" s="91"/>
      <c r="O66" s="91">
        <v>1000</v>
      </c>
      <c r="P66" s="91">
        <f>95000</f>
        <v>95000</v>
      </c>
      <c r="Q66" s="91">
        <v>7000</v>
      </c>
      <c r="R66" s="91">
        <v>1000</v>
      </c>
      <c r="S66" s="91">
        <v>27500</v>
      </c>
      <c r="T66" s="91">
        <v>0</v>
      </c>
      <c r="U66" s="91">
        <v>500</v>
      </c>
      <c r="V66" s="91"/>
      <c r="W66" s="91">
        <v>4000</v>
      </c>
      <c r="X66" s="91">
        <v>20124</v>
      </c>
      <c r="Y66" s="92"/>
      <c r="Z66" s="107">
        <f t="shared" si="18"/>
        <v>58320</v>
      </c>
    </row>
    <row r="67" spans="1:26" ht="32.25">
      <c r="A67" s="82" t="s">
        <v>211</v>
      </c>
      <c r="B67" s="89">
        <f>B65+B66</f>
        <v>46</v>
      </c>
      <c r="C67" s="83">
        <f t="shared" si="19"/>
        <v>2673</v>
      </c>
      <c r="D67" s="89">
        <f>SUM(D65:D66)</f>
        <v>1475266</v>
      </c>
      <c r="E67" s="89">
        <f aca="true" t="shared" si="20" ref="E67:M67">E65+E66</f>
        <v>5000</v>
      </c>
      <c r="F67" s="89">
        <f t="shared" si="20"/>
        <v>1100</v>
      </c>
      <c r="G67" s="89">
        <f t="shared" si="20"/>
        <v>827085</v>
      </c>
      <c r="H67" s="89">
        <f t="shared" si="20"/>
        <v>74072</v>
      </c>
      <c r="I67" s="89">
        <f t="shared" si="20"/>
        <v>158859</v>
      </c>
      <c r="J67" s="89">
        <f t="shared" si="20"/>
        <v>21743</v>
      </c>
      <c r="K67" s="89">
        <f t="shared" si="20"/>
        <v>0</v>
      </c>
      <c r="L67" s="89">
        <f t="shared" si="20"/>
        <v>0</v>
      </c>
      <c r="M67" s="89">
        <f t="shared" si="20"/>
        <v>33536</v>
      </c>
      <c r="N67" s="89"/>
      <c r="O67" s="89">
        <f aca="true" t="shared" si="21" ref="O67:Y67">O65+O66</f>
        <v>1000</v>
      </c>
      <c r="P67" s="89">
        <f t="shared" si="21"/>
        <v>153441</v>
      </c>
      <c r="Q67" s="89">
        <f t="shared" si="21"/>
        <v>82000</v>
      </c>
      <c r="R67" s="89">
        <f t="shared" si="21"/>
        <v>6300</v>
      </c>
      <c r="S67" s="89">
        <f t="shared" si="21"/>
        <v>53500</v>
      </c>
      <c r="T67" s="89">
        <f t="shared" si="21"/>
        <v>1700</v>
      </c>
      <c r="U67" s="89">
        <f t="shared" si="21"/>
        <v>2000</v>
      </c>
      <c r="V67" s="89">
        <f t="shared" si="21"/>
        <v>0</v>
      </c>
      <c r="W67" s="89">
        <f t="shared" si="21"/>
        <v>8000</v>
      </c>
      <c r="X67" s="89">
        <f t="shared" si="21"/>
        <v>45930</v>
      </c>
      <c r="Y67" s="90">
        <f t="shared" si="21"/>
        <v>0</v>
      </c>
      <c r="Z67" s="107">
        <f t="shared" si="18"/>
        <v>194136</v>
      </c>
    </row>
    <row r="68" spans="1:26" ht="22.5">
      <c r="A68" s="81" t="s">
        <v>212</v>
      </c>
      <c r="B68" s="79">
        <v>4930</v>
      </c>
      <c r="C68" s="80">
        <f t="shared" si="19"/>
        <v>17</v>
      </c>
      <c r="D68" s="89">
        <f>SUM(E68:Y68)</f>
        <v>1010459</v>
      </c>
      <c r="E68" s="91">
        <v>0</v>
      </c>
      <c r="F68" s="91"/>
      <c r="G68" s="91">
        <v>714612</v>
      </c>
      <c r="H68" s="91">
        <v>55997</v>
      </c>
      <c r="I68" s="91">
        <v>135979</v>
      </c>
      <c r="J68" s="91">
        <v>18612</v>
      </c>
      <c r="K68" s="91">
        <v>0</v>
      </c>
      <c r="L68" s="91">
        <v>0</v>
      </c>
      <c r="M68" s="91">
        <v>19517</v>
      </c>
      <c r="N68" s="91"/>
      <c r="O68" s="91">
        <v>2500</v>
      </c>
      <c r="P68" s="91">
        <v>8000</v>
      </c>
      <c r="Q68" s="91">
        <v>1000</v>
      </c>
      <c r="R68" s="91">
        <v>500</v>
      </c>
      <c r="S68" s="91">
        <v>10500</v>
      </c>
      <c r="T68" s="91">
        <v>0</v>
      </c>
      <c r="U68" s="91">
        <v>0</v>
      </c>
      <c r="V68" s="91"/>
      <c r="W68" s="91">
        <v>0</v>
      </c>
      <c r="X68" s="91">
        <v>43242</v>
      </c>
      <c r="Y68" s="92"/>
      <c r="Z68" s="107">
        <f t="shared" si="18"/>
        <v>34017</v>
      </c>
    </row>
    <row r="69" spans="1:26" ht="22.5">
      <c r="A69" s="81" t="s">
        <v>213</v>
      </c>
      <c r="B69" s="79">
        <v>6177</v>
      </c>
      <c r="C69" s="80">
        <f t="shared" si="19"/>
        <v>13</v>
      </c>
      <c r="D69" s="89">
        <f>SUM(E69:Y69)</f>
        <v>984526</v>
      </c>
      <c r="E69" s="91">
        <v>900</v>
      </c>
      <c r="F69" s="91"/>
      <c r="G69" s="91">
        <v>670491</v>
      </c>
      <c r="H69" s="91">
        <v>52414</v>
      </c>
      <c r="I69" s="91">
        <v>129089</v>
      </c>
      <c r="J69" s="91">
        <v>17669</v>
      </c>
      <c r="K69" s="91">
        <v>0</v>
      </c>
      <c r="L69" s="91">
        <v>0</v>
      </c>
      <c r="M69" s="91">
        <v>14400</v>
      </c>
      <c r="N69" s="91"/>
      <c r="O69" s="91">
        <f>1000+5000</f>
        <v>6000</v>
      </c>
      <c r="P69" s="91">
        <v>27599</v>
      </c>
      <c r="Q69" s="91">
        <v>2000</v>
      </c>
      <c r="R69" s="91">
        <v>1200</v>
      </c>
      <c r="S69" s="91">
        <v>18400</v>
      </c>
      <c r="T69" s="91">
        <v>1500</v>
      </c>
      <c r="U69" s="91">
        <v>1021</v>
      </c>
      <c r="V69" s="91"/>
      <c r="W69" s="91">
        <v>2200</v>
      </c>
      <c r="X69" s="91">
        <v>39643</v>
      </c>
      <c r="Y69" s="92"/>
      <c r="Z69" s="107">
        <f t="shared" si="18"/>
        <v>47621</v>
      </c>
    </row>
    <row r="70" spans="1:26" ht="22.5">
      <c r="A70" s="81" t="s">
        <v>214</v>
      </c>
      <c r="B70" s="79">
        <v>4434</v>
      </c>
      <c r="C70" s="80">
        <f t="shared" si="19"/>
        <v>16</v>
      </c>
      <c r="D70" s="89">
        <f>SUM(E70:Y70)</f>
        <v>862512</v>
      </c>
      <c r="E70" s="91">
        <v>1000</v>
      </c>
      <c r="F70" s="91"/>
      <c r="G70" s="91">
        <v>591158</v>
      </c>
      <c r="H70" s="91">
        <v>45923</v>
      </c>
      <c r="I70" s="91">
        <v>109260</v>
      </c>
      <c r="J70" s="91">
        <v>14955</v>
      </c>
      <c r="K70" s="91">
        <v>0</v>
      </c>
      <c r="L70" s="91">
        <v>0</v>
      </c>
      <c r="M70" s="91">
        <v>8700</v>
      </c>
      <c r="N70" s="91"/>
      <c r="O70" s="91">
        <v>5000</v>
      </c>
      <c r="P70" s="91">
        <v>13184</v>
      </c>
      <c r="Q70" s="91">
        <v>1800</v>
      </c>
      <c r="R70" s="91">
        <v>2000</v>
      </c>
      <c r="S70" s="91">
        <v>31152</v>
      </c>
      <c r="T70" s="91">
        <v>1600</v>
      </c>
      <c r="U70" s="91">
        <v>1000</v>
      </c>
      <c r="V70" s="91"/>
      <c r="W70" s="91">
        <v>1000</v>
      </c>
      <c r="X70" s="91">
        <v>34780</v>
      </c>
      <c r="Y70" s="92"/>
      <c r="Z70" s="107">
        <f t="shared" si="18"/>
        <v>53252</v>
      </c>
    </row>
    <row r="71" spans="1:26" ht="36" customHeight="1">
      <c r="A71" s="82" t="s">
        <v>215</v>
      </c>
      <c r="B71" s="89">
        <f>B68+B69+B70</f>
        <v>15541</v>
      </c>
      <c r="C71" s="83">
        <f t="shared" si="19"/>
        <v>15</v>
      </c>
      <c r="D71" s="89">
        <f>SUM(D68:D70)</f>
        <v>2857497</v>
      </c>
      <c r="E71" s="89">
        <f aca="true" t="shared" si="22" ref="E71:Y71">E68+E69+E70</f>
        <v>1900</v>
      </c>
      <c r="F71" s="89">
        <f t="shared" si="22"/>
        <v>0</v>
      </c>
      <c r="G71" s="89">
        <f t="shared" si="22"/>
        <v>1976261</v>
      </c>
      <c r="H71" s="89">
        <f t="shared" si="22"/>
        <v>154334</v>
      </c>
      <c r="I71" s="89">
        <f t="shared" si="22"/>
        <v>374328</v>
      </c>
      <c r="J71" s="89">
        <f t="shared" si="22"/>
        <v>51236</v>
      </c>
      <c r="K71" s="89">
        <f t="shared" si="22"/>
        <v>0</v>
      </c>
      <c r="L71" s="89">
        <f t="shared" si="22"/>
        <v>0</v>
      </c>
      <c r="M71" s="89">
        <f t="shared" si="22"/>
        <v>42617</v>
      </c>
      <c r="N71" s="89">
        <f t="shared" si="22"/>
        <v>0</v>
      </c>
      <c r="O71" s="89">
        <f t="shared" si="22"/>
        <v>13500</v>
      </c>
      <c r="P71" s="89">
        <f t="shared" si="22"/>
        <v>48783</v>
      </c>
      <c r="Q71" s="89">
        <f t="shared" si="22"/>
        <v>4800</v>
      </c>
      <c r="R71" s="89">
        <f t="shared" si="22"/>
        <v>3700</v>
      </c>
      <c r="S71" s="89">
        <f t="shared" si="22"/>
        <v>60052</v>
      </c>
      <c r="T71" s="89">
        <f t="shared" si="22"/>
        <v>3100</v>
      </c>
      <c r="U71" s="89">
        <f t="shared" si="22"/>
        <v>2021</v>
      </c>
      <c r="V71" s="89">
        <f t="shared" si="22"/>
        <v>0</v>
      </c>
      <c r="W71" s="89">
        <f t="shared" si="22"/>
        <v>3200</v>
      </c>
      <c r="X71" s="89">
        <f t="shared" si="22"/>
        <v>117665</v>
      </c>
      <c r="Y71" s="90">
        <f t="shared" si="22"/>
        <v>0</v>
      </c>
      <c r="Z71" s="107">
        <f t="shared" si="18"/>
        <v>134890</v>
      </c>
    </row>
    <row r="72" spans="1:26" ht="21.75">
      <c r="A72" s="82" t="s">
        <v>216</v>
      </c>
      <c r="B72" s="75"/>
      <c r="C72" s="83"/>
      <c r="D72" s="89">
        <f>SUM(E72:Y72)</f>
        <v>955603</v>
      </c>
      <c r="E72" s="89">
        <v>500</v>
      </c>
      <c r="F72" s="89">
        <v>0</v>
      </c>
      <c r="G72" s="89">
        <f>623520-6420</f>
        <v>617100</v>
      </c>
      <c r="H72" s="89">
        <v>50067</v>
      </c>
      <c r="I72" s="89">
        <v>118331</v>
      </c>
      <c r="J72" s="89">
        <v>16196</v>
      </c>
      <c r="K72" s="89">
        <v>0</v>
      </c>
      <c r="L72" s="89">
        <f>1500+1000</f>
        <v>2500</v>
      </c>
      <c r="M72" s="89">
        <f>10300+1500</f>
        <v>11800</v>
      </c>
      <c r="N72" s="89">
        <v>0</v>
      </c>
      <c r="O72" s="89">
        <v>0</v>
      </c>
      <c r="P72" s="89">
        <f>60782</f>
        <v>60782</v>
      </c>
      <c r="Q72" s="89">
        <v>0</v>
      </c>
      <c r="R72" s="89">
        <v>2110</v>
      </c>
      <c r="S72" s="89">
        <v>25318</v>
      </c>
      <c r="T72" s="89">
        <v>2300</v>
      </c>
      <c r="U72" s="89">
        <v>300</v>
      </c>
      <c r="V72" s="89">
        <v>0</v>
      </c>
      <c r="W72" s="89">
        <v>5500</v>
      </c>
      <c r="X72" s="89">
        <v>42799</v>
      </c>
      <c r="Y72" s="90">
        <v>0</v>
      </c>
      <c r="Z72" s="107">
        <f t="shared" si="18"/>
        <v>50328</v>
      </c>
    </row>
    <row r="73" spans="1:26" ht="11.25">
      <c r="A73" s="81" t="s">
        <v>177</v>
      </c>
      <c r="B73" s="79">
        <v>130</v>
      </c>
      <c r="C73" s="80">
        <f>D73/12/B73</f>
        <v>505</v>
      </c>
      <c r="D73" s="89">
        <f>SUM(E73:Y73)</f>
        <v>787571</v>
      </c>
      <c r="E73" s="91"/>
      <c r="F73" s="91"/>
      <c r="G73" s="91">
        <f>467158-8850</f>
        <v>458308</v>
      </c>
      <c r="H73" s="91">
        <v>35347</v>
      </c>
      <c r="I73" s="91">
        <v>83221</v>
      </c>
      <c r="J73" s="91">
        <v>11391</v>
      </c>
      <c r="K73" s="91">
        <v>0</v>
      </c>
      <c r="L73" s="91">
        <v>0</v>
      </c>
      <c r="M73" s="91">
        <v>0</v>
      </c>
      <c r="N73" s="91"/>
      <c r="O73" s="91">
        <v>0</v>
      </c>
      <c r="P73" s="91">
        <v>162800</v>
      </c>
      <c r="Q73" s="91">
        <v>0</v>
      </c>
      <c r="R73" s="91">
        <v>0</v>
      </c>
      <c r="S73" s="91">
        <v>11544</v>
      </c>
      <c r="T73" s="91">
        <v>0</v>
      </c>
      <c r="U73" s="91">
        <v>0</v>
      </c>
      <c r="V73" s="91"/>
      <c r="W73" s="91">
        <v>0</v>
      </c>
      <c r="X73" s="91">
        <v>24960</v>
      </c>
      <c r="Y73" s="92"/>
      <c r="Z73" s="107">
        <f t="shared" si="18"/>
        <v>11544</v>
      </c>
    </row>
    <row r="74" spans="1:26" ht="22.5">
      <c r="A74" s="81" t="s">
        <v>198</v>
      </c>
      <c r="B74" s="79">
        <v>90</v>
      </c>
      <c r="C74" s="80">
        <f>D74/12/B74</f>
        <v>628</v>
      </c>
      <c r="D74" s="89">
        <f>SUM(E74:Y74)</f>
        <v>678568</v>
      </c>
      <c r="E74" s="91">
        <v>1416</v>
      </c>
      <c r="F74" s="91"/>
      <c r="G74" s="91">
        <f>456527-22277</f>
        <v>434250</v>
      </c>
      <c r="H74" s="91">
        <v>33494</v>
      </c>
      <c r="I74" s="91">
        <v>81522</v>
      </c>
      <c r="J74" s="91">
        <v>11158</v>
      </c>
      <c r="K74" s="91">
        <v>0</v>
      </c>
      <c r="L74" s="91">
        <v>0</v>
      </c>
      <c r="M74" s="91">
        <v>0</v>
      </c>
      <c r="N74" s="91"/>
      <c r="O74" s="91">
        <v>0</v>
      </c>
      <c r="P74" s="91">
        <f>89050</f>
        <v>89050</v>
      </c>
      <c r="Q74" s="91">
        <v>0</v>
      </c>
      <c r="R74" s="91">
        <v>995</v>
      </c>
      <c r="S74" s="91">
        <f>2341</f>
        <v>2341</v>
      </c>
      <c r="T74" s="91">
        <v>2160</v>
      </c>
      <c r="U74" s="91">
        <v>0</v>
      </c>
      <c r="V74" s="91"/>
      <c r="W74" s="91">
        <v>0</v>
      </c>
      <c r="X74" s="91">
        <v>22182</v>
      </c>
      <c r="Y74" s="92"/>
      <c r="Z74" s="107">
        <f t="shared" si="18"/>
        <v>6912</v>
      </c>
    </row>
    <row r="75" spans="1:26" ht="32.25">
      <c r="A75" s="82" t="s">
        <v>217</v>
      </c>
      <c r="B75" s="89">
        <f>SUM(B73:B74)</f>
        <v>220</v>
      </c>
      <c r="C75" s="83">
        <f>D75/12/B75</f>
        <v>555</v>
      </c>
      <c r="D75" s="89">
        <f>SUM(D73:D74)</f>
        <v>1466139</v>
      </c>
      <c r="E75" s="89">
        <f aca="true" t="shared" si="23" ref="E75:M75">SUM(E73:E74)</f>
        <v>1416</v>
      </c>
      <c r="F75" s="89">
        <f t="shared" si="23"/>
        <v>0</v>
      </c>
      <c r="G75" s="89">
        <f t="shared" si="23"/>
        <v>892558</v>
      </c>
      <c r="H75" s="89">
        <f t="shared" si="23"/>
        <v>68841</v>
      </c>
      <c r="I75" s="89">
        <f t="shared" si="23"/>
        <v>164743</v>
      </c>
      <c r="J75" s="89">
        <f t="shared" si="23"/>
        <v>22549</v>
      </c>
      <c r="K75" s="89">
        <f t="shared" si="23"/>
        <v>0</v>
      </c>
      <c r="L75" s="89">
        <f t="shared" si="23"/>
        <v>0</v>
      </c>
      <c r="M75" s="89">
        <f t="shared" si="23"/>
        <v>0</v>
      </c>
      <c r="N75" s="89"/>
      <c r="O75" s="89">
        <f aca="true" t="shared" si="24" ref="O75:Y75">SUM(O73:O74)</f>
        <v>0</v>
      </c>
      <c r="P75" s="89">
        <f t="shared" si="24"/>
        <v>251850</v>
      </c>
      <c r="Q75" s="89">
        <f t="shared" si="24"/>
        <v>0</v>
      </c>
      <c r="R75" s="89">
        <f t="shared" si="24"/>
        <v>995</v>
      </c>
      <c r="S75" s="89">
        <f t="shared" si="24"/>
        <v>13885</v>
      </c>
      <c r="T75" s="89">
        <f t="shared" si="24"/>
        <v>2160</v>
      </c>
      <c r="U75" s="89">
        <f t="shared" si="24"/>
        <v>0</v>
      </c>
      <c r="V75" s="89">
        <f t="shared" si="24"/>
        <v>0</v>
      </c>
      <c r="W75" s="89">
        <f t="shared" si="24"/>
        <v>0</v>
      </c>
      <c r="X75" s="89">
        <f t="shared" si="24"/>
        <v>47142</v>
      </c>
      <c r="Y75" s="90">
        <f t="shared" si="24"/>
        <v>0</v>
      </c>
      <c r="Z75" s="107">
        <f t="shared" si="18"/>
        <v>18456</v>
      </c>
    </row>
    <row r="76" spans="1:26" ht="21.75">
      <c r="A76" s="82" t="s">
        <v>222</v>
      </c>
      <c r="B76" s="89">
        <v>0</v>
      </c>
      <c r="C76" s="83"/>
      <c r="D76" s="89">
        <f>SUM(E76:Y76)</f>
        <v>353053</v>
      </c>
      <c r="E76" s="89">
        <v>0</v>
      </c>
      <c r="F76" s="89">
        <v>0</v>
      </c>
      <c r="G76" s="89">
        <v>265528</v>
      </c>
      <c r="H76" s="89">
        <v>20281</v>
      </c>
      <c r="I76" s="89">
        <v>50113</v>
      </c>
      <c r="J76" s="89">
        <v>6859</v>
      </c>
      <c r="K76" s="89">
        <v>0</v>
      </c>
      <c r="L76" s="89">
        <v>0</v>
      </c>
      <c r="M76" s="89">
        <v>0</v>
      </c>
      <c r="N76" s="89"/>
      <c r="O76" s="89">
        <v>0</v>
      </c>
      <c r="P76" s="89">
        <v>0</v>
      </c>
      <c r="Q76" s="89">
        <v>0</v>
      </c>
      <c r="R76" s="89">
        <v>0</v>
      </c>
      <c r="S76" s="89">
        <v>1200</v>
      </c>
      <c r="T76" s="89">
        <v>0</v>
      </c>
      <c r="U76" s="89">
        <v>0</v>
      </c>
      <c r="V76" s="89"/>
      <c r="W76" s="89">
        <v>0</v>
      </c>
      <c r="X76" s="89">
        <v>9072</v>
      </c>
      <c r="Y76" s="90">
        <v>0</v>
      </c>
      <c r="Z76" s="181">
        <f t="shared" si="18"/>
        <v>1200</v>
      </c>
    </row>
    <row r="77" ht="11.25">
      <c r="Z77" s="95"/>
    </row>
    <row r="78" spans="4:26" ht="11.25">
      <c r="D78" s="96"/>
      <c r="Z78" s="95"/>
    </row>
    <row r="79" spans="2:26" ht="11.25">
      <c r="B79" s="97"/>
      <c r="C79" s="97"/>
      <c r="D79" s="96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8"/>
      <c r="R79" s="98"/>
      <c r="S79" s="97"/>
      <c r="T79" s="97"/>
      <c r="U79" s="97"/>
      <c r="V79" s="97"/>
      <c r="W79" s="97"/>
      <c r="X79" s="97"/>
      <c r="Y79" s="97"/>
      <c r="Z79" s="97"/>
    </row>
    <row r="80" spans="2:26" ht="11.25">
      <c r="B80" s="97"/>
      <c r="C80" s="97"/>
      <c r="D80" s="96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8"/>
      <c r="R80" s="98"/>
      <c r="S80" s="97"/>
      <c r="T80" s="97"/>
      <c r="U80" s="97"/>
      <c r="V80" s="97"/>
      <c r="W80" s="97"/>
      <c r="X80" s="97"/>
      <c r="Y80" s="97"/>
      <c r="Z80" s="97"/>
    </row>
    <row r="81" spans="2:26" ht="11.25">
      <c r="B81" s="99"/>
      <c r="C81" s="99"/>
      <c r="D81" s="96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ht="11.25">
      <c r="Z82" s="95"/>
    </row>
    <row r="83" ht="11.25">
      <c r="Z83" s="95"/>
    </row>
    <row r="84" ht="11.25">
      <c r="Z84" s="95"/>
    </row>
    <row r="85" ht="11.25">
      <c r="Z85" s="95"/>
    </row>
    <row r="86" ht="11.25">
      <c r="Z86" s="95"/>
    </row>
  </sheetData>
  <printOptions/>
  <pageMargins left="0.32" right="0" top="0.64" bottom="0.59" header="0.49" footer="0.43"/>
  <pageSetup fitToHeight="2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gdynia</dc:creator>
  <cp:keywords/>
  <dc:description/>
  <cp:lastModifiedBy>abr</cp:lastModifiedBy>
  <cp:lastPrinted>2006-01-26T11:34:34Z</cp:lastPrinted>
  <dcterms:created xsi:type="dcterms:W3CDTF">2004-10-22T11:44:42Z</dcterms:created>
  <dcterms:modified xsi:type="dcterms:W3CDTF">2006-01-26T11:36:46Z</dcterms:modified>
  <cp:category/>
  <cp:version/>
  <cp:contentType/>
  <cp:contentStatus/>
</cp:coreProperties>
</file>