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70" windowHeight="6150" activeTab="0"/>
  </bookViews>
  <sheets>
    <sheet name="źródła VI" sheetId="1" r:id="rId1"/>
  </sheets>
  <definedNames>
    <definedName name="_xlnm.Print_Titles" localSheetId="0">'źródła VI'!$3:$5</definedName>
  </definedNames>
  <calcPr fullCalcOnLoad="1"/>
</workbook>
</file>

<file path=xl/sharedStrings.xml><?xml version="1.0" encoding="utf-8"?>
<sst xmlns="http://schemas.openxmlformats.org/spreadsheetml/2006/main" count="162" uniqueCount="154">
  <si>
    <t>Wykonanie dochodów budżetu miasta Gdyni w I półroczu 2005 roku wg źródeł</t>
  </si>
  <si>
    <t>Lp.</t>
  </si>
  <si>
    <t>Treść</t>
  </si>
  <si>
    <t>Gmina</t>
  </si>
  <si>
    <t>Powiat</t>
  </si>
  <si>
    <t>Razem</t>
  </si>
  <si>
    <t>% wykon.   (kol. 8:5)</t>
  </si>
  <si>
    <t>udział w strukturze w %</t>
  </si>
  <si>
    <t>każda pozycja/dochody ogółem</t>
  </si>
  <si>
    <t>DOCHODY OGÓŁEM</t>
  </si>
  <si>
    <t>Podatki i opłaty pobierane przez gminę</t>
  </si>
  <si>
    <t xml:space="preserve"> </t>
  </si>
  <si>
    <t xml:space="preserve">podatek od nieruchomości </t>
  </si>
  <si>
    <t xml:space="preserve">podatek od środków transportowych </t>
  </si>
  <si>
    <t>opłata skarbowa</t>
  </si>
  <si>
    <t>opłaty lokalne</t>
  </si>
  <si>
    <t>pozostałe</t>
  </si>
  <si>
    <t>podatek rolny</t>
  </si>
  <si>
    <t xml:space="preserve">podatek leśny </t>
  </si>
  <si>
    <t>zaległości z podatków zniesionych</t>
  </si>
  <si>
    <t xml:space="preserve">opłata administracyjna </t>
  </si>
  <si>
    <t>podatek od posiadania psów</t>
  </si>
  <si>
    <t>odsetki i opłata prolongacyjna</t>
  </si>
  <si>
    <t>Podatki pobierane przez urzędy skarbowe</t>
  </si>
  <si>
    <t>karta podatkowa</t>
  </si>
  <si>
    <t>podatek od spadków i darowizn</t>
  </si>
  <si>
    <t xml:space="preserve">podatek od czynności cywilnoprawnych </t>
  </si>
  <si>
    <t>odsetki od należności podatkowych pobieranych przez US</t>
  </si>
  <si>
    <t xml:space="preserve">Dochody z majątku </t>
  </si>
  <si>
    <t>wpływy ze sprzedaży mienia komunalnego</t>
  </si>
  <si>
    <t>dochody z dzierżawy</t>
  </si>
  <si>
    <t>wpływy z lokali użytkowych</t>
  </si>
  <si>
    <t>użytkowanie wieczyste</t>
  </si>
  <si>
    <t>sprzedaż akcji gminy</t>
  </si>
  <si>
    <t xml:space="preserve">sprzedaż składników majątkowych </t>
  </si>
  <si>
    <t>p.087, 80130,85121</t>
  </si>
  <si>
    <t>dochody z najmu i dzierżawy skł. majątkowych gminy oddanych w użytkowanie jednostkom i zakł. budżetowym</t>
  </si>
  <si>
    <t>wyjątkowo dodane tu - już od początku roku przez dziewczyny  75023, p.0970</t>
  </si>
  <si>
    <t>środki z opłat za zajęcie pasa drogowego, umieszczanie reklam i stoisk w pasie drogowym i in.</t>
  </si>
  <si>
    <t>dochody z najmu lokali mieszkalnych i pomieszczeń w szkołach i placówkach oświatowych</t>
  </si>
  <si>
    <t>Inne dochody własne stanowiące dochody jednostek organizacyjnych miasta</t>
  </si>
  <si>
    <t>opłaty administracyjne za miejsca na cmentarzach</t>
  </si>
  <si>
    <t>wpływy Zarządu Komunikacji Miejskiej</t>
  </si>
  <si>
    <t>wpływy z opłat rodziców za pobyt dzieci w żłobku</t>
  </si>
  <si>
    <t>wpływy z usług opiekuńczych i opłaty za pobyt w ośrodkach wsparcia</t>
  </si>
  <si>
    <t>85203 p.083,85228 p83</t>
  </si>
  <si>
    <t>wpływy z usług Gdyńskiego Centrum Innowacji</t>
  </si>
  <si>
    <t xml:space="preserve">wpływy z opłat za pobyt w domu opieki społecznej </t>
  </si>
  <si>
    <t>85202.0830</t>
  </si>
  <si>
    <t xml:space="preserve">opłaty za wpis do rejestru działalności gospodarczej za egzaminy i dokumenty wydawane w związku z wykonywaniem transportu drogowego oraz inne opłaty pobierane przez UM </t>
  </si>
  <si>
    <t>75023 p.59,69</t>
  </si>
  <si>
    <t>25% dochodów z nieruchom.Skarbu Państwa</t>
  </si>
  <si>
    <t xml:space="preserve">5% dochodów uzysk. na rzecz budżetu państwa w związku z real. zad. zleconych </t>
  </si>
  <si>
    <t>dochody z tyt. ustawy o przeciwdziałaniu alkoholizmowi</t>
  </si>
  <si>
    <t>opłaty za tablice rejestracyjne, prawa jazdy, świadectwa kwal.itp.</t>
  </si>
  <si>
    <t>opłaty za usuwanie pojazdów z pasa drogowego</t>
  </si>
  <si>
    <t>odsetki od środków na rachunkach bankowych</t>
  </si>
  <si>
    <t>75814 p92</t>
  </si>
  <si>
    <t>wpływy z opłat za korzystanie z lodowiska</t>
  </si>
  <si>
    <t>pozostałe dochody</t>
  </si>
  <si>
    <t>grzywny i kary - Straż Miejska</t>
  </si>
  <si>
    <t>wpływy z opłat za pobyt dzieci w placówkach opiekuńczo - wychowawczych</t>
  </si>
  <si>
    <t>zwrot kosztów wyceny i kosztów postępowania sądowego</t>
  </si>
  <si>
    <t>otrzymane darowizny</t>
  </si>
  <si>
    <t>wpływy ze środków specjalnych</t>
  </si>
  <si>
    <t>różne dochody jednostek organizacyjnych miasta</t>
  </si>
  <si>
    <t>Dotacje i inne środki zewnętrzne na dofinansowanie zadań własnych</t>
  </si>
  <si>
    <t xml:space="preserve">zadania oświatowe </t>
  </si>
  <si>
    <t>80104,23180140,23</t>
  </si>
  <si>
    <t>Miejski Rzecznik Konsumentów</t>
  </si>
  <si>
    <t>obsługa mieszkańców Sopotu przez Powiatowy Urząd Pracy w Gdyni</t>
  </si>
  <si>
    <t xml:space="preserve">rodziny zastępcze </t>
  </si>
  <si>
    <t>85204 p.232</t>
  </si>
  <si>
    <t>środki dla Powiatowego Zespołu ds.. Orzekania o Niepełnosprawności zgodnie z zawartym porozumieniem pomiędzy Miastem Gdynia, a Miastem Sopot</t>
  </si>
  <si>
    <t>placówki opiekuńczo - wychowawcze</t>
  </si>
  <si>
    <t>środki z gmin ościennych na organizację usług komunikacyjnych na ich terenie przez ZKM w Gdyni na podstawie porozumień</t>
  </si>
  <si>
    <t>środki na rozbudowę ul. J.Wiśniewskiego (porozumienie z Zarządem Morskiego Portu Gdynia S.A.)</t>
  </si>
  <si>
    <t>z WFOŚ na projekt "Urząd przyjazny środowisku"</t>
  </si>
  <si>
    <t>75023,p.2440</t>
  </si>
  <si>
    <t>realizacja zadania inwestycyjnego "Rozbudowa poddasza w budynku Zespołu Opiekuńczego"</t>
  </si>
  <si>
    <t>z WFOŚ na wyposażenie laboratoriów badawczych w Pomorskim Parku Naukowo - Technologicznym</t>
  </si>
  <si>
    <t>90095,p.626</t>
  </si>
  <si>
    <t>schronisko dla zwierząt</t>
  </si>
  <si>
    <t>środki z PEFRON-u - rekompensata utraconych dochodów z tytułu zwolnień w podatkach</t>
  </si>
  <si>
    <t>75615;2440</t>
  </si>
  <si>
    <t>środki na dofinansowanie projektów; Tellus, ABC Alians Miast Bałtyckich, Otwarta platforma usług Urzędu udostępnianych drogą telefonii komórkowej, projekt "Młodzież - Lepszy start", projekt "Fundusz stypendialny dla ucznów gdyńskich szkół ponadpodstawowyc</t>
  </si>
  <si>
    <t>wpłaty przychodni lekarskich na współfinansowanie realizacji inwestycji</t>
  </si>
  <si>
    <t>środki z wkładu UE na realizację projektu SEBTrans - Link - nowoczesny Terminal Promowy w Porcie Wschodnim w Gdyni</t>
  </si>
  <si>
    <t>wkład beneficjentów w realizację zadania: rozwój turystyki w rejonie Zatoki Gdańskiej, współfinansowanego ze środków funduszu PHARE</t>
  </si>
  <si>
    <t xml:space="preserve"> lokalne inicjatywy inwestycyjne</t>
  </si>
  <si>
    <t>Udziały we wpływach z podatków dochodowych</t>
  </si>
  <si>
    <t xml:space="preserve">udziały w podatku dochodowym od osób fizycznych </t>
  </si>
  <si>
    <t xml:space="preserve"> udziały w podatku dochodowym od osób prawnych</t>
  </si>
  <si>
    <t>II.  SUBWENCJA OGÓLNA</t>
  </si>
  <si>
    <t>część oświatowa</t>
  </si>
  <si>
    <t xml:space="preserve">uzupełnienie subwencji ogólnej </t>
  </si>
  <si>
    <t xml:space="preserve">część rekompensująca </t>
  </si>
  <si>
    <t>część równoważąca</t>
  </si>
  <si>
    <t>III.  DOTACJE CELOWE Z BUDŻETU PAŃSTWA</t>
  </si>
  <si>
    <t>NA ZADANIA ZLECONE</t>
  </si>
  <si>
    <t>Inspektorat Nadzoru Budowlanego</t>
  </si>
  <si>
    <t>Inspektorat Nadzoru Budowlanego - zakupy inwestycyjne</t>
  </si>
  <si>
    <t>Komenda Miejska Państwowej Straży Pożarnej (na zadania bieżące i inwestycyjne)</t>
  </si>
  <si>
    <t>oświetlenie ulic</t>
  </si>
  <si>
    <r>
      <t xml:space="preserve">opieka społeczna, </t>
    </r>
    <r>
      <rPr>
        <i/>
        <sz val="8"/>
        <rFont val="Arial CE"/>
        <family val="2"/>
      </rPr>
      <t>w tym:</t>
    </r>
  </si>
  <si>
    <t xml:space="preserve"> ośrodki wsparcia</t>
  </si>
  <si>
    <t xml:space="preserve"> składki na ubezp. zdrowotne</t>
  </si>
  <si>
    <t xml:space="preserve"> zasiłki i pomoc w naturze</t>
  </si>
  <si>
    <t>świadczenia rodzinne</t>
  </si>
  <si>
    <t>świadczenia rodzinne (zakupy inwestycyjne)</t>
  </si>
  <si>
    <t>zasiłki rodzinne, pielęgn.i wychow.</t>
  </si>
  <si>
    <t xml:space="preserve"> ośrodki pomocy społecznej</t>
  </si>
  <si>
    <t xml:space="preserve"> usługi opiekuńcze</t>
  </si>
  <si>
    <t>pomoc dla repatriantów</t>
  </si>
  <si>
    <t>zespół ds. orzekania o stopniu niepełnosprawn.</t>
  </si>
  <si>
    <t xml:space="preserve"> wyprawki szkolne</t>
  </si>
  <si>
    <t xml:space="preserve">składki na ubezpieczenia zdrowotne </t>
  </si>
  <si>
    <t>administracja państwowa</t>
  </si>
  <si>
    <t>wybory do Parlamentu Europejskiego</t>
  </si>
  <si>
    <t>rejestr wyborców</t>
  </si>
  <si>
    <t>funkcjonowanie Centrum Ratownictwa Medycznego</t>
  </si>
  <si>
    <t xml:space="preserve">prace geodezyjne i kartograficzne </t>
  </si>
  <si>
    <t>opracowania geodezyjne i kartograficzne</t>
  </si>
  <si>
    <t>gospodarka gruntami i nieruchomościami</t>
  </si>
  <si>
    <t>komisje poborowe</t>
  </si>
  <si>
    <t>NA ZADANIA REALIZOWANE NA MOCY POROZUMIEŃ Z ORGANAMI ADMINISTRACJI RZĄDOWEJ</t>
  </si>
  <si>
    <t>zadania z zakresu oświaty</t>
  </si>
  <si>
    <t>zadania z zakresu kultury</t>
  </si>
  <si>
    <t>utrzymanie grobów wojennych</t>
  </si>
  <si>
    <t>NA FINANSOWANIE LUB DOFINANSOWANIE ZADAŃ WŁASNYCH</t>
  </si>
  <si>
    <t>pomoc materialna dla uczniów</t>
  </si>
  <si>
    <t>uczniowskie praktyki zawodowe</t>
  </si>
  <si>
    <t>stypendia oraz inne formy pomocy dla uczniów</t>
  </si>
  <si>
    <t>80101,20385415,203</t>
  </si>
  <si>
    <t>komisje kwalifikacyjne i egzaminacyjne</t>
  </si>
  <si>
    <t>zadania z zakresu opieki społecznej:</t>
  </si>
  <si>
    <t>dożywianie uczniów</t>
  </si>
  <si>
    <t>program "Posiłek dla potrzebujących"</t>
  </si>
  <si>
    <t>DPS Legionów</t>
  </si>
  <si>
    <t>opieka w domach o zasięgu ponadgminnym</t>
  </si>
  <si>
    <t>zasiłki i pomoc w naturze</t>
  </si>
  <si>
    <t>85214,p.201,203</t>
  </si>
  <si>
    <t>ośrodki pomocy społecznej</t>
  </si>
  <si>
    <t>IV</t>
  </si>
  <si>
    <t>środki pochodzące z budżetu UE</t>
  </si>
  <si>
    <t>projekty współfinansowane środkami z UE</t>
  </si>
  <si>
    <t>PRZYCHODY, w tym:</t>
  </si>
  <si>
    <t>wolne środki</t>
  </si>
  <si>
    <t xml:space="preserve">kredyt </t>
  </si>
  <si>
    <t>pożyczka z WFOŚ</t>
  </si>
  <si>
    <t xml:space="preserve">RAZEM DOCHODY I PRZYCHODY </t>
  </si>
  <si>
    <r>
      <t xml:space="preserve">Plan </t>
    </r>
    <r>
      <rPr>
        <b/>
        <i/>
        <sz val="8"/>
        <rFont val="Arial CE"/>
        <family val="2"/>
      </rPr>
      <t>/w zł/</t>
    </r>
  </si>
  <si>
    <r>
      <t xml:space="preserve">Wykonanie </t>
    </r>
    <r>
      <rPr>
        <b/>
        <i/>
        <sz val="9"/>
        <rFont val="Arial CE"/>
        <family val="2"/>
      </rPr>
      <t>/w zł/</t>
    </r>
  </si>
  <si>
    <r>
      <t xml:space="preserve">I. </t>
    </r>
    <r>
      <rPr>
        <b/>
        <sz val="10"/>
        <rFont val="Arial CE"/>
        <family val="2"/>
      </rPr>
      <t xml:space="preserve"> DOCHODY WŁASNE, w tym:</t>
    </r>
  </si>
</sst>
</file>

<file path=xl/styles.xml><?xml version="1.0" encoding="utf-8"?>
<styleSheet xmlns="http://schemas.openxmlformats.org/spreadsheetml/2006/main">
  <numFmts count="3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#,##0.0"/>
    <numFmt numFmtId="167" formatCode="yy\-mm\-dd"/>
    <numFmt numFmtId="168" formatCode="dd\-mmm\-yy"/>
    <numFmt numFmtId="169" formatCode="dd\-mmm"/>
    <numFmt numFmtId="170" formatCode="mmm\-yy"/>
    <numFmt numFmtId="171" formatCode="yy\-mm\-dd\ hh:mm"/>
    <numFmt numFmtId="172" formatCode="#,##0.0000"/>
    <numFmt numFmtId="173" formatCode="#,##0.0\ _z_ł;[Red]\-#,##0.0\ _z_ł"/>
    <numFmt numFmtId="174" formatCode="#,##0.00000"/>
    <numFmt numFmtId="175" formatCode="#,##0.000"/>
    <numFmt numFmtId="176" formatCode="0.000"/>
    <numFmt numFmtId="177" formatCode="0.0000000"/>
    <numFmt numFmtId="178" formatCode="0.000000"/>
    <numFmt numFmtId="179" formatCode="0.00000"/>
    <numFmt numFmtId="180" formatCode="0.0000"/>
    <numFmt numFmtId="181" formatCode="0.0000%"/>
    <numFmt numFmtId="182" formatCode="0.00000%"/>
    <numFmt numFmtId="183" formatCode="0.000000%"/>
    <numFmt numFmtId="184" formatCode="0.0000000%"/>
    <numFmt numFmtId="185" formatCode="0.000%"/>
    <numFmt numFmtId="186" formatCode="d\-mmm\-yy"/>
    <numFmt numFmtId="187" formatCode="_-* #,##0.0\ _z_ł_-;\-* #,##0.0\ _z_ł_-;_-* &quot;-&quot;??\ _z_ł_-;_-@_-"/>
    <numFmt numFmtId="188" formatCode="_-* #,##0\ _z_ł_-;\-* #,##0\ _z_ł_-;_-* &quot;-&quot;??\ _z_ł_-;_-@_-"/>
    <numFmt numFmtId="189" formatCode="&quot;Tak&quot;;&quot;Tak&quot;;&quot;Nie&quot;"/>
    <numFmt numFmtId="190" formatCode="&quot;Prawda&quot;;&quot;Prawda&quot;;&quot;Fałsz&quot;"/>
    <numFmt numFmtId="191" formatCode="&quot;Włączone&quot;;&quot;Włączone&quot;;&quot;Wyłączone&quot;"/>
  </numFmts>
  <fonts count="21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MS Sans Serif"/>
      <family val="0"/>
    </font>
    <font>
      <u val="single"/>
      <sz val="10"/>
      <color indexed="36"/>
      <name val="Arial CE"/>
      <family val="0"/>
    </font>
    <font>
      <b/>
      <sz val="13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b/>
      <i/>
      <sz val="9"/>
      <name val="Arial CE"/>
      <family val="2"/>
    </font>
    <font>
      <b/>
      <sz val="9"/>
      <name val="Arial CE"/>
      <family val="2"/>
    </font>
    <font>
      <i/>
      <sz val="8"/>
      <name val="Arial CE"/>
      <family val="2"/>
    </font>
    <font>
      <b/>
      <i/>
      <sz val="11"/>
      <name val="Arial CE"/>
      <family val="2"/>
    </font>
    <font>
      <i/>
      <sz val="9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sz val="8"/>
      <name val="MS Sans Serif"/>
      <family val="2"/>
    </font>
    <font>
      <i/>
      <sz val="8"/>
      <name val="MS Sans Serif"/>
      <family val="2"/>
    </font>
    <font>
      <b/>
      <i/>
      <sz val="11"/>
      <name val="Times New Roman CE"/>
      <family val="1"/>
    </font>
    <font>
      <i/>
      <sz val="11"/>
      <name val="Times New Roman CE"/>
      <family val="1"/>
    </font>
    <font>
      <sz val="12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4" fontId="4" fillId="2" borderId="0" xfId="19" applyNumberFormat="1" applyFont="1" applyFill="1" applyBorder="1" applyAlignment="1">
      <alignment horizontal="center" vertical="center" wrapText="1"/>
      <protection/>
    </xf>
    <xf numFmtId="4" fontId="4" fillId="0" borderId="0" xfId="19" applyNumberFormat="1" applyFont="1" applyFill="1" applyBorder="1" applyAlignment="1">
      <alignment horizontal="center" vertical="center" wrapText="1"/>
      <protection/>
    </xf>
    <xf numFmtId="4" fontId="5" fillId="0" borderId="0" xfId="19" applyNumberFormat="1" applyFont="1" applyFill="1" applyBorder="1" applyAlignment="1">
      <alignment vertical="center"/>
      <protection/>
    </xf>
    <xf numFmtId="1" fontId="9" fillId="2" borderId="1" xfId="19" applyNumberFormat="1" applyFont="1" applyFill="1" applyBorder="1" applyAlignment="1">
      <alignment horizontal="center" vertical="center" wrapText="1"/>
      <protection/>
    </xf>
    <xf numFmtId="1" fontId="9" fillId="0" borderId="0" xfId="19" applyNumberFormat="1" applyFont="1" applyFill="1" applyBorder="1" applyAlignment="1">
      <alignment horizontal="center" vertical="center" wrapText="1"/>
      <protection/>
    </xf>
    <xf numFmtId="1" fontId="6" fillId="0" borderId="0" xfId="19" applyNumberFormat="1" applyFont="1" applyFill="1">
      <alignment/>
      <protection/>
    </xf>
    <xf numFmtId="1" fontId="6" fillId="0" borderId="2" xfId="19" applyNumberFormat="1" applyFont="1" applyFill="1" applyBorder="1" applyAlignment="1">
      <alignment horizontal="center" vertical="center" wrapText="1"/>
      <protection/>
    </xf>
    <xf numFmtId="1" fontId="6" fillId="0" borderId="1" xfId="19" applyNumberFormat="1" applyFont="1" applyFill="1" applyBorder="1" applyAlignment="1">
      <alignment horizontal="center" vertical="center" wrapText="1"/>
      <protection/>
    </xf>
    <xf numFmtId="1" fontId="6" fillId="0" borderId="3" xfId="19" applyNumberFormat="1" applyFont="1" applyFill="1" applyBorder="1" applyAlignment="1">
      <alignment horizontal="center" vertical="center" wrapText="1"/>
      <protection/>
    </xf>
    <xf numFmtId="1" fontId="6" fillId="2" borderId="0" xfId="19" applyNumberFormat="1" applyFont="1" applyFill="1" applyBorder="1" applyAlignment="1">
      <alignment horizontal="center" vertical="center" wrapText="1"/>
      <protection/>
    </xf>
    <xf numFmtId="1" fontId="6" fillId="0" borderId="4" xfId="19" applyNumberFormat="1" applyFont="1" applyFill="1" applyBorder="1" applyAlignment="1">
      <alignment horizontal="center" vertical="center"/>
      <protection/>
    </xf>
    <xf numFmtId="1" fontId="9" fillId="0" borderId="4" xfId="19" applyNumberFormat="1" applyFont="1" applyFill="1" applyBorder="1" applyAlignment="1">
      <alignment horizontal="center" vertical="center"/>
      <protection/>
    </xf>
    <xf numFmtId="3" fontId="6" fillId="0" borderId="1" xfId="18" applyNumberFormat="1" applyFont="1" applyFill="1" applyBorder="1" applyAlignment="1">
      <alignment horizontal="center" vertical="center"/>
      <protection/>
    </xf>
    <xf numFmtId="3" fontId="6" fillId="0" borderId="1" xfId="19" applyNumberFormat="1" applyFont="1" applyFill="1" applyBorder="1" applyAlignment="1">
      <alignment horizontal="center" vertical="center"/>
      <protection/>
    </xf>
    <xf numFmtId="3" fontId="6" fillId="0" borderId="4" xfId="19" applyNumberFormat="1" applyFont="1" applyFill="1" applyBorder="1" applyAlignment="1">
      <alignment horizontal="center" vertical="center" wrapText="1"/>
      <protection/>
    </xf>
    <xf numFmtId="3" fontId="6" fillId="0" borderId="1" xfId="19" applyNumberFormat="1" applyFont="1" applyFill="1" applyBorder="1" applyAlignment="1">
      <alignment horizontal="center" vertical="center" wrapText="1"/>
      <protection/>
    </xf>
    <xf numFmtId="10" fontId="6" fillId="2" borderId="5" xfId="19" applyNumberFormat="1" applyFont="1" applyFill="1" applyBorder="1" applyAlignment="1">
      <alignment horizontal="center" vertical="center" wrapText="1"/>
      <protection/>
    </xf>
    <xf numFmtId="10" fontId="6" fillId="0" borderId="1" xfId="19" applyNumberFormat="1" applyFont="1" applyFill="1" applyBorder="1" applyAlignment="1">
      <alignment horizontal="center" vertical="center" wrapText="1"/>
      <protection/>
    </xf>
    <xf numFmtId="4" fontId="10" fillId="0" borderId="0" xfId="19" applyNumberFormat="1" applyFont="1" applyFill="1">
      <alignment/>
      <protection/>
    </xf>
    <xf numFmtId="3" fontId="9" fillId="0" borderId="2" xfId="19" applyNumberFormat="1" applyFont="1" applyFill="1" applyBorder="1" applyAlignment="1">
      <alignment horizontal="right" vertical="center" wrapText="1"/>
      <protection/>
    </xf>
    <xf numFmtId="3" fontId="9" fillId="0" borderId="5" xfId="19" applyNumberFormat="1" applyFont="1" applyFill="1" applyBorder="1" applyAlignment="1">
      <alignment horizontal="right" vertical="center" wrapText="1"/>
      <protection/>
    </xf>
    <xf numFmtId="3" fontId="9" fillId="0" borderId="1" xfId="19" applyNumberFormat="1" applyFont="1" applyFill="1" applyBorder="1" applyAlignment="1">
      <alignment horizontal="right" vertical="center" wrapText="1"/>
      <protection/>
    </xf>
    <xf numFmtId="3" fontId="9" fillId="0" borderId="0" xfId="19" applyNumberFormat="1" applyFont="1" applyFill="1" applyBorder="1" applyAlignment="1">
      <alignment horizontal="right" vertical="center" wrapText="1"/>
      <protection/>
    </xf>
    <xf numFmtId="3" fontId="9" fillId="0" borderId="6" xfId="19" applyNumberFormat="1" applyFont="1" applyFill="1" applyBorder="1" applyAlignment="1">
      <alignment horizontal="right" vertical="center" wrapText="1"/>
      <protection/>
    </xf>
    <xf numFmtId="165" fontId="6" fillId="0" borderId="6" xfId="19" applyNumberFormat="1" applyFont="1" applyFill="1" applyBorder="1" applyAlignment="1">
      <alignment horizontal="center" vertical="center" wrapText="1"/>
      <protection/>
    </xf>
    <xf numFmtId="3" fontId="10" fillId="0" borderId="0" xfId="19" applyNumberFormat="1" applyFont="1" applyFill="1" applyAlignment="1">
      <alignment horizontal="center" vertical="center" wrapText="1"/>
      <protection/>
    </xf>
    <xf numFmtId="3" fontId="12" fillId="0" borderId="0" xfId="19" applyNumberFormat="1" applyFont="1" applyFill="1" applyAlignment="1">
      <alignment horizontal="center" vertical="center" wrapText="1"/>
      <protection/>
    </xf>
    <xf numFmtId="3" fontId="13" fillId="0" borderId="2" xfId="19" applyNumberFormat="1" applyFont="1" applyFill="1" applyBorder="1" applyAlignment="1">
      <alignment vertical="center"/>
      <protection/>
    </xf>
    <xf numFmtId="3" fontId="13" fillId="0" borderId="1" xfId="19" applyNumberFormat="1" applyFont="1" applyFill="1" applyBorder="1" applyAlignment="1">
      <alignment vertical="center"/>
      <protection/>
    </xf>
    <xf numFmtId="3" fontId="9" fillId="0" borderId="7" xfId="19" applyNumberFormat="1" applyFont="1" applyFill="1" applyBorder="1" applyAlignment="1">
      <alignment vertical="center"/>
      <protection/>
    </xf>
    <xf numFmtId="3" fontId="9" fillId="0" borderId="1" xfId="19" applyNumberFormat="1" applyFont="1" applyFill="1" applyBorder="1" applyAlignment="1">
      <alignment vertical="center"/>
      <protection/>
    </xf>
    <xf numFmtId="4" fontId="6" fillId="0" borderId="0" xfId="19" applyNumberFormat="1" applyFont="1" applyFill="1" applyAlignment="1">
      <alignment vertical="center"/>
      <protection/>
    </xf>
    <xf numFmtId="1" fontId="9" fillId="0" borderId="6" xfId="19" applyNumberFormat="1" applyFont="1" applyFill="1" applyBorder="1" applyAlignment="1">
      <alignment horizontal="center" vertical="center"/>
      <protection/>
    </xf>
    <xf numFmtId="4" fontId="9" fillId="0" borderId="6" xfId="19" applyNumberFormat="1" applyFont="1" applyFill="1" applyBorder="1" applyAlignment="1">
      <alignment vertical="center" wrapText="1"/>
      <protection/>
    </xf>
    <xf numFmtId="4" fontId="12" fillId="0" borderId="0" xfId="19" applyNumberFormat="1" applyFont="1" applyFill="1" applyAlignment="1">
      <alignment vertical="center"/>
      <protection/>
    </xf>
    <xf numFmtId="0" fontId="6" fillId="0" borderId="1" xfId="18" applyFont="1" applyFill="1" applyBorder="1" applyAlignment="1">
      <alignment horizontal="center" vertical="center"/>
      <protection/>
    </xf>
    <xf numFmtId="0" fontId="5" fillId="0" borderId="1" xfId="18" applyFont="1" applyFill="1" applyBorder="1" applyAlignment="1">
      <alignment horizontal="left" vertical="center" wrapText="1"/>
      <protection/>
    </xf>
    <xf numFmtId="3" fontId="5" fillId="0" borderId="1" xfId="18" applyNumberFormat="1" applyFont="1" applyFill="1" applyBorder="1" applyAlignment="1">
      <alignment vertical="center"/>
      <protection/>
    </xf>
    <xf numFmtId="3" fontId="6" fillId="0" borderId="1" xfId="19" applyNumberFormat="1" applyFont="1" applyFill="1" applyBorder="1" applyAlignment="1">
      <alignment horizontal="right" vertical="center" wrapText="1"/>
      <protection/>
    </xf>
    <xf numFmtId="3" fontId="5" fillId="0" borderId="1" xfId="19" applyNumberFormat="1" applyFont="1" applyFill="1" applyBorder="1" applyAlignment="1">
      <alignment horizontal="right" vertical="center" wrapText="1"/>
      <protection/>
    </xf>
    <xf numFmtId="0" fontId="5" fillId="0" borderId="0" xfId="18" applyFont="1" applyFill="1">
      <alignment/>
      <protection/>
    </xf>
    <xf numFmtId="0" fontId="5" fillId="0" borderId="1" xfId="18" applyFont="1" applyFill="1" applyBorder="1" applyAlignment="1">
      <alignment vertical="center" wrapText="1"/>
      <protection/>
    </xf>
    <xf numFmtId="0" fontId="7" fillId="0" borderId="1" xfId="18" applyFont="1" applyFill="1" applyBorder="1" applyAlignment="1">
      <alignment horizontal="center" vertical="center"/>
      <protection/>
    </xf>
    <xf numFmtId="0" fontId="10" fillId="0" borderId="1" xfId="18" applyFont="1" applyFill="1" applyBorder="1" applyAlignment="1">
      <alignment vertical="center" wrapText="1"/>
      <protection/>
    </xf>
    <xf numFmtId="3" fontId="10" fillId="0" borderId="1" xfId="18" applyNumberFormat="1" applyFont="1" applyFill="1" applyBorder="1" applyAlignment="1">
      <alignment vertical="center"/>
      <protection/>
    </xf>
    <xf numFmtId="3" fontId="7" fillId="0" borderId="1" xfId="19" applyNumberFormat="1" applyFont="1" applyFill="1" applyBorder="1" applyAlignment="1">
      <alignment horizontal="right" vertical="center" wrapText="1"/>
      <protection/>
    </xf>
    <xf numFmtId="3" fontId="10" fillId="0" borderId="1" xfId="19" applyNumberFormat="1" applyFont="1" applyFill="1" applyBorder="1" applyAlignment="1">
      <alignment horizontal="right" vertical="center" wrapText="1"/>
      <protection/>
    </xf>
    <xf numFmtId="165" fontId="7" fillId="0" borderId="6" xfId="19" applyNumberFormat="1" applyFont="1" applyFill="1" applyBorder="1" applyAlignment="1">
      <alignment horizontal="center" vertical="center" wrapText="1"/>
      <protection/>
    </xf>
    <xf numFmtId="0" fontId="10" fillId="0" borderId="0" xfId="18" applyFont="1" applyFill="1">
      <alignment/>
      <protection/>
    </xf>
    <xf numFmtId="0" fontId="10" fillId="0" borderId="1" xfId="18" applyFont="1" applyFill="1" applyBorder="1" applyAlignment="1">
      <alignment horizontal="left" vertical="center" wrapText="1"/>
      <protection/>
    </xf>
    <xf numFmtId="0" fontId="10" fillId="0" borderId="0" xfId="18" applyFont="1" applyFill="1" applyAlignment="1">
      <alignment vertical="center"/>
      <protection/>
    </xf>
    <xf numFmtId="1" fontId="10" fillId="0" borderId="1" xfId="19" applyNumberFormat="1" applyFont="1" applyFill="1" applyBorder="1" applyAlignment="1">
      <alignment horizontal="center" vertical="center"/>
      <protection/>
    </xf>
    <xf numFmtId="4" fontId="10" fillId="0" borderId="1" xfId="19" applyNumberFormat="1" applyFont="1" applyFill="1" applyBorder="1" applyAlignment="1">
      <alignment vertical="center" wrapText="1"/>
      <protection/>
    </xf>
    <xf numFmtId="1" fontId="9" fillId="0" borderId="1" xfId="19" applyNumberFormat="1" applyFont="1" applyFill="1" applyBorder="1" applyAlignment="1">
      <alignment horizontal="center" vertical="center"/>
      <protection/>
    </xf>
    <xf numFmtId="4" fontId="9" fillId="0" borderId="1" xfId="19" applyNumberFormat="1" applyFont="1" applyFill="1" applyBorder="1" applyAlignment="1">
      <alignment horizontal="left" vertical="center" wrapText="1"/>
      <protection/>
    </xf>
    <xf numFmtId="4" fontId="15" fillId="0" borderId="0" xfId="19" applyNumberFormat="1" applyFont="1" applyFill="1" applyAlignment="1">
      <alignment vertical="center"/>
      <protection/>
    </xf>
    <xf numFmtId="4" fontId="9" fillId="0" borderId="1" xfId="19" applyNumberFormat="1" applyFont="1" applyFill="1" applyBorder="1" applyAlignment="1">
      <alignment vertical="center" wrapText="1"/>
      <protection/>
    </xf>
    <xf numFmtId="0" fontId="10" fillId="0" borderId="1" xfId="18" applyFont="1" applyFill="1" applyBorder="1" applyAlignment="1">
      <alignment horizontal="center" vertical="center"/>
      <protection/>
    </xf>
    <xf numFmtId="0" fontId="5" fillId="0" borderId="1" xfId="18" applyFont="1" applyFill="1" applyBorder="1" applyAlignment="1">
      <alignment horizontal="center" vertical="center"/>
      <protection/>
    </xf>
    <xf numFmtId="1" fontId="5" fillId="0" borderId="1" xfId="19" applyNumberFormat="1" applyFont="1" applyFill="1" applyBorder="1" applyAlignment="1">
      <alignment horizontal="center" vertical="center"/>
      <protection/>
    </xf>
    <xf numFmtId="4" fontId="5" fillId="0" borderId="1" xfId="19" applyNumberFormat="1" applyFont="1" applyFill="1" applyBorder="1" applyAlignment="1">
      <alignment vertical="center" wrapText="1"/>
      <protection/>
    </xf>
    <xf numFmtId="4" fontId="5" fillId="0" borderId="0" xfId="19" applyNumberFormat="1" applyFont="1" applyFill="1" applyAlignment="1">
      <alignment vertical="center"/>
      <protection/>
    </xf>
    <xf numFmtId="0" fontId="16" fillId="0" borderId="1" xfId="18" applyFont="1" applyFill="1" applyBorder="1" applyAlignment="1">
      <alignment horizontal="left" vertical="center" wrapText="1"/>
      <protection/>
    </xf>
    <xf numFmtId="3" fontId="5" fillId="0" borderId="1" xfId="19" applyNumberFormat="1" applyFont="1" applyFill="1" applyBorder="1" applyAlignment="1">
      <alignment vertical="center"/>
      <protection/>
    </xf>
    <xf numFmtId="4" fontId="7" fillId="0" borderId="0" xfId="19" applyNumberFormat="1" applyFont="1" applyFill="1">
      <alignment/>
      <protection/>
    </xf>
    <xf numFmtId="0" fontId="16" fillId="0" borderId="1" xfId="18" applyFont="1" applyFill="1" applyBorder="1" applyAlignment="1">
      <alignment vertical="center" wrapText="1"/>
      <protection/>
    </xf>
    <xf numFmtId="4" fontId="5" fillId="0" borderId="0" xfId="19" applyNumberFormat="1" applyFont="1" applyFill="1">
      <alignment/>
      <protection/>
    </xf>
    <xf numFmtId="4" fontId="5" fillId="0" borderId="1" xfId="19" applyNumberFormat="1" applyFont="1" applyFill="1" applyBorder="1" applyAlignment="1">
      <alignment horizontal="left" vertical="center" wrapText="1"/>
      <protection/>
    </xf>
    <xf numFmtId="3" fontId="5" fillId="0" borderId="2" xfId="19" applyNumberFormat="1" applyFont="1" applyFill="1" applyBorder="1" applyAlignment="1">
      <alignment vertical="center"/>
      <protection/>
    </xf>
    <xf numFmtId="3" fontId="5" fillId="2" borderId="1" xfId="18" applyNumberFormat="1" applyFont="1" applyFill="1" applyBorder="1" applyAlignment="1">
      <alignment vertical="center"/>
      <protection/>
    </xf>
    <xf numFmtId="3" fontId="10" fillId="0" borderId="0" xfId="19" applyNumberFormat="1" applyFont="1" applyFill="1">
      <alignment/>
      <protection/>
    </xf>
    <xf numFmtId="3" fontId="5" fillId="0" borderId="2" xfId="18" applyNumberFormat="1" applyFont="1" applyFill="1" applyBorder="1" applyAlignment="1">
      <alignment vertical="center"/>
      <protection/>
    </xf>
    <xf numFmtId="3" fontId="5" fillId="0" borderId="0" xfId="18" applyNumberFormat="1" applyFont="1" applyFill="1">
      <alignment/>
      <protection/>
    </xf>
    <xf numFmtId="3" fontId="13" fillId="0" borderId="1" xfId="19" applyNumberFormat="1" applyFont="1" applyFill="1" applyBorder="1" applyAlignment="1">
      <alignment horizontal="right" vertical="center" wrapText="1"/>
      <protection/>
    </xf>
    <xf numFmtId="4" fontId="10" fillId="0" borderId="0" xfId="19" applyNumberFormat="1" applyFont="1" applyFill="1" applyAlignment="1">
      <alignment vertical="center"/>
      <protection/>
    </xf>
    <xf numFmtId="3" fontId="9" fillId="0" borderId="1" xfId="19" applyNumberFormat="1" applyFont="1" applyFill="1" applyBorder="1" applyAlignment="1">
      <alignment horizontal="center" vertical="center"/>
      <protection/>
    </xf>
    <xf numFmtId="3" fontId="9" fillId="0" borderId="1" xfId="19" applyNumberFormat="1" applyFont="1" applyFill="1" applyBorder="1" applyAlignment="1">
      <alignment horizontal="left" vertical="center" wrapText="1"/>
      <protection/>
    </xf>
    <xf numFmtId="3" fontId="6" fillId="0" borderId="0" xfId="19" applyNumberFormat="1" applyFont="1" applyFill="1" applyAlignment="1">
      <alignment vertical="center"/>
      <protection/>
    </xf>
    <xf numFmtId="1" fontId="5" fillId="0" borderId="1" xfId="19" applyNumberFormat="1" applyFont="1" applyFill="1" applyBorder="1" applyAlignment="1">
      <alignment vertical="center" wrapText="1"/>
      <protection/>
    </xf>
    <xf numFmtId="4" fontId="5" fillId="0" borderId="1" xfId="19" applyNumberFormat="1" applyFont="1" applyFill="1" applyBorder="1" applyAlignment="1">
      <alignment horizontal="center" vertical="center"/>
      <protection/>
    </xf>
    <xf numFmtId="1" fontId="5" fillId="0" borderId="1" xfId="19" applyNumberFormat="1" applyFont="1" applyFill="1" applyBorder="1" applyAlignment="1">
      <alignment horizontal="left" vertical="center" wrapText="1"/>
      <protection/>
    </xf>
    <xf numFmtId="1" fontId="10" fillId="0" borderId="1" xfId="19" applyNumberFormat="1" applyFont="1" applyFill="1" applyBorder="1" applyAlignment="1">
      <alignment horizontal="right" vertical="center" wrapText="1"/>
      <protection/>
    </xf>
    <xf numFmtId="4" fontId="5" fillId="0" borderId="0" xfId="19" applyNumberFormat="1" applyFont="1" applyFill="1" applyBorder="1">
      <alignment/>
      <protection/>
    </xf>
    <xf numFmtId="1" fontId="7" fillId="0" borderId="1" xfId="19" applyNumberFormat="1" applyFont="1" applyFill="1" applyBorder="1" applyAlignment="1">
      <alignment horizontal="center" vertical="center"/>
      <protection/>
    </xf>
    <xf numFmtId="3" fontId="9" fillId="0" borderId="1" xfId="18" applyNumberFormat="1" applyFont="1" applyFill="1" applyBorder="1" applyAlignment="1">
      <alignment vertical="center"/>
      <protection/>
    </xf>
    <xf numFmtId="0" fontId="16" fillId="0" borderId="1" xfId="18" applyFont="1" applyFill="1" applyBorder="1" applyAlignment="1">
      <alignment horizontal="left" vertical="center" wrapText="1"/>
      <protection/>
    </xf>
    <xf numFmtId="4" fontId="7" fillId="0" borderId="0" xfId="19" applyNumberFormat="1" applyFont="1" applyFill="1" applyAlignment="1">
      <alignment vertical="center"/>
      <protection/>
    </xf>
    <xf numFmtId="1" fontId="15" fillId="0" borderId="1" xfId="19" applyNumberFormat="1" applyFont="1" applyFill="1" applyBorder="1" applyAlignment="1">
      <alignment horizontal="center" vertical="center"/>
      <protection/>
    </xf>
    <xf numFmtId="3" fontId="15" fillId="0" borderId="1" xfId="19" applyNumberFormat="1" applyFont="1" applyFill="1" applyBorder="1" applyAlignment="1">
      <alignment vertical="center"/>
      <protection/>
    </xf>
    <xf numFmtId="3" fontId="15" fillId="0" borderId="1" xfId="19" applyNumberFormat="1" applyFont="1" applyFill="1" applyBorder="1" applyAlignment="1">
      <alignment horizontal="right" vertical="center" wrapText="1"/>
      <protection/>
    </xf>
    <xf numFmtId="10" fontId="5" fillId="2" borderId="0" xfId="19" applyNumberFormat="1" applyFont="1" applyFill="1" applyBorder="1" applyAlignment="1">
      <alignment horizontal="center" vertical="center" wrapText="1"/>
      <protection/>
    </xf>
    <xf numFmtId="3" fontId="6" fillId="2" borderId="8" xfId="19" applyNumberFormat="1" applyFont="1" applyFill="1" applyBorder="1" applyAlignment="1">
      <alignment horizontal="right" vertical="center" wrapText="1"/>
      <protection/>
    </xf>
    <xf numFmtId="3" fontId="6" fillId="2" borderId="9" xfId="19" applyNumberFormat="1" applyFont="1" applyFill="1" applyBorder="1" applyAlignment="1">
      <alignment horizontal="right" vertical="center" wrapText="1"/>
      <protection/>
    </xf>
    <xf numFmtId="0" fontId="10" fillId="0" borderId="1" xfId="18" applyFont="1" applyFill="1" applyBorder="1" applyAlignment="1">
      <alignment horizontal="right" vertical="center" wrapText="1"/>
      <protection/>
    </xf>
    <xf numFmtId="0" fontId="17" fillId="0" borderId="1" xfId="18" applyFont="1" applyFill="1" applyBorder="1" applyAlignment="1">
      <alignment horizontal="right" vertical="center" wrapText="1"/>
      <protection/>
    </xf>
    <xf numFmtId="0" fontId="17" fillId="0" borderId="1" xfId="18" applyFont="1" applyFill="1" applyBorder="1" applyAlignment="1">
      <alignment horizontal="right" vertical="center" wrapText="1"/>
      <protection/>
    </xf>
    <xf numFmtId="1" fontId="13" fillId="0" borderId="1" xfId="19" applyNumberFormat="1" applyFont="1" applyFill="1" applyBorder="1" applyAlignment="1">
      <alignment horizontal="center" vertical="center"/>
      <protection/>
    </xf>
    <xf numFmtId="0" fontId="13" fillId="0" borderId="1" xfId="18" applyFont="1" applyFill="1" applyBorder="1" applyAlignment="1">
      <alignment horizontal="left" vertical="center" wrapText="1"/>
      <protection/>
    </xf>
    <xf numFmtId="3" fontId="13" fillId="0" borderId="1" xfId="18" applyNumberFormat="1" applyFont="1" applyFill="1" applyBorder="1" applyAlignment="1">
      <alignment vertical="center"/>
      <protection/>
    </xf>
    <xf numFmtId="3" fontId="13" fillId="2" borderId="9" xfId="19" applyNumberFormat="1" applyFont="1" applyFill="1" applyBorder="1" applyAlignment="1">
      <alignment horizontal="right" vertical="center" wrapText="1"/>
      <protection/>
    </xf>
    <xf numFmtId="3" fontId="13" fillId="0" borderId="0" xfId="19" applyNumberFormat="1" applyFont="1" applyFill="1" applyBorder="1" applyAlignment="1">
      <alignment horizontal="right" vertical="center" wrapText="1"/>
      <protection/>
    </xf>
    <xf numFmtId="4" fontId="13" fillId="0" borderId="0" xfId="19" applyNumberFormat="1" applyFont="1" applyFill="1" applyAlignment="1">
      <alignment vertical="center"/>
      <protection/>
    </xf>
    <xf numFmtId="3" fontId="6" fillId="2" borderId="10" xfId="19" applyNumberFormat="1" applyFont="1" applyFill="1" applyBorder="1" applyAlignment="1">
      <alignment horizontal="right" vertical="center" wrapText="1"/>
      <protection/>
    </xf>
    <xf numFmtId="3" fontId="6" fillId="0" borderId="0" xfId="19" applyNumberFormat="1" applyFont="1" applyFill="1" applyBorder="1" applyAlignment="1">
      <alignment horizontal="right" vertical="center" wrapText="1"/>
      <protection/>
    </xf>
    <xf numFmtId="3" fontId="13" fillId="0" borderId="1" xfId="19" applyNumberFormat="1" applyFont="1" applyFill="1" applyBorder="1" applyAlignment="1">
      <alignment horizontal="right" vertical="center"/>
      <protection/>
    </xf>
    <xf numFmtId="3" fontId="9" fillId="2" borderId="11" xfId="19" applyNumberFormat="1" applyFont="1" applyFill="1" applyBorder="1" applyAlignment="1">
      <alignment horizontal="right" vertical="center" wrapText="1"/>
      <protection/>
    </xf>
    <xf numFmtId="0" fontId="5" fillId="0" borderId="0" xfId="18" applyFont="1" applyFill="1" applyAlignment="1">
      <alignment vertical="center"/>
      <protection/>
    </xf>
    <xf numFmtId="1" fontId="6" fillId="0" borderId="1" xfId="19" applyNumberFormat="1" applyFont="1" applyFill="1" applyBorder="1" applyAlignment="1">
      <alignment horizontal="center" vertical="center"/>
      <protection/>
    </xf>
    <xf numFmtId="3" fontId="9" fillId="2" borderId="8" xfId="19" applyNumberFormat="1" applyFont="1" applyFill="1" applyBorder="1" applyAlignment="1">
      <alignment horizontal="right" vertical="center" wrapText="1"/>
      <protection/>
    </xf>
    <xf numFmtId="3" fontId="9" fillId="2" borderId="10" xfId="19" applyNumberFormat="1" applyFont="1" applyFill="1" applyBorder="1" applyAlignment="1">
      <alignment horizontal="right" vertical="center" wrapText="1"/>
      <protection/>
    </xf>
    <xf numFmtId="3" fontId="9" fillId="2" borderId="0" xfId="19" applyNumberFormat="1" applyFont="1" applyFill="1" applyBorder="1" applyAlignment="1">
      <alignment horizontal="right" vertical="center" wrapText="1"/>
      <protection/>
    </xf>
    <xf numFmtId="3" fontId="7" fillId="0" borderId="1" xfId="19" applyNumberFormat="1" applyFont="1" applyFill="1" applyBorder="1" applyAlignment="1">
      <alignment horizontal="center" vertical="center"/>
      <protection/>
    </xf>
    <xf numFmtId="3" fontId="8" fillId="0" borderId="1" xfId="19" applyNumberFormat="1" applyFont="1" applyFill="1" applyBorder="1" applyAlignment="1">
      <alignment horizontal="left" vertical="center" wrapText="1"/>
      <protection/>
    </xf>
    <xf numFmtId="3" fontId="8" fillId="0" borderId="1" xfId="19" applyNumberFormat="1" applyFont="1" applyFill="1" applyBorder="1" applyAlignment="1">
      <alignment vertical="center"/>
      <protection/>
    </xf>
    <xf numFmtId="3" fontId="8" fillId="0" borderId="1" xfId="19" applyNumberFormat="1" applyFont="1" applyFill="1" applyBorder="1" applyAlignment="1">
      <alignment horizontal="right" vertical="center" wrapText="1"/>
      <protection/>
    </xf>
    <xf numFmtId="3" fontId="8" fillId="2" borderId="11" xfId="19" applyNumberFormat="1" applyFont="1" applyFill="1" applyBorder="1" applyAlignment="1">
      <alignment horizontal="right" vertical="center" wrapText="1"/>
      <protection/>
    </xf>
    <xf numFmtId="3" fontId="8" fillId="0" borderId="0" xfId="19" applyNumberFormat="1" applyFont="1" applyFill="1" applyBorder="1" applyAlignment="1">
      <alignment horizontal="right" vertical="center" wrapText="1"/>
      <protection/>
    </xf>
    <xf numFmtId="3" fontId="7" fillId="0" borderId="0" xfId="19" applyNumberFormat="1" applyFont="1" applyFill="1">
      <alignment/>
      <protection/>
    </xf>
    <xf numFmtId="1" fontId="5" fillId="0" borderId="0" xfId="19" applyNumberFormat="1" applyFont="1" applyFill="1" applyAlignment="1">
      <alignment horizontal="center" vertical="center"/>
      <protection/>
    </xf>
    <xf numFmtId="4" fontId="5" fillId="0" borderId="0" xfId="19" applyNumberFormat="1" applyFont="1" applyFill="1" applyAlignment="1">
      <alignment vertical="center" wrapText="1"/>
      <protection/>
    </xf>
    <xf numFmtId="10" fontId="6" fillId="0" borderId="0" xfId="19" applyNumberFormat="1" applyFont="1" applyFill="1" applyBorder="1" applyAlignment="1">
      <alignment horizontal="center" vertical="center" wrapText="1"/>
      <protection/>
    </xf>
    <xf numFmtId="4" fontId="5" fillId="2" borderId="0" xfId="19" applyNumberFormat="1" applyFont="1" applyFill="1" applyAlignment="1">
      <alignment vertical="center"/>
      <protection/>
    </xf>
    <xf numFmtId="3" fontId="5" fillId="0" borderId="0" xfId="19" applyNumberFormat="1" applyFont="1" applyFill="1" applyAlignment="1">
      <alignment vertical="center"/>
      <protection/>
    </xf>
    <xf numFmtId="3" fontId="5" fillId="2" borderId="0" xfId="19" applyNumberFormat="1" applyFont="1" applyFill="1" applyAlignment="1">
      <alignment vertical="center"/>
      <protection/>
    </xf>
    <xf numFmtId="3" fontId="6" fillId="2" borderId="0" xfId="19" applyNumberFormat="1" applyFont="1" applyFill="1" applyAlignment="1">
      <alignment vertical="center"/>
      <protection/>
    </xf>
    <xf numFmtId="1" fontId="5" fillId="0" borderId="0" xfId="19" applyNumberFormat="1" applyFont="1" applyFill="1" applyBorder="1" applyAlignment="1">
      <alignment horizontal="center" vertical="center"/>
      <protection/>
    </xf>
    <xf numFmtId="4" fontId="18" fillId="0" borderId="0" xfId="19" applyNumberFormat="1" applyFont="1" applyFill="1" applyBorder="1" applyAlignment="1">
      <alignment horizontal="right" vertical="center" wrapText="1"/>
      <protection/>
    </xf>
    <xf numFmtId="1" fontId="19" fillId="0" borderId="0" xfId="19" applyNumberFormat="1" applyFont="1" applyFill="1" applyBorder="1" applyAlignment="1">
      <alignment horizontal="right" vertical="center" wrapText="1"/>
      <protection/>
    </xf>
    <xf numFmtId="1" fontId="7" fillId="0" borderId="0" xfId="19" applyNumberFormat="1" applyFont="1" applyFill="1" applyBorder="1" applyAlignment="1">
      <alignment horizontal="center" vertical="center"/>
      <protection/>
    </xf>
    <xf numFmtId="0" fontId="20" fillId="0" borderId="0" xfId="18" applyFont="1" applyFill="1" applyBorder="1" applyAlignment="1">
      <alignment horizontal="right" vertical="center" wrapText="1"/>
      <protection/>
    </xf>
    <xf numFmtId="3" fontId="7" fillId="0" borderId="0" xfId="19" applyNumberFormat="1" applyFont="1" applyFill="1" applyAlignment="1">
      <alignment vertical="center"/>
      <protection/>
    </xf>
    <xf numFmtId="4" fontId="7" fillId="2" borderId="0" xfId="19" applyNumberFormat="1" applyFont="1" applyFill="1" applyAlignment="1">
      <alignment vertical="center"/>
      <protection/>
    </xf>
    <xf numFmtId="1" fontId="6" fillId="0" borderId="12" xfId="19" applyNumberFormat="1" applyFont="1" applyFill="1" applyBorder="1" applyAlignment="1">
      <alignment horizontal="center" vertical="center" wrapText="1"/>
      <protection/>
    </xf>
    <xf numFmtId="1" fontId="9" fillId="0" borderId="5" xfId="19" applyNumberFormat="1" applyFont="1" applyFill="1" applyBorder="1" applyAlignment="1">
      <alignment horizontal="center" vertical="center" wrapText="1"/>
      <protection/>
    </xf>
    <xf numFmtId="1" fontId="9" fillId="0" borderId="13" xfId="19" applyNumberFormat="1" applyFont="1" applyFill="1" applyBorder="1" applyAlignment="1">
      <alignment horizontal="center" vertical="center" wrapText="1"/>
      <protection/>
    </xf>
    <xf numFmtId="1" fontId="9" fillId="0" borderId="2" xfId="19" applyNumberFormat="1" applyFont="1" applyFill="1" applyBorder="1" applyAlignment="1">
      <alignment horizontal="center" vertical="center" wrapText="1"/>
      <protection/>
    </xf>
    <xf numFmtId="4" fontId="4" fillId="0" borderId="14" xfId="19" applyNumberFormat="1" applyFont="1" applyFill="1" applyBorder="1" applyAlignment="1">
      <alignment horizontal="center" vertical="center"/>
      <protection/>
    </xf>
    <xf numFmtId="0" fontId="14" fillId="0" borderId="1" xfId="18" applyFont="1" applyFill="1" applyBorder="1" applyAlignment="1">
      <alignment horizontal="center" vertical="center" wrapText="1"/>
      <protection/>
    </xf>
    <xf numFmtId="1" fontId="5" fillId="0" borderId="1" xfId="19" applyNumberFormat="1" applyFont="1" applyFill="1" applyBorder="1" applyAlignment="1">
      <alignment horizontal="center" vertical="center" wrapText="1"/>
      <protection/>
    </xf>
    <xf numFmtId="4" fontId="6" fillId="0" borderId="1" xfId="19" applyNumberFormat="1" applyFont="1" applyFill="1" applyBorder="1" applyAlignment="1">
      <alignment horizontal="center" vertical="center" wrapText="1"/>
      <protection/>
    </xf>
    <xf numFmtId="1" fontId="5" fillId="0" borderId="0" xfId="19" applyNumberFormat="1" applyFont="1" applyFill="1" applyAlignment="1">
      <alignment horizontal="left" vertical="center" wrapText="1"/>
      <protection/>
    </xf>
    <xf numFmtId="4" fontId="11" fillId="0" borderId="1" xfId="19" applyNumberFormat="1" applyFont="1" applyFill="1" applyBorder="1" applyAlignment="1">
      <alignment horizontal="center" vertical="center" wrapText="1"/>
      <protection/>
    </xf>
    <xf numFmtId="4" fontId="14" fillId="0" borderId="1" xfId="19" applyNumberFormat="1" applyFont="1" applyFill="1" applyBorder="1" applyAlignment="1">
      <alignment horizontal="left" vertical="center" wrapText="1"/>
      <protection/>
    </xf>
    <xf numFmtId="4" fontId="6" fillId="0" borderId="1" xfId="19" applyNumberFormat="1" applyFont="1" applyFill="1" applyBorder="1" applyAlignment="1">
      <alignment horizontal="left" vertical="center" wrapText="1"/>
      <protection/>
    </xf>
    <xf numFmtId="1" fontId="14" fillId="0" borderId="1" xfId="19" applyNumberFormat="1" applyFont="1" applyFill="1" applyBorder="1" applyAlignment="1">
      <alignment horizontal="left" vertical="center" wrapText="1"/>
      <protection/>
    </xf>
  </cellXfs>
  <cellStyles count="10">
    <cellStyle name="Normal" xfId="0"/>
    <cellStyle name="Comma" xfId="15"/>
    <cellStyle name="Comma [0]" xfId="16"/>
    <cellStyle name="Hyperlink" xfId="17"/>
    <cellStyle name="Normalny_B_99" xfId="18"/>
    <cellStyle name="Normalny_d_stawkimax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52"/>
  <sheetViews>
    <sheetView tabSelected="1" workbookViewId="0" topLeftCell="A1">
      <selection activeCell="B11" sqref="B11"/>
    </sheetView>
  </sheetViews>
  <sheetFormatPr defaultColWidth="9.00390625" defaultRowHeight="12.75"/>
  <cols>
    <col min="1" max="1" width="3.125" style="119" customWidth="1"/>
    <col min="2" max="2" width="41.875" style="120" customWidth="1"/>
    <col min="3" max="3" width="13.125" style="62" customWidth="1"/>
    <col min="4" max="4" width="12.875" style="62" customWidth="1"/>
    <col min="5" max="5" width="12.375" style="62" customWidth="1"/>
    <col min="6" max="6" width="13.375" style="62" customWidth="1"/>
    <col min="7" max="7" width="13.25390625" style="62" customWidth="1"/>
    <col min="8" max="8" width="13.125" style="62" customWidth="1"/>
    <col min="9" max="9" width="8.75390625" style="62" customWidth="1"/>
    <col min="10" max="10" width="8.125" style="122" hidden="1" customWidth="1"/>
    <col min="11" max="11" width="6.375" style="62" hidden="1" customWidth="1"/>
    <col min="12" max="12" width="13.25390625" style="67" hidden="1" customWidth="1"/>
    <col min="13" max="13" width="12.625" style="67" hidden="1" customWidth="1"/>
    <col min="14" max="14" width="11.375" style="67" hidden="1" customWidth="1"/>
    <col min="15" max="32" width="0" style="67" hidden="1" customWidth="1"/>
    <col min="33" max="16384" width="9.125" style="67" customWidth="1"/>
  </cols>
  <sheetData>
    <row r="2" spans="1:11" s="3" customFormat="1" ht="29.25" customHeight="1">
      <c r="A2" s="137" t="s">
        <v>0</v>
      </c>
      <c r="B2" s="137"/>
      <c r="C2" s="137"/>
      <c r="D2" s="137"/>
      <c r="E2" s="137"/>
      <c r="F2" s="137"/>
      <c r="G2" s="137"/>
      <c r="H2" s="137"/>
      <c r="I2" s="137"/>
      <c r="J2" s="1"/>
      <c r="K2" s="2"/>
    </row>
    <row r="3" spans="1:11" s="6" customFormat="1" ht="21" customHeight="1">
      <c r="A3" s="139" t="s">
        <v>1</v>
      </c>
      <c r="B3" s="140" t="s">
        <v>2</v>
      </c>
      <c r="C3" s="133" t="s">
        <v>151</v>
      </c>
      <c r="D3" s="133"/>
      <c r="E3" s="133"/>
      <c r="F3" s="134" t="s">
        <v>152</v>
      </c>
      <c r="G3" s="135"/>
      <c r="H3" s="135"/>
      <c r="I3" s="136"/>
      <c r="J3" s="4"/>
      <c r="K3" s="5"/>
    </row>
    <row r="4" spans="1:11" s="6" customFormat="1" ht="33.75" customHeight="1">
      <c r="A4" s="139"/>
      <c r="B4" s="140"/>
      <c r="C4" s="7" t="s">
        <v>3</v>
      </c>
      <c r="D4" s="8" t="s">
        <v>4</v>
      </c>
      <c r="E4" s="9" t="s">
        <v>5</v>
      </c>
      <c r="F4" s="8" t="s">
        <v>3</v>
      </c>
      <c r="G4" s="8" t="s">
        <v>4</v>
      </c>
      <c r="H4" s="8" t="s">
        <v>5</v>
      </c>
      <c r="I4" s="8" t="s">
        <v>6</v>
      </c>
      <c r="J4" s="10" t="s">
        <v>7</v>
      </c>
      <c r="K4" s="8" t="s">
        <v>8</v>
      </c>
    </row>
    <row r="5" spans="1:11" s="19" customFormat="1" ht="12.75" customHeight="1">
      <c r="A5" s="11">
        <v>1</v>
      </c>
      <c r="B5" s="12">
        <v>2</v>
      </c>
      <c r="C5" s="13">
        <v>3</v>
      </c>
      <c r="D5" s="14">
        <v>4</v>
      </c>
      <c r="E5" s="15">
        <v>5</v>
      </c>
      <c r="F5" s="16">
        <v>6</v>
      </c>
      <c r="G5" s="16">
        <v>7</v>
      </c>
      <c r="H5" s="16">
        <v>8</v>
      </c>
      <c r="I5" s="16">
        <v>9</v>
      </c>
      <c r="J5" s="17"/>
      <c r="K5" s="18"/>
    </row>
    <row r="6" spans="1:13" s="27" customFormat="1" ht="16.5" customHeight="1">
      <c r="A6" s="142" t="s">
        <v>9</v>
      </c>
      <c r="B6" s="142"/>
      <c r="C6" s="20">
        <f aca="true" t="shared" si="0" ref="C6:H6">SUM(C7,C81,C86,C132)</f>
        <v>501206551</v>
      </c>
      <c r="D6" s="21">
        <f t="shared" si="0"/>
        <v>145065183</v>
      </c>
      <c r="E6" s="22">
        <f t="shared" si="0"/>
        <v>646271734</v>
      </c>
      <c r="F6" s="23">
        <f t="shared" si="0"/>
        <v>250361377</v>
      </c>
      <c r="G6" s="24">
        <f t="shared" si="0"/>
        <v>70567291</v>
      </c>
      <c r="H6" s="24">
        <f t="shared" si="0"/>
        <v>320928668</v>
      </c>
      <c r="I6" s="25">
        <f aca="true" t="shared" si="1" ref="I6:I29">H6/E6</f>
        <v>0.497</v>
      </c>
      <c r="J6" s="17">
        <f>H6/H6</f>
        <v>1</v>
      </c>
      <c r="K6" s="17">
        <f>H6/H6</f>
        <v>1</v>
      </c>
      <c r="L6" s="26"/>
      <c r="M6" s="26"/>
    </row>
    <row r="7" spans="1:11" s="32" customFormat="1" ht="18" customHeight="1">
      <c r="A7" s="143" t="s">
        <v>153</v>
      </c>
      <c r="B7" s="144"/>
      <c r="C7" s="28">
        <f>SUM(C8,C20,C25,C36,C59,C78)</f>
        <v>391615630</v>
      </c>
      <c r="D7" s="29">
        <f>SUM(D8,D20,D25,D36,D59,D78)</f>
        <v>64510914</v>
      </c>
      <c r="E7" s="30">
        <f>SUM(E8,E20,E25,E36,E59,E78)</f>
        <v>456126544</v>
      </c>
      <c r="F7" s="31">
        <f>SUM(F8,F20,F25,F36,F59,F78)</f>
        <v>188703244</v>
      </c>
      <c r="G7" s="31">
        <f>SUM(G8,G20,G25,G36,G59,G78)</f>
        <v>25605732</v>
      </c>
      <c r="H7" s="31">
        <f aca="true" t="shared" si="2" ref="H7:H38">SUM(F7:G7)</f>
        <v>214308976</v>
      </c>
      <c r="I7" s="25">
        <f t="shared" si="1"/>
        <v>0.47</v>
      </c>
      <c r="J7" s="25">
        <f>H7/H6</f>
        <v>0.668</v>
      </c>
      <c r="K7" s="25">
        <f aca="true" t="shared" si="3" ref="K7:K38">H7/$H$6</f>
        <v>0.668</v>
      </c>
    </row>
    <row r="8" spans="1:11" s="35" customFormat="1" ht="12">
      <c r="A8" s="33">
        <v>1</v>
      </c>
      <c r="B8" s="34" t="s">
        <v>10</v>
      </c>
      <c r="C8" s="31">
        <f>SUM(C9:C13)</f>
        <v>100017200</v>
      </c>
      <c r="D8" s="31" t="s">
        <v>11</v>
      </c>
      <c r="E8" s="22">
        <f>SUM(C8:D8)</f>
        <v>100017200</v>
      </c>
      <c r="F8" s="22">
        <f>SUM(F9:F13)</f>
        <v>51597127</v>
      </c>
      <c r="G8" s="22">
        <f>SUM(G9:G13)</f>
        <v>0</v>
      </c>
      <c r="H8" s="22">
        <f t="shared" si="2"/>
        <v>51597127</v>
      </c>
      <c r="I8" s="25">
        <f t="shared" si="1"/>
        <v>0.516</v>
      </c>
      <c r="J8" s="25">
        <f>H8/H7</f>
        <v>0.241</v>
      </c>
      <c r="K8" s="25">
        <f t="shared" si="3"/>
        <v>0.161</v>
      </c>
    </row>
    <row r="9" spans="1:11" s="41" customFormat="1" ht="15" customHeight="1">
      <c r="A9" s="36"/>
      <c r="B9" s="37" t="s">
        <v>12</v>
      </c>
      <c r="C9" s="38">
        <v>87500000</v>
      </c>
      <c r="D9" s="38"/>
      <c r="E9" s="39">
        <f>SUM(C9:D9)</f>
        <v>87500000</v>
      </c>
      <c r="F9" s="40">
        <f>37337638+7602404</f>
        <v>44940042</v>
      </c>
      <c r="G9" s="40"/>
      <c r="H9" s="39">
        <f t="shared" si="2"/>
        <v>44940042</v>
      </c>
      <c r="I9" s="25">
        <f t="shared" si="1"/>
        <v>0.514</v>
      </c>
      <c r="J9" s="25">
        <f aca="true" t="shared" si="4" ref="J9:J19">H9/$H$8</f>
        <v>0.871</v>
      </c>
      <c r="K9" s="25">
        <f t="shared" si="3"/>
        <v>0.14</v>
      </c>
    </row>
    <row r="10" spans="1:11" s="41" customFormat="1" ht="15" customHeight="1">
      <c r="A10" s="36"/>
      <c r="B10" s="37" t="s">
        <v>13</v>
      </c>
      <c r="C10" s="38">
        <v>4500000</v>
      </c>
      <c r="D10" s="38"/>
      <c r="E10" s="39">
        <f>SUM(C10:D10)</f>
        <v>4500000</v>
      </c>
      <c r="F10" s="40">
        <f>1892261+1020720</f>
        <v>2912981</v>
      </c>
      <c r="G10" s="40"/>
      <c r="H10" s="39">
        <f t="shared" si="2"/>
        <v>2912981</v>
      </c>
      <c r="I10" s="25">
        <f t="shared" si="1"/>
        <v>0.647</v>
      </c>
      <c r="J10" s="25">
        <f t="shared" si="4"/>
        <v>0.056</v>
      </c>
      <c r="K10" s="25">
        <f t="shared" si="3"/>
        <v>0.009</v>
      </c>
    </row>
    <row r="11" spans="1:11" s="41" customFormat="1" ht="12" customHeight="1">
      <c r="A11" s="36"/>
      <c r="B11" s="37" t="s">
        <v>14</v>
      </c>
      <c r="C11" s="38">
        <v>4738000</v>
      </c>
      <c r="D11" s="38"/>
      <c r="E11" s="39">
        <f>SUM(C11:D11)</f>
        <v>4738000</v>
      </c>
      <c r="F11" s="40">
        <v>2434025</v>
      </c>
      <c r="G11" s="40"/>
      <c r="H11" s="39">
        <f t="shared" si="2"/>
        <v>2434025</v>
      </c>
      <c r="I11" s="25">
        <f t="shared" si="1"/>
        <v>0.514</v>
      </c>
      <c r="J11" s="25">
        <f t="shared" si="4"/>
        <v>0.047</v>
      </c>
      <c r="K11" s="25">
        <f t="shared" si="3"/>
        <v>0.008</v>
      </c>
    </row>
    <row r="12" spans="1:11" s="41" customFormat="1" ht="12.75" customHeight="1">
      <c r="A12" s="36"/>
      <c r="B12" s="42" t="s">
        <v>15</v>
      </c>
      <c r="C12" s="38">
        <f>125200+1450000</f>
        <v>1575200</v>
      </c>
      <c r="D12" s="38"/>
      <c r="E12" s="39">
        <f>SUM(C12:D12)</f>
        <v>1575200</v>
      </c>
      <c r="F12" s="40">
        <f>400150+87433</f>
        <v>487583</v>
      </c>
      <c r="G12" s="40"/>
      <c r="H12" s="39">
        <f t="shared" si="2"/>
        <v>487583</v>
      </c>
      <c r="I12" s="25">
        <f t="shared" si="1"/>
        <v>0.31</v>
      </c>
      <c r="J12" s="25">
        <f t="shared" si="4"/>
        <v>0.009</v>
      </c>
      <c r="K12" s="25">
        <f t="shared" si="3"/>
        <v>0.002</v>
      </c>
    </row>
    <row r="13" spans="1:11" s="41" customFormat="1" ht="12" customHeight="1">
      <c r="A13" s="36"/>
      <c r="B13" s="42" t="s">
        <v>16</v>
      </c>
      <c r="C13" s="38">
        <f>SUM(C14:C19)</f>
        <v>1704000</v>
      </c>
      <c r="D13" s="38">
        <f>SUM(D14:D19)</f>
        <v>0</v>
      </c>
      <c r="E13" s="39">
        <f>SUM(E14:E19)</f>
        <v>1704000</v>
      </c>
      <c r="F13" s="40">
        <f>SUM(F14:F19)</f>
        <v>822496</v>
      </c>
      <c r="G13" s="40">
        <f>SUM(G14:G19)</f>
        <v>0</v>
      </c>
      <c r="H13" s="39">
        <f t="shared" si="2"/>
        <v>822496</v>
      </c>
      <c r="I13" s="25">
        <f t="shared" si="1"/>
        <v>0.483</v>
      </c>
      <c r="J13" s="25">
        <f t="shared" si="4"/>
        <v>0.016</v>
      </c>
      <c r="K13" s="25">
        <f t="shared" si="3"/>
        <v>0.003</v>
      </c>
    </row>
    <row r="14" spans="1:11" s="49" customFormat="1" ht="12" customHeight="1">
      <c r="A14" s="43"/>
      <c r="B14" s="44" t="s">
        <v>17</v>
      </c>
      <c r="C14" s="45">
        <v>28000</v>
      </c>
      <c r="D14" s="45"/>
      <c r="E14" s="46">
        <f aca="true" t="shared" si="5" ref="E14:E19">SUM(C14:D14)</f>
        <v>28000</v>
      </c>
      <c r="F14" s="47">
        <f>386+18800</f>
        <v>19186</v>
      </c>
      <c r="G14" s="47"/>
      <c r="H14" s="46">
        <f t="shared" si="2"/>
        <v>19186</v>
      </c>
      <c r="I14" s="48">
        <f t="shared" si="1"/>
        <v>0.685</v>
      </c>
      <c r="J14" s="48">
        <f t="shared" si="4"/>
        <v>0</v>
      </c>
      <c r="K14" s="48">
        <f t="shared" si="3"/>
        <v>0</v>
      </c>
    </row>
    <row r="15" spans="1:11" s="49" customFormat="1" ht="11.25" customHeight="1">
      <c r="A15" s="43"/>
      <c r="B15" s="50" t="s">
        <v>18</v>
      </c>
      <c r="C15" s="45">
        <v>68000</v>
      </c>
      <c r="D15" s="45"/>
      <c r="E15" s="46">
        <f t="shared" si="5"/>
        <v>68000</v>
      </c>
      <c r="F15" s="47">
        <f>33769+1878</f>
        <v>35647</v>
      </c>
      <c r="G15" s="47"/>
      <c r="H15" s="46">
        <f t="shared" si="2"/>
        <v>35647</v>
      </c>
      <c r="I15" s="48">
        <f t="shared" si="1"/>
        <v>0.524</v>
      </c>
      <c r="J15" s="48">
        <f t="shared" si="4"/>
        <v>0.001</v>
      </c>
      <c r="K15" s="48">
        <f t="shared" si="3"/>
        <v>0</v>
      </c>
    </row>
    <row r="16" spans="1:11" s="51" customFormat="1" ht="12.75" customHeight="1">
      <c r="A16" s="43"/>
      <c r="B16" s="44" t="s">
        <v>19</v>
      </c>
      <c r="C16" s="45">
        <v>2000</v>
      </c>
      <c r="D16" s="45"/>
      <c r="E16" s="46">
        <f t="shared" si="5"/>
        <v>2000</v>
      </c>
      <c r="F16" s="47">
        <v>1503</v>
      </c>
      <c r="G16" s="47"/>
      <c r="H16" s="46">
        <f t="shared" si="2"/>
        <v>1503</v>
      </c>
      <c r="I16" s="48">
        <f t="shared" si="1"/>
        <v>0.752</v>
      </c>
      <c r="J16" s="48">
        <f t="shared" si="4"/>
        <v>0</v>
      </c>
      <c r="K16" s="48">
        <f t="shared" si="3"/>
        <v>0</v>
      </c>
    </row>
    <row r="17" spans="1:11" s="49" customFormat="1" ht="12.75" customHeight="1">
      <c r="A17" s="43"/>
      <c r="B17" s="44" t="s">
        <v>20</v>
      </c>
      <c r="C17" s="45">
        <v>6000</v>
      </c>
      <c r="D17" s="45"/>
      <c r="E17" s="46">
        <f t="shared" si="5"/>
        <v>6000</v>
      </c>
      <c r="F17" s="47">
        <v>3123</v>
      </c>
      <c r="G17" s="47"/>
      <c r="H17" s="46">
        <f t="shared" si="2"/>
        <v>3123</v>
      </c>
      <c r="I17" s="48">
        <f t="shared" si="1"/>
        <v>0.521</v>
      </c>
      <c r="J17" s="48">
        <f t="shared" si="4"/>
        <v>0</v>
      </c>
      <c r="K17" s="48">
        <f t="shared" si="3"/>
        <v>0</v>
      </c>
    </row>
    <row r="18" spans="1:11" s="49" customFormat="1" ht="12.75" customHeight="1">
      <c r="A18" s="43"/>
      <c r="B18" s="44" t="s">
        <v>21</v>
      </c>
      <c r="C18" s="45">
        <v>100000</v>
      </c>
      <c r="D18" s="45"/>
      <c r="E18" s="46">
        <f t="shared" si="5"/>
        <v>100000</v>
      </c>
      <c r="F18" s="47">
        <v>78210</v>
      </c>
      <c r="G18" s="47"/>
      <c r="H18" s="46">
        <f t="shared" si="2"/>
        <v>78210</v>
      </c>
      <c r="I18" s="48">
        <f t="shared" si="1"/>
        <v>0.782</v>
      </c>
      <c r="J18" s="48">
        <f t="shared" si="4"/>
        <v>0.002</v>
      </c>
      <c r="K18" s="48">
        <f t="shared" si="3"/>
        <v>0</v>
      </c>
    </row>
    <row r="19" spans="1:11" s="19" customFormat="1" ht="14.25" customHeight="1">
      <c r="A19" s="52"/>
      <c r="B19" s="53" t="s">
        <v>22</v>
      </c>
      <c r="C19" s="45">
        <v>1500000</v>
      </c>
      <c r="D19" s="45"/>
      <c r="E19" s="46">
        <f t="shared" si="5"/>
        <v>1500000</v>
      </c>
      <c r="F19" s="47">
        <f>23154+443818+207926+9929</f>
        <v>684827</v>
      </c>
      <c r="G19" s="47"/>
      <c r="H19" s="46">
        <f t="shared" si="2"/>
        <v>684827</v>
      </c>
      <c r="I19" s="48">
        <f t="shared" si="1"/>
        <v>0.457</v>
      </c>
      <c r="J19" s="48">
        <f t="shared" si="4"/>
        <v>0.013</v>
      </c>
      <c r="K19" s="48">
        <f t="shared" si="3"/>
        <v>0.002</v>
      </c>
    </row>
    <row r="20" spans="1:11" s="56" customFormat="1" ht="21.75" customHeight="1">
      <c r="A20" s="54">
        <v>2</v>
      </c>
      <c r="B20" s="55" t="s">
        <v>23</v>
      </c>
      <c r="C20" s="31">
        <f>SUM(C21:C24)</f>
        <v>18500000</v>
      </c>
      <c r="D20" s="31">
        <f>SUM(D21:D24)</f>
        <v>0</v>
      </c>
      <c r="E20" s="31">
        <f>SUM(E21:E24)</f>
        <v>18500000</v>
      </c>
      <c r="F20" s="31">
        <f>SUM(F21:F24)</f>
        <v>10448202</v>
      </c>
      <c r="G20" s="31">
        <f>SUM(G21:G24)</f>
        <v>0</v>
      </c>
      <c r="H20" s="31">
        <f t="shared" si="2"/>
        <v>10448202</v>
      </c>
      <c r="I20" s="25">
        <f t="shared" si="1"/>
        <v>0.565</v>
      </c>
      <c r="J20" s="25">
        <f>H20/H7</f>
        <v>0.049</v>
      </c>
      <c r="K20" s="25">
        <f t="shared" si="3"/>
        <v>0.033</v>
      </c>
    </row>
    <row r="21" spans="1:11" s="41" customFormat="1" ht="12" customHeight="1">
      <c r="A21" s="36"/>
      <c r="B21" s="42" t="s">
        <v>24</v>
      </c>
      <c r="C21" s="38">
        <v>1000000</v>
      </c>
      <c r="D21" s="38"/>
      <c r="E21" s="39">
        <f aca="true" t="shared" si="6" ref="E21:E52">SUM(C21:D21)</f>
        <v>1000000</v>
      </c>
      <c r="F21" s="40">
        <v>496127</v>
      </c>
      <c r="G21" s="40"/>
      <c r="H21" s="39">
        <f t="shared" si="2"/>
        <v>496127</v>
      </c>
      <c r="I21" s="25">
        <f t="shared" si="1"/>
        <v>0.496</v>
      </c>
      <c r="J21" s="25">
        <f>H21/$H$20</f>
        <v>0.047</v>
      </c>
      <c r="K21" s="25">
        <f t="shared" si="3"/>
        <v>0.002</v>
      </c>
    </row>
    <row r="22" spans="1:11" s="41" customFormat="1" ht="12" customHeight="1">
      <c r="A22" s="36"/>
      <c r="B22" s="42" t="s">
        <v>25</v>
      </c>
      <c r="C22" s="38">
        <v>3400000</v>
      </c>
      <c r="D22" s="38"/>
      <c r="E22" s="39">
        <f t="shared" si="6"/>
        <v>3400000</v>
      </c>
      <c r="F22" s="40">
        <v>1537032</v>
      </c>
      <c r="G22" s="40"/>
      <c r="H22" s="39">
        <f t="shared" si="2"/>
        <v>1537032</v>
      </c>
      <c r="I22" s="25">
        <f t="shared" si="1"/>
        <v>0.452</v>
      </c>
      <c r="J22" s="25">
        <f>H22/$H$20</f>
        <v>0.147</v>
      </c>
      <c r="K22" s="25">
        <f t="shared" si="3"/>
        <v>0.005</v>
      </c>
    </row>
    <row r="23" spans="1:11" s="41" customFormat="1" ht="14.25" customHeight="1">
      <c r="A23" s="36"/>
      <c r="B23" s="42" t="s">
        <v>26</v>
      </c>
      <c r="C23" s="38">
        <f>3100000+10900000</f>
        <v>14000000</v>
      </c>
      <c r="D23" s="38"/>
      <c r="E23" s="39">
        <f t="shared" si="6"/>
        <v>14000000</v>
      </c>
      <c r="F23" s="40">
        <f>1090868+7324175</f>
        <v>8415043</v>
      </c>
      <c r="G23" s="40"/>
      <c r="H23" s="39">
        <f t="shared" si="2"/>
        <v>8415043</v>
      </c>
      <c r="I23" s="25">
        <f t="shared" si="1"/>
        <v>0.601</v>
      </c>
      <c r="J23" s="25">
        <f>H23/$H$20</f>
        <v>0.805</v>
      </c>
      <c r="K23" s="25">
        <f t="shared" si="3"/>
        <v>0.026</v>
      </c>
    </row>
    <row r="24" spans="1:11" s="41" customFormat="1" ht="14.25" customHeight="1">
      <c r="A24" s="36"/>
      <c r="B24" s="42" t="s">
        <v>27</v>
      </c>
      <c r="C24" s="38">
        <v>100000</v>
      </c>
      <c r="D24" s="38"/>
      <c r="E24" s="39">
        <f t="shared" si="6"/>
        <v>100000</v>
      </c>
      <c r="F24" s="40"/>
      <c r="G24" s="40"/>
      <c r="H24" s="39">
        <f t="shared" si="2"/>
        <v>0</v>
      </c>
      <c r="I24" s="25">
        <f t="shared" si="1"/>
        <v>0</v>
      </c>
      <c r="J24" s="25">
        <f>H24/$H$20</f>
        <v>0</v>
      </c>
      <c r="K24" s="25">
        <f t="shared" si="3"/>
        <v>0</v>
      </c>
    </row>
    <row r="25" spans="1:11" s="35" customFormat="1" ht="12.75" customHeight="1">
      <c r="A25" s="54">
        <v>3</v>
      </c>
      <c r="B25" s="57" t="s">
        <v>28</v>
      </c>
      <c r="C25" s="31">
        <f>SUM(C26:C31)</f>
        <v>38248478</v>
      </c>
      <c r="D25" s="31">
        <f>SUM(D26:D31)</f>
        <v>1574801</v>
      </c>
      <c r="E25" s="22">
        <f t="shared" si="6"/>
        <v>39823279</v>
      </c>
      <c r="F25" s="22">
        <f>SUM(F26:F31)</f>
        <v>19833498</v>
      </c>
      <c r="G25" s="22">
        <f>SUM(G26:G31)</f>
        <v>741750</v>
      </c>
      <c r="H25" s="22">
        <f t="shared" si="2"/>
        <v>20575248</v>
      </c>
      <c r="I25" s="25">
        <f t="shared" si="1"/>
        <v>0.517</v>
      </c>
      <c r="J25" s="25">
        <f>H25/H7</f>
        <v>0.096</v>
      </c>
      <c r="K25" s="25">
        <f t="shared" si="3"/>
        <v>0.064</v>
      </c>
    </row>
    <row r="26" spans="1:11" s="41" customFormat="1" ht="13.5" customHeight="1">
      <c r="A26" s="36"/>
      <c r="B26" s="42" t="s">
        <v>29</v>
      </c>
      <c r="C26" s="38">
        <f>19760000+150000+1500000</f>
        <v>21410000</v>
      </c>
      <c r="D26" s="38"/>
      <c r="E26" s="39">
        <f t="shared" si="6"/>
        <v>21410000</v>
      </c>
      <c r="F26" s="40">
        <f>287963+10399858</f>
        <v>10687821</v>
      </c>
      <c r="G26" s="40"/>
      <c r="H26" s="39">
        <f t="shared" si="2"/>
        <v>10687821</v>
      </c>
      <c r="I26" s="25">
        <f t="shared" si="1"/>
        <v>0.499</v>
      </c>
      <c r="J26" s="25">
        <f aca="true" t="shared" si="7" ref="J26:J35">H26/$H$25</f>
        <v>0.519</v>
      </c>
      <c r="K26" s="25">
        <f t="shared" si="3"/>
        <v>0.033</v>
      </c>
    </row>
    <row r="27" spans="1:11" s="41" customFormat="1" ht="12.75" customHeight="1">
      <c r="A27" s="36"/>
      <c r="B27" s="42" t="s">
        <v>30</v>
      </c>
      <c r="C27" s="38">
        <f>6800000</f>
        <v>6800000</v>
      </c>
      <c r="D27" s="38"/>
      <c r="E27" s="39">
        <f t="shared" si="6"/>
        <v>6800000</v>
      </c>
      <c r="F27" s="40">
        <v>3031534</v>
      </c>
      <c r="G27" s="40"/>
      <c r="H27" s="39">
        <f t="shared" si="2"/>
        <v>3031534</v>
      </c>
      <c r="I27" s="25">
        <f t="shared" si="1"/>
        <v>0.446</v>
      </c>
      <c r="J27" s="25">
        <f t="shared" si="7"/>
        <v>0.147</v>
      </c>
      <c r="K27" s="25">
        <f t="shared" si="3"/>
        <v>0.009</v>
      </c>
    </row>
    <row r="28" spans="1:11" s="41" customFormat="1" ht="11.25" customHeight="1">
      <c r="A28" s="36"/>
      <c r="B28" s="42" t="s">
        <v>31</v>
      </c>
      <c r="C28" s="38">
        <v>5500000</v>
      </c>
      <c r="D28" s="38"/>
      <c r="E28" s="39">
        <f t="shared" si="6"/>
        <v>5500000</v>
      </c>
      <c r="F28" s="40">
        <v>2795387</v>
      </c>
      <c r="G28" s="40"/>
      <c r="H28" s="39">
        <f t="shared" si="2"/>
        <v>2795387</v>
      </c>
      <c r="I28" s="25">
        <f t="shared" si="1"/>
        <v>0.508</v>
      </c>
      <c r="J28" s="25">
        <f t="shared" si="7"/>
        <v>0.136</v>
      </c>
      <c r="K28" s="25">
        <f t="shared" si="3"/>
        <v>0.009</v>
      </c>
    </row>
    <row r="29" spans="1:11" s="41" customFormat="1" ht="12" customHeight="1">
      <c r="A29" s="36"/>
      <c r="B29" s="42" t="s">
        <v>32</v>
      </c>
      <c r="C29" s="38">
        <v>2200000</v>
      </c>
      <c r="D29" s="38"/>
      <c r="E29" s="39">
        <f t="shared" si="6"/>
        <v>2200000</v>
      </c>
      <c r="F29" s="40">
        <v>1802428</v>
      </c>
      <c r="G29" s="40"/>
      <c r="H29" s="39">
        <f t="shared" si="2"/>
        <v>1802428</v>
      </c>
      <c r="I29" s="25">
        <f t="shared" si="1"/>
        <v>0.819</v>
      </c>
      <c r="J29" s="25">
        <f t="shared" si="7"/>
        <v>0.088</v>
      </c>
      <c r="K29" s="25">
        <f t="shared" si="3"/>
        <v>0.006</v>
      </c>
    </row>
    <row r="30" spans="1:11" s="51" customFormat="1" ht="10.5" customHeight="1">
      <c r="A30" s="58"/>
      <c r="B30" s="37" t="s">
        <v>33</v>
      </c>
      <c r="C30" s="38"/>
      <c r="D30" s="38"/>
      <c r="E30" s="39">
        <f t="shared" si="6"/>
        <v>0</v>
      </c>
      <c r="F30" s="40"/>
      <c r="G30" s="40"/>
      <c r="H30" s="39">
        <f t="shared" si="2"/>
        <v>0</v>
      </c>
      <c r="I30" s="25"/>
      <c r="J30" s="25">
        <f t="shared" si="7"/>
        <v>0</v>
      </c>
      <c r="K30" s="25">
        <f t="shared" si="3"/>
        <v>0</v>
      </c>
    </row>
    <row r="31" spans="1:11" s="41" customFormat="1" ht="11.25" customHeight="1">
      <c r="A31" s="36"/>
      <c r="B31" s="42" t="s">
        <v>16</v>
      </c>
      <c r="C31" s="38">
        <f>SUM(C32:C35)</f>
        <v>2338478</v>
      </c>
      <c r="D31" s="38">
        <f>SUM(D32:D35)</f>
        <v>1574801</v>
      </c>
      <c r="E31" s="39">
        <f t="shared" si="6"/>
        <v>3913279</v>
      </c>
      <c r="F31" s="40">
        <f>SUM(F32:F35)</f>
        <v>1516328</v>
      </c>
      <c r="G31" s="40">
        <f>SUM(G32:G35)</f>
        <v>741750</v>
      </c>
      <c r="H31" s="39">
        <f t="shared" si="2"/>
        <v>2258078</v>
      </c>
      <c r="I31" s="25">
        <f aca="true" t="shared" si="8" ref="I31:I67">H31/E31</f>
        <v>0.577</v>
      </c>
      <c r="J31" s="25">
        <f t="shared" si="7"/>
        <v>0.11</v>
      </c>
      <c r="K31" s="25">
        <f t="shared" si="3"/>
        <v>0.007</v>
      </c>
    </row>
    <row r="32" spans="1:12" s="49" customFormat="1" ht="12.75" customHeight="1">
      <c r="A32" s="58"/>
      <c r="B32" s="44" t="s">
        <v>34</v>
      </c>
      <c r="C32" s="45">
        <v>230000</v>
      </c>
      <c r="D32" s="45"/>
      <c r="E32" s="46">
        <f t="shared" si="6"/>
        <v>230000</v>
      </c>
      <c r="F32" s="47">
        <f>283086+19370</f>
        <v>302456</v>
      </c>
      <c r="G32" s="47">
        <f>12198+20</f>
        <v>12218</v>
      </c>
      <c r="H32" s="46">
        <f t="shared" si="2"/>
        <v>314674</v>
      </c>
      <c r="I32" s="48">
        <f t="shared" si="8"/>
        <v>1.368</v>
      </c>
      <c r="J32" s="48">
        <f t="shared" si="7"/>
        <v>0.015</v>
      </c>
      <c r="K32" s="48">
        <f t="shared" si="3"/>
        <v>0.001</v>
      </c>
      <c r="L32" s="49" t="s">
        <v>35</v>
      </c>
    </row>
    <row r="33" spans="1:12" s="51" customFormat="1" ht="25.5" customHeight="1">
      <c r="A33" s="58"/>
      <c r="B33" s="44" t="s">
        <v>36</v>
      </c>
      <c r="C33" s="45">
        <f>447911-83078-6+79000-238+119000-581+26220+230000-21318</f>
        <v>796910</v>
      </c>
      <c r="D33" s="45"/>
      <c r="E33" s="46">
        <f t="shared" si="6"/>
        <v>796910</v>
      </c>
      <c r="F33" s="47">
        <f>10925+17580+60128+129702+180094</f>
        <v>398429</v>
      </c>
      <c r="G33" s="47">
        <f>2061+900</f>
        <v>2961</v>
      </c>
      <c r="H33" s="46">
        <f t="shared" si="2"/>
        <v>401390</v>
      </c>
      <c r="I33" s="48">
        <f t="shared" si="8"/>
        <v>0.504</v>
      </c>
      <c r="J33" s="48">
        <f t="shared" si="7"/>
        <v>0.02</v>
      </c>
      <c r="K33" s="48">
        <f t="shared" si="3"/>
        <v>0.001</v>
      </c>
      <c r="L33" s="51" t="s">
        <v>37</v>
      </c>
    </row>
    <row r="34" spans="1:11" s="51" customFormat="1" ht="27" customHeight="1">
      <c r="A34" s="58"/>
      <c r="B34" s="44" t="s">
        <v>38</v>
      </c>
      <c r="C34" s="45"/>
      <c r="D34" s="45">
        <v>900000</v>
      </c>
      <c r="E34" s="46">
        <f t="shared" si="6"/>
        <v>900000</v>
      </c>
      <c r="F34" s="47"/>
      <c r="G34" s="47">
        <f>342723+31114+47038</f>
        <v>420875</v>
      </c>
      <c r="H34" s="46">
        <f t="shared" si="2"/>
        <v>420875</v>
      </c>
      <c r="I34" s="48">
        <f t="shared" si="8"/>
        <v>0.468</v>
      </c>
      <c r="J34" s="48">
        <f t="shared" si="7"/>
        <v>0.02</v>
      </c>
      <c r="K34" s="48">
        <f t="shared" si="3"/>
        <v>0.001</v>
      </c>
    </row>
    <row r="35" spans="1:11" s="51" customFormat="1" ht="27" customHeight="1">
      <c r="A35" s="58"/>
      <c r="B35" s="50" t="s">
        <v>39</v>
      </c>
      <c r="C35" s="45">
        <f>1307027+2000+1800+741</f>
        <v>1311568</v>
      </c>
      <c r="D35" s="45">
        <v>674801</v>
      </c>
      <c r="E35" s="46">
        <f t="shared" si="6"/>
        <v>1986369</v>
      </c>
      <c r="F35" s="47">
        <f>615872+38791+160780</f>
        <v>815443</v>
      </c>
      <c r="G35" s="47">
        <f>17118+129910+79208+19170+7837+2799+49654</f>
        <v>305696</v>
      </c>
      <c r="H35" s="46">
        <f t="shared" si="2"/>
        <v>1121139</v>
      </c>
      <c r="I35" s="48">
        <f t="shared" si="8"/>
        <v>0.564</v>
      </c>
      <c r="J35" s="48">
        <f t="shared" si="7"/>
        <v>0.054</v>
      </c>
      <c r="K35" s="48">
        <f t="shared" si="3"/>
        <v>0.003</v>
      </c>
    </row>
    <row r="36" spans="1:11" s="35" customFormat="1" ht="34.5" customHeight="1">
      <c r="A36" s="54">
        <v>4</v>
      </c>
      <c r="B36" s="57" t="s">
        <v>40</v>
      </c>
      <c r="C36" s="31">
        <f>SUM(C37:C51)</f>
        <v>74830306</v>
      </c>
      <c r="D36" s="31">
        <f>SUM(D37:D51)</f>
        <v>8621050</v>
      </c>
      <c r="E36" s="22">
        <f t="shared" si="6"/>
        <v>83451356</v>
      </c>
      <c r="F36" s="22">
        <f>SUM(F37:F51)</f>
        <v>39656148</v>
      </c>
      <c r="G36" s="22">
        <f>SUM(G37:G51)</f>
        <v>6302997</v>
      </c>
      <c r="H36" s="22">
        <f t="shared" si="2"/>
        <v>45959145</v>
      </c>
      <c r="I36" s="25">
        <f t="shared" si="8"/>
        <v>0.551</v>
      </c>
      <c r="J36" s="25">
        <f>H36/H7</f>
        <v>0.214</v>
      </c>
      <c r="K36" s="25">
        <f t="shared" si="3"/>
        <v>0.143</v>
      </c>
    </row>
    <row r="37" spans="1:11" s="41" customFormat="1" ht="11.25" hidden="1">
      <c r="A37" s="36"/>
      <c r="B37" s="42" t="s">
        <v>41</v>
      </c>
      <c r="C37" s="38"/>
      <c r="D37" s="38"/>
      <c r="E37" s="39">
        <f t="shared" si="6"/>
        <v>0</v>
      </c>
      <c r="F37" s="39"/>
      <c r="G37" s="39"/>
      <c r="H37" s="39">
        <f t="shared" si="2"/>
        <v>0</v>
      </c>
      <c r="I37" s="25" t="e">
        <f t="shared" si="8"/>
        <v>#DIV/0!</v>
      </c>
      <c r="J37" s="25"/>
      <c r="K37" s="25">
        <f t="shared" si="3"/>
        <v>0</v>
      </c>
    </row>
    <row r="38" spans="1:11" s="41" customFormat="1" ht="14.25" customHeight="1">
      <c r="A38" s="36"/>
      <c r="B38" s="42" t="s">
        <v>42</v>
      </c>
      <c r="C38" s="38">
        <f>66502430+131350</f>
        <v>66633780</v>
      </c>
      <c r="D38" s="38"/>
      <c r="E38" s="39">
        <f t="shared" si="6"/>
        <v>66633780</v>
      </c>
      <c r="F38" s="40">
        <f>31814122+35001+173534</f>
        <v>32022657</v>
      </c>
      <c r="G38" s="40"/>
      <c r="H38" s="39">
        <f t="shared" si="2"/>
        <v>32022657</v>
      </c>
      <c r="I38" s="25">
        <f t="shared" si="8"/>
        <v>0.481</v>
      </c>
      <c r="J38" s="25">
        <f>H38/H36</f>
        <v>0.697</v>
      </c>
      <c r="K38" s="25">
        <f t="shared" si="3"/>
        <v>0.1</v>
      </c>
    </row>
    <row r="39" spans="1:12" s="41" customFormat="1" ht="13.5" customHeight="1">
      <c r="A39" s="36"/>
      <c r="B39" s="42" t="s">
        <v>43</v>
      </c>
      <c r="C39" s="38">
        <v>165000</v>
      </c>
      <c r="D39" s="38"/>
      <c r="E39" s="39">
        <f t="shared" si="6"/>
        <v>165000</v>
      </c>
      <c r="F39" s="40">
        <v>89325</v>
      </c>
      <c r="G39" s="40"/>
      <c r="H39" s="39">
        <f aca="true" t="shared" si="9" ref="H39:H70">SUM(F39:G39)</f>
        <v>89325</v>
      </c>
      <c r="I39" s="25">
        <f t="shared" si="8"/>
        <v>0.541</v>
      </c>
      <c r="J39" s="25" t="e">
        <f>H39/H37</f>
        <v>#DIV/0!</v>
      </c>
      <c r="K39" s="25">
        <f aca="true" t="shared" si="10" ref="K39:K70">H39/$H$6</f>
        <v>0</v>
      </c>
      <c r="L39" s="41">
        <v>85305.083</v>
      </c>
    </row>
    <row r="40" spans="1:12" s="41" customFormat="1" ht="22.5">
      <c r="A40" s="36"/>
      <c r="B40" s="42" t="s">
        <v>44</v>
      </c>
      <c r="C40" s="38">
        <v>715000</v>
      </c>
      <c r="D40" s="38"/>
      <c r="E40" s="39">
        <f t="shared" si="6"/>
        <v>715000</v>
      </c>
      <c r="F40" s="40">
        <f>161889+163165</f>
        <v>325054</v>
      </c>
      <c r="G40" s="40"/>
      <c r="H40" s="39">
        <f t="shared" si="9"/>
        <v>325054</v>
      </c>
      <c r="I40" s="25">
        <f t="shared" si="8"/>
        <v>0.455</v>
      </c>
      <c r="J40" s="25">
        <f>H40/H38</f>
        <v>0.01</v>
      </c>
      <c r="K40" s="25">
        <f t="shared" si="10"/>
        <v>0.001</v>
      </c>
      <c r="L40" s="41" t="s">
        <v>45</v>
      </c>
    </row>
    <row r="41" spans="1:11" s="41" customFormat="1" ht="15.75" customHeight="1">
      <c r="A41" s="36"/>
      <c r="B41" s="42" t="s">
        <v>46</v>
      </c>
      <c r="C41" s="38">
        <f>48000+62000+266500</f>
        <v>376500</v>
      </c>
      <c r="D41" s="38"/>
      <c r="E41" s="39">
        <f t="shared" si="6"/>
        <v>376500</v>
      </c>
      <c r="F41" s="40">
        <v>78346</v>
      </c>
      <c r="G41" s="40"/>
      <c r="H41" s="39">
        <f t="shared" si="9"/>
        <v>78346</v>
      </c>
      <c r="I41" s="25">
        <f t="shared" si="8"/>
        <v>0.208</v>
      </c>
      <c r="J41" s="25">
        <f>H41/H39</f>
        <v>0.877</v>
      </c>
      <c r="K41" s="25">
        <f t="shared" si="10"/>
        <v>0</v>
      </c>
    </row>
    <row r="42" spans="1:12" s="41" customFormat="1" ht="16.5" customHeight="1">
      <c r="A42" s="36"/>
      <c r="B42" s="42" t="s">
        <v>47</v>
      </c>
      <c r="C42" s="38"/>
      <c r="D42" s="38">
        <v>420000</v>
      </c>
      <c r="E42" s="39">
        <f t="shared" si="6"/>
        <v>420000</v>
      </c>
      <c r="F42" s="40"/>
      <c r="G42" s="40">
        <v>199604</v>
      </c>
      <c r="H42" s="39">
        <f t="shared" si="9"/>
        <v>199604</v>
      </c>
      <c r="I42" s="25">
        <f t="shared" si="8"/>
        <v>0.475</v>
      </c>
      <c r="J42" s="25">
        <f>H42/H40</f>
        <v>0.614</v>
      </c>
      <c r="K42" s="25">
        <f t="shared" si="10"/>
        <v>0.001</v>
      </c>
      <c r="L42" s="41" t="s">
        <v>48</v>
      </c>
    </row>
    <row r="43" spans="1:12" s="41" customFormat="1" ht="36.75" customHeight="1">
      <c r="A43" s="36"/>
      <c r="B43" s="42" t="s">
        <v>49</v>
      </c>
      <c r="C43" s="38">
        <f>391600+12000+7000</f>
        <v>410600</v>
      </c>
      <c r="D43" s="38">
        <f>29400+10000</f>
        <v>39400</v>
      </c>
      <c r="E43" s="39">
        <f t="shared" si="6"/>
        <v>450000</v>
      </c>
      <c r="F43" s="40">
        <f>8172+474087+6617</f>
        <v>488876</v>
      </c>
      <c r="G43" s="40">
        <f>24125+27515</f>
        <v>51640</v>
      </c>
      <c r="H43" s="39">
        <f t="shared" si="9"/>
        <v>540516</v>
      </c>
      <c r="I43" s="25">
        <f t="shared" si="8"/>
        <v>1.201</v>
      </c>
      <c r="J43" s="25">
        <f>H43/H36</f>
        <v>0.012</v>
      </c>
      <c r="K43" s="25">
        <f t="shared" si="10"/>
        <v>0.002</v>
      </c>
      <c r="L43" s="41" t="s">
        <v>50</v>
      </c>
    </row>
    <row r="44" spans="1:11" s="41" customFormat="1" ht="18" customHeight="1">
      <c r="A44" s="59"/>
      <c r="B44" s="37" t="s">
        <v>51</v>
      </c>
      <c r="C44" s="38"/>
      <c r="D44" s="38">
        <v>2285000</v>
      </c>
      <c r="E44" s="39">
        <f t="shared" si="6"/>
        <v>2285000</v>
      </c>
      <c r="F44" s="40"/>
      <c r="G44" s="40">
        <v>974882</v>
      </c>
      <c r="H44" s="39">
        <f t="shared" si="9"/>
        <v>974882</v>
      </c>
      <c r="I44" s="25">
        <f t="shared" si="8"/>
        <v>0.427</v>
      </c>
      <c r="J44" s="25">
        <f aca="true" t="shared" si="11" ref="J44:J58">H44/H42</f>
        <v>4.884</v>
      </c>
      <c r="K44" s="25">
        <f t="shared" si="10"/>
        <v>0.003</v>
      </c>
    </row>
    <row r="45" spans="1:11" s="41" customFormat="1" ht="21.75" customHeight="1">
      <c r="A45" s="59"/>
      <c r="B45" s="42" t="s">
        <v>52</v>
      </c>
      <c r="C45" s="38">
        <f>81000+350+750-11765</f>
        <v>70335</v>
      </c>
      <c r="D45" s="38">
        <f>1250+1100+250</f>
        <v>2600</v>
      </c>
      <c r="E45" s="39">
        <f t="shared" si="6"/>
        <v>72935</v>
      </c>
      <c r="F45" s="40">
        <f>21618+122+304</f>
        <v>22044</v>
      </c>
      <c r="G45" s="40">
        <f>4+4232+1040</f>
        <v>5276</v>
      </c>
      <c r="H45" s="39">
        <f t="shared" si="9"/>
        <v>27320</v>
      </c>
      <c r="I45" s="25">
        <f t="shared" si="8"/>
        <v>0.375</v>
      </c>
      <c r="J45" s="25">
        <f t="shared" si="11"/>
        <v>0.051</v>
      </c>
      <c r="K45" s="25">
        <f t="shared" si="10"/>
        <v>0</v>
      </c>
    </row>
    <row r="46" spans="1:11" s="41" customFormat="1" ht="15.75" customHeight="1">
      <c r="A46" s="36"/>
      <c r="B46" s="37" t="s">
        <v>53</v>
      </c>
      <c r="C46" s="38">
        <f>3300000+500000+100000</f>
        <v>3900000</v>
      </c>
      <c r="D46" s="38"/>
      <c r="E46" s="39">
        <f t="shared" si="6"/>
        <v>3900000</v>
      </c>
      <c r="F46" s="40">
        <v>3168220</v>
      </c>
      <c r="G46" s="40"/>
      <c r="H46" s="39">
        <f t="shared" si="9"/>
        <v>3168220</v>
      </c>
      <c r="I46" s="25">
        <f t="shared" si="8"/>
        <v>0.812</v>
      </c>
      <c r="J46" s="25">
        <f t="shared" si="11"/>
        <v>3.25</v>
      </c>
      <c r="K46" s="25">
        <f t="shared" si="10"/>
        <v>0.01</v>
      </c>
    </row>
    <row r="47" spans="1:11" s="41" customFormat="1" ht="21.75" customHeight="1">
      <c r="A47" s="60"/>
      <c r="B47" s="61" t="s">
        <v>54</v>
      </c>
      <c r="C47" s="38"/>
      <c r="D47" s="38">
        <v>4200000</v>
      </c>
      <c r="E47" s="39">
        <f t="shared" si="6"/>
        <v>4200000</v>
      </c>
      <c r="F47" s="40"/>
      <c r="G47" s="40">
        <v>3295847</v>
      </c>
      <c r="H47" s="39">
        <f t="shared" si="9"/>
        <v>3295847</v>
      </c>
      <c r="I47" s="25">
        <f t="shared" si="8"/>
        <v>0.785</v>
      </c>
      <c r="J47" s="25">
        <f t="shared" si="11"/>
        <v>120.639</v>
      </c>
      <c r="K47" s="25">
        <f t="shared" si="10"/>
        <v>0.01</v>
      </c>
    </row>
    <row r="48" spans="1:11" s="41" customFormat="1" ht="15" customHeight="1">
      <c r="A48" s="36"/>
      <c r="B48" s="42" t="s">
        <v>55</v>
      </c>
      <c r="C48" s="38">
        <v>100000</v>
      </c>
      <c r="D48" s="38"/>
      <c r="E48" s="39">
        <f t="shared" si="6"/>
        <v>100000</v>
      </c>
      <c r="F48" s="40">
        <v>30225</v>
      </c>
      <c r="G48" s="40"/>
      <c r="H48" s="39">
        <f t="shared" si="9"/>
        <v>30225</v>
      </c>
      <c r="I48" s="25">
        <f t="shared" si="8"/>
        <v>0.302</v>
      </c>
      <c r="J48" s="25">
        <f t="shared" si="11"/>
        <v>0.01</v>
      </c>
      <c r="K48" s="25">
        <f t="shared" si="10"/>
        <v>0</v>
      </c>
    </row>
    <row r="49" spans="1:12" s="62" customFormat="1" ht="15" customHeight="1">
      <c r="A49" s="60"/>
      <c r="B49" s="61" t="s">
        <v>56</v>
      </c>
      <c r="C49" s="38">
        <v>700000</v>
      </c>
      <c r="D49" s="38"/>
      <c r="E49" s="39">
        <f t="shared" si="6"/>
        <v>700000</v>
      </c>
      <c r="F49" s="40">
        <v>967816</v>
      </c>
      <c r="G49" s="40">
        <v>204</v>
      </c>
      <c r="H49" s="39">
        <f t="shared" si="9"/>
        <v>968020</v>
      </c>
      <c r="I49" s="25">
        <f t="shared" si="8"/>
        <v>1.383</v>
      </c>
      <c r="J49" s="25">
        <f t="shared" si="11"/>
        <v>0.294</v>
      </c>
      <c r="K49" s="25">
        <f t="shared" si="10"/>
        <v>0.003</v>
      </c>
      <c r="L49" s="62" t="s">
        <v>57</v>
      </c>
    </row>
    <row r="50" spans="1:11" s="41" customFormat="1" ht="15" customHeight="1">
      <c r="A50" s="36"/>
      <c r="B50" s="42" t="s">
        <v>58</v>
      </c>
      <c r="C50" s="38">
        <v>100000</v>
      </c>
      <c r="D50" s="38"/>
      <c r="E50" s="39">
        <f t="shared" si="6"/>
        <v>100000</v>
      </c>
      <c r="F50" s="40">
        <v>88274</v>
      </c>
      <c r="G50" s="40"/>
      <c r="H50" s="39">
        <f t="shared" si="9"/>
        <v>88274</v>
      </c>
      <c r="I50" s="25">
        <f t="shared" si="8"/>
        <v>0.883</v>
      </c>
      <c r="J50" s="25">
        <f t="shared" si="11"/>
        <v>2.921</v>
      </c>
      <c r="K50" s="25">
        <f t="shared" si="10"/>
        <v>0</v>
      </c>
    </row>
    <row r="51" spans="1:11" s="41" customFormat="1" ht="13.5" customHeight="1">
      <c r="A51" s="36"/>
      <c r="B51" s="42" t="s">
        <v>59</v>
      </c>
      <c r="C51" s="38">
        <f>SUM(C52:C58)</f>
        <v>1659091</v>
      </c>
      <c r="D51" s="38">
        <f>SUM(D52:D58)</f>
        <v>1674050</v>
      </c>
      <c r="E51" s="39">
        <f t="shared" si="6"/>
        <v>3333141</v>
      </c>
      <c r="F51" s="40">
        <f>SUM(F52:F58)</f>
        <v>2375311</v>
      </c>
      <c r="G51" s="40">
        <f>SUM(G52:G58)</f>
        <v>1775544</v>
      </c>
      <c r="H51" s="39">
        <f t="shared" si="9"/>
        <v>4150855</v>
      </c>
      <c r="I51" s="25">
        <f t="shared" si="8"/>
        <v>1.245</v>
      </c>
      <c r="J51" s="25">
        <f t="shared" si="11"/>
        <v>4.288</v>
      </c>
      <c r="K51" s="25">
        <f t="shared" si="10"/>
        <v>0.013</v>
      </c>
    </row>
    <row r="52" spans="1:11" s="49" customFormat="1" ht="12.75" customHeight="1">
      <c r="A52" s="58"/>
      <c r="B52" s="44" t="s">
        <v>60</v>
      </c>
      <c r="C52" s="45">
        <v>50000</v>
      </c>
      <c r="D52" s="45"/>
      <c r="E52" s="46">
        <f t="shared" si="6"/>
        <v>50000</v>
      </c>
      <c r="F52" s="47">
        <v>28964</v>
      </c>
      <c r="G52" s="47"/>
      <c r="H52" s="46">
        <f t="shared" si="9"/>
        <v>28964</v>
      </c>
      <c r="I52" s="48">
        <f t="shared" si="8"/>
        <v>0.579</v>
      </c>
      <c r="J52" s="48">
        <f t="shared" si="11"/>
        <v>0.328</v>
      </c>
      <c r="K52" s="48">
        <f t="shared" si="10"/>
        <v>0</v>
      </c>
    </row>
    <row r="53" spans="1:11" s="49" customFormat="1" ht="22.5" hidden="1">
      <c r="A53" s="43"/>
      <c r="B53" s="44" t="s">
        <v>61</v>
      </c>
      <c r="C53" s="45"/>
      <c r="D53" s="45"/>
      <c r="E53" s="46">
        <f aca="true" t="shared" si="12" ref="E53:E84">SUM(C53:D53)</f>
        <v>0</v>
      </c>
      <c r="F53" s="47"/>
      <c r="G53" s="47"/>
      <c r="H53" s="46">
        <f t="shared" si="9"/>
        <v>0</v>
      </c>
      <c r="I53" s="48" t="e">
        <f t="shared" si="8"/>
        <v>#DIV/0!</v>
      </c>
      <c r="J53" s="48">
        <f t="shared" si="11"/>
        <v>0</v>
      </c>
      <c r="K53" s="48">
        <f t="shared" si="10"/>
        <v>0</v>
      </c>
    </row>
    <row r="54" spans="1:11" s="49" customFormat="1" ht="22.5" hidden="1">
      <c r="A54" s="43"/>
      <c r="B54" s="44" t="s">
        <v>62</v>
      </c>
      <c r="C54" s="45"/>
      <c r="D54" s="45"/>
      <c r="E54" s="46">
        <f t="shared" si="12"/>
        <v>0</v>
      </c>
      <c r="F54" s="47"/>
      <c r="G54" s="47"/>
      <c r="H54" s="46">
        <f t="shared" si="9"/>
        <v>0</v>
      </c>
      <c r="I54" s="48" t="e">
        <f t="shared" si="8"/>
        <v>#DIV/0!</v>
      </c>
      <c r="J54" s="48">
        <f t="shared" si="11"/>
        <v>0</v>
      </c>
      <c r="K54" s="48">
        <f t="shared" si="10"/>
        <v>0</v>
      </c>
    </row>
    <row r="55" spans="1:11" s="49" customFormat="1" ht="12" customHeight="1" hidden="1">
      <c r="A55" s="43"/>
      <c r="B55" s="44" t="s">
        <v>63</v>
      </c>
      <c r="C55" s="45"/>
      <c r="D55" s="45"/>
      <c r="E55" s="46">
        <f t="shared" si="12"/>
        <v>0</v>
      </c>
      <c r="F55" s="47"/>
      <c r="G55" s="47"/>
      <c r="H55" s="46">
        <f t="shared" si="9"/>
        <v>0</v>
      </c>
      <c r="I55" s="48" t="e">
        <f t="shared" si="8"/>
        <v>#DIV/0!</v>
      </c>
      <c r="J55" s="48" t="e">
        <f t="shared" si="11"/>
        <v>#DIV/0!</v>
      </c>
      <c r="K55" s="48">
        <f t="shared" si="10"/>
        <v>0</v>
      </c>
    </row>
    <row r="56" spans="1:11" s="49" customFormat="1" ht="27" customHeight="1" hidden="1">
      <c r="A56" s="43"/>
      <c r="B56" s="44" t="s">
        <v>62</v>
      </c>
      <c r="C56" s="45"/>
      <c r="D56" s="45"/>
      <c r="E56" s="46">
        <f t="shared" si="12"/>
        <v>0</v>
      </c>
      <c r="F56" s="47"/>
      <c r="G56" s="47"/>
      <c r="H56" s="46">
        <f t="shared" si="9"/>
        <v>0</v>
      </c>
      <c r="I56" s="48" t="e">
        <f t="shared" si="8"/>
        <v>#DIV/0!</v>
      </c>
      <c r="J56" s="48" t="e">
        <f t="shared" si="11"/>
        <v>#DIV/0!</v>
      </c>
      <c r="K56" s="48">
        <f t="shared" si="10"/>
        <v>0</v>
      </c>
    </row>
    <row r="57" spans="1:11" s="49" customFormat="1" ht="13.5" customHeight="1">
      <c r="A57" s="43"/>
      <c r="B57" s="44" t="s">
        <v>64</v>
      </c>
      <c r="C57" s="45">
        <f>53180+18332+281204+58730+258037+3859+9</f>
        <v>673351</v>
      </c>
      <c r="D57" s="45">
        <f>417392+7062+406206+118914+38671+3581+66420+155789+151989</f>
        <v>1366024</v>
      </c>
      <c r="E57" s="46">
        <f t="shared" si="12"/>
        <v>2039375</v>
      </c>
      <c r="F57" s="47">
        <f>53180+281233+58730+261195+3859+18332</f>
        <v>676529</v>
      </c>
      <c r="G57" s="47">
        <f>417392+7062+406206+118913+38671+3581+66420+155789+152095</f>
        <v>1366129</v>
      </c>
      <c r="H57" s="46">
        <f t="shared" si="9"/>
        <v>2042658</v>
      </c>
      <c r="I57" s="48">
        <f t="shared" si="8"/>
        <v>1.002</v>
      </c>
      <c r="J57" s="48" t="e">
        <f t="shared" si="11"/>
        <v>#DIV/0!</v>
      </c>
      <c r="K57" s="48">
        <f t="shared" si="10"/>
        <v>0.006</v>
      </c>
    </row>
    <row r="58" spans="1:11" s="49" customFormat="1" ht="15.75" customHeight="1">
      <c r="A58" s="43"/>
      <c r="B58" s="44" t="s">
        <v>65</v>
      </c>
      <c r="C58" s="45">
        <f>389871+44865+2058386+5360-262615+2351+72916+6770-38780+660+21392+7200-1433542+154+6506+19+1924+10725+20260+21318</f>
        <v>935740</v>
      </c>
      <c r="D58" s="45">
        <f>77736+85276-100+23-4578+2236+112413+4924+12374-10350+519+3284+2-150-3375+213-6080+7-314+327+1200-14-360-1534+309+29400+4182+234+222</f>
        <v>308026</v>
      </c>
      <c r="E58" s="46">
        <f t="shared" si="12"/>
        <v>1243766</v>
      </c>
      <c r="F58" s="47">
        <f>7985+53057+70750+2487+23363+421+170+228+190+48428+50+773+20170+88+40047+123850+53870+77803+8535+7746+111461+104+5885+9916+21593+8203+80+908+325+92+26967+1354+39089+495+1225+2395+26325+4736+178+3362+520+844+12850+1110+693+6+4+641702+235+7151+5360+19+1923+143+118+25884+10456+5+464+3348+163+6595+6554+138967</f>
        <v>1669818</v>
      </c>
      <c r="G58" s="47">
        <f>4655+105+331+10969+2337+1182+13609+112234+4994+43033+15649+13192+3284+5444+996+3276+12875+797+40+2160+1325+646+1058+275+3932+2920+7+26907+2683+1200+1+1251+32+978+60394+1397+29400+3+139+28+13+19887+2423+299+1055</f>
        <v>409415</v>
      </c>
      <c r="H58" s="46">
        <f t="shared" si="9"/>
        <v>2079233</v>
      </c>
      <c r="I58" s="48">
        <f t="shared" si="8"/>
        <v>1.672</v>
      </c>
      <c r="J58" s="48" t="e">
        <f t="shared" si="11"/>
        <v>#DIV/0!</v>
      </c>
      <c r="K58" s="48">
        <f t="shared" si="10"/>
        <v>0.006</v>
      </c>
    </row>
    <row r="59" spans="1:11" s="35" customFormat="1" ht="31.5" customHeight="1">
      <c r="A59" s="54">
        <v>5</v>
      </c>
      <c r="B59" s="57" t="s">
        <v>66</v>
      </c>
      <c r="C59" s="31">
        <f>SUM(C60:C77)</f>
        <v>10480834</v>
      </c>
      <c r="D59" s="31">
        <f>SUM(D60:D77)</f>
        <v>11741837</v>
      </c>
      <c r="E59" s="22">
        <f t="shared" si="12"/>
        <v>22222671</v>
      </c>
      <c r="F59" s="31">
        <f>SUM(F60:F77)</f>
        <v>3579150</v>
      </c>
      <c r="G59" s="31">
        <f>SUM(G60:G77)</f>
        <v>557673</v>
      </c>
      <c r="H59" s="22">
        <f t="shared" si="9"/>
        <v>4136823</v>
      </c>
      <c r="I59" s="25">
        <f t="shared" si="8"/>
        <v>0.186</v>
      </c>
      <c r="J59" s="25">
        <f>H59/H7</f>
        <v>0.019</v>
      </c>
      <c r="K59" s="25">
        <f t="shared" si="10"/>
        <v>0.013</v>
      </c>
    </row>
    <row r="60" spans="1:12" s="65" customFormat="1" ht="12.75" customHeight="1">
      <c r="A60" s="60"/>
      <c r="B60" s="63" t="s">
        <v>67</v>
      </c>
      <c r="C60" s="38"/>
      <c r="D60" s="64">
        <f>500000</f>
        <v>500000</v>
      </c>
      <c r="E60" s="39">
        <f t="shared" si="12"/>
        <v>500000</v>
      </c>
      <c r="F60" s="40">
        <v>26340</v>
      </c>
      <c r="G60" s="40">
        <f>39637</f>
        <v>39637</v>
      </c>
      <c r="H60" s="39">
        <f t="shared" si="9"/>
        <v>65977</v>
      </c>
      <c r="I60" s="25">
        <f t="shared" si="8"/>
        <v>0.132</v>
      </c>
      <c r="J60" s="25">
        <f aca="true" t="shared" si="13" ref="J60:J77">H60/$H$59</f>
        <v>0.016</v>
      </c>
      <c r="K60" s="25">
        <f t="shared" si="10"/>
        <v>0</v>
      </c>
      <c r="L60" s="65" t="s">
        <v>68</v>
      </c>
    </row>
    <row r="61" spans="1:11" ht="13.5" customHeight="1">
      <c r="A61" s="60"/>
      <c r="B61" s="66" t="s">
        <v>69</v>
      </c>
      <c r="C61" s="38"/>
      <c r="D61" s="38">
        <v>12300</v>
      </c>
      <c r="E61" s="39">
        <f t="shared" si="12"/>
        <v>12300</v>
      </c>
      <c r="F61" s="40"/>
      <c r="G61" s="40">
        <v>6053</v>
      </c>
      <c r="H61" s="39">
        <f t="shared" si="9"/>
        <v>6053</v>
      </c>
      <c r="I61" s="25">
        <f t="shared" si="8"/>
        <v>0.492</v>
      </c>
      <c r="J61" s="25">
        <f t="shared" si="13"/>
        <v>0.001</v>
      </c>
      <c r="K61" s="25">
        <f t="shared" si="10"/>
        <v>0</v>
      </c>
    </row>
    <row r="62" spans="1:12" s="19" customFormat="1" ht="24" customHeight="1">
      <c r="A62" s="60"/>
      <c r="B62" s="68" t="s">
        <v>70</v>
      </c>
      <c r="C62" s="38"/>
      <c r="D62" s="64">
        <f>144478+3802</f>
        <v>148280</v>
      </c>
      <c r="E62" s="39">
        <f t="shared" si="12"/>
        <v>148280</v>
      </c>
      <c r="F62" s="40"/>
      <c r="G62" s="40">
        <v>74182</v>
      </c>
      <c r="H62" s="39">
        <f t="shared" si="9"/>
        <v>74182</v>
      </c>
      <c r="I62" s="25">
        <f t="shared" si="8"/>
        <v>0.5</v>
      </c>
      <c r="J62" s="25">
        <f t="shared" si="13"/>
        <v>0.018</v>
      </c>
      <c r="K62" s="25">
        <f t="shared" si="10"/>
        <v>0</v>
      </c>
      <c r="L62" s="19">
        <v>85333</v>
      </c>
    </row>
    <row r="63" spans="1:12" s="19" customFormat="1" ht="12" customHeight="1">
      <c r="A63" s="60"/>
      <c r="B63" s="68" t="s">
        <v>71</v>
      </c>
      <c r="C63" s="38"/>
      <c r="D63" s="64">
        <f>46700+30478</f>
        <v>77178</v>
      </c>
      <c r="E63" s="39">
        <f t="shared" si="12"/>
        <v>77178</v>
      </c>
      <c r="F63" s="40"/>
      <c r="G63" s="40">
        <v>42385</v>
      </c>
      <c r="H63" s="39">
        <f t="shared" si="9"/>
        <v>42385</v>
      </c>
      <c r="I63" s="25">
        <f t="shared" si="8"/>
        <v>0.549</v>
      </c>
      <c r="J63" s="25">
        <f t="shared" si="13"/>
        <v>0.01</v>
      </c>
      <c r="K63" s="25">
        <f t="shared" si="10"/>
        <v>0</v>
      </c>
      <c r="L63" s="19" t="s">
        <v>72</v>
      </c>
    </row>
    <row r="64" spans="1:12" s="19" customFormat="1" ht="39.75" customHeight="1">
      <c r="A64" s="60"/>
      <c r="B64" s="68" t="s">
        <v>73</v>
      </c>
      <c r="C64" s="38"/>
      <c r="D64" s="64">
        <v>44840</v>
      </c>
      <c r="E64" s="39">
        <f t="shared" si="12"/>
        <v>44840</v>
      </c>
      <c r="F64" s="40"/>
      <c r="G64" s="40">
        <v>28556</v>
      </c>
      <c r="H64" s="39">
        <f t="shared" si="9"/>
        <v>28556</v>
      </c>
      <c r="I64" s="25">
        <f t="shared" si="8"/>
        <v>0.637</v>
      </c>
      <c r="J64" s="25">
        <f t="shared" si="13"/>
        <v>0.007</v>
      </c>
      <c r="K64" s="25">
        <f t="shared" si="10"/>
        <v>0</v>
      </c>
      <c r="L64" s="19">
        <v>85321</v>
      </c>
    </row>
    <row r="65" spans="1:12" s="19" customFormat="1" ht="13.5" customHeight="1">
      <c r="A65" s="60"/>
      <c r="B65" s="68" t="s">
        <v>74</v>
      </c>
      <c r="C65" s="38"/>
      <c r="D65" s="64">
        <f>100000+103660</f>
        <v>203660</v>
      </c>
      <c r="E65" s="39">
        <f t="shared" si="12"/>
        <v>203660</v>
      </c>
      <c r="F65" s="40"/>
      <c r="G65" s="40">
        <v>47568</v>
      </c>
      <c r="H65" s="39">
        <f t="shared" si="9"/>
        <v>47568</v>
      </c>
      <c r="I65" s="25">
        <f t="shared" si="8"/>
        <v>0.234</v>
      </c>
      <c r="J65" s="25">
        <f t="shared" si="13"/>
        <v>0.011</v>
      </c>
      <c r="K65" s="25">
        <f t="shared" si="10"/>
        <v>0</v>
      </c>
      <c r="L65" s="19">
        <v>85201.23</v>
      </c>
    </row>
    <row r="66" spans="1:12" s="41" customFormat="1" ht="33.75">
      <c r="A66" s="59"/>
      <c r="B66" s="37" t="s">
        <v>75</v>
      </c>
      <c r="C66" s="38">
        <v>3403217</v>
      </c>
      <c r="D66" s="38"/>
      <c r="E66" s="39">
        <f t="shared" si="12"/>
        <v>3403217</v>
      </c>
      <c r="F66" s="40">
        <v>1414694</v>
      </c>
      <c r="G66" s="40"/>
      <c r="H66" s="39">
        <f t="shared" si="9"/>
        <v>1414694</v>
      </c>
      <c r="I66" s="25">
        <f t="shared" si="8"/>
        <v>0.416</v>
      </c>
      <c r="J66" s="25">
        <f t="shared" si="13"/>
        <v>0.342</v>
      </c>
      <c r="K66" s="25">
        <f t="shared" si="10"/>
        <v>0.004</v>
      </c>
      <c r="L66" s="41">
        <v>60004.231</v>
      </c>
    </row>
    <row r="67" spans="1:11" s="41" customFormat="1" ht="22.5">
      <c r="A67" s="59"/>
      <c r="B67" s="37" t="s">
        <v>76</v>
      </c>
      <c r="C67" s="38"/>
      <c r="D67" s="38">
        <v>10250000</v>
      </c>
      <c r="E67" s="39">
        <f t="shared" si="12"/>
        <v>10250000</v>
      </c>
      <c r="F67" s="40">
        <v>0</v>
      </c>
      <c r="G67" s="40"/>
      <c r="H67" s="39">
        <f t="shared" si="9"/>
        <v>0</v>
      </c>
      <c r="I67" s="25">
        <f t="shared" si="8"/>
        <v>0</v>
      </c>
      <c r="J67" s="25">
        <f t="shared" si="13"/>
        <v>0</v>
      </c>
      <c r="K67" s="25">
        <f t="shared" si="10"/>
        <v>0</v>
      </c>
    </row>
    <row r="68" spans="1:12" s="19" customFormat="1" ht="15" customHeight="1">
      <c r="A68" s="60"/>
      <c r="B68" s="68" t="s">
        <v>77</v>
      </c>
      <c r="C68" s="38"/>
      <c r="D68" s="64"/>
      <c r="E68" s="39">
        <f t="shared" si="12"/>
        <v>0</v>
      </c>
      <c r="F68" s="40">
        <v>24600</v>
      </c>
      <c r="G68" s="40"/>
      <c r="H68" s="39">
        <f t="shared" si="9"/>
        <v>24600</v>
      </c>
      <c r="I68" s="25"/>
      <c r="J68" s="25">
        <f t="shared" si="13"/>
        <v>0.006</v>
      </c>
      <c r="K68" s="25">
        <f t="shared" si="10"/>
        <v>0</v>
      </c>
      <c r="L68" s="19" t="s">
        <v>78</v>
      </c>
    </row>
    <row r="69" spans="1:20" s="19" customFormat="1" ht="24" customHeight="1">
      <c r="A69" s="60"/>
      <c r="B69" s="68" t="s">
        <v>79</v>
      </c>
      <c r="C69" s="38">
        <v>405300</v>
      </c>
      <c r="D69" s="64"/>
      <c r="E69" s="39">
        <f t="shared" si="12"/>
        <v>405300</v>
      </c>
      <c r="F69" s="64"/>
      <c r="G69" s="64"/>
      <c r="H69" s="39">
        <f t="shared" si="9"/>
        <v>0</v>
      </c>
      <c r="I69" s="25">
        <f>H69/E69</f>
        <v>0</v>
      </c>
      <c r="J69" s="25">
        <f t="shared" si="13"/>
        <v>0</v>
      </c>
      <c r="K69" s="25">
        <f t="shared" si="10"/>
        <v>0</v>
      </c>
      <c r="L69" s="69"/>
      <c r="M69" s="64">
        <v>135100</v>
      </c>
      <c r="N69" s="64">
        <v>135100</v>
      </c>
      <c r="O69" s="64">
        <v>135100</v>
      </c>
      <c r="P69" s="64"/>
      <c r="Q69" s="64"/>
      <c r="R69" s="64"/>
      <c r="S69" s="70">
        <f>SUM(F69:R69)</f>
        <v>405300</v>
      </c>
      <c r="T69" s="71">
        <f>S69-E69</f>
        <v>0</v>
      </c>
    </row>
    <row r="70" spans="1:12" s="41" customFormat="1" ht="24" customHeight="1">
      <c r="A70" s="59"/>
      <c r="B70" s="37" t="s">
        <v>80</v>
      </c>
      <c r="C70" s="38">
        <f>1741588-300000</f>
        <v>1441588</v>
      </c>
      <c r="D70" s="38"/>
      <c r="E70" s="39">
        <f t="shared" si="12"/>
        <v>1441588</v>
      </c>
      <c r="F70" s="40">
        <v>1441588</v>
      </c>
      <c r="G70" s="40"/>
      <c r="H70" s="39">
        <f t="shared" si="9"/>
        <v>1441588</v>
      </c>
      <c r="I70" s="25">
        <f>H70/E70</f>
        <v>1</v>
      </c>
      <c r="J70" s="25">
        <f t="shared" si="13"/>
        <v>0.348</v>
      </c>
      <c r="K70" s="25">
        <f t="shared" si="10"/>
        <v>0.004</v>
      </c>
      <c r="L70" s="41" t="s">
        <v>81</v>
      </c>
    </row>
    <row r="71" spans="1:11" s="41" customFormat="1" ht="14.25" customHeight="1" hidden="1">
      <c r="A71" s="59"/>
      <c r="B71" s="37" t="s">
        <v>82</v>
      </c>
      <c r="C71" s="38"/>
      <c r="D71" s="38"/>
      <c r="E71" s="39">
        <f t="shared" si="12"/>
        <v>0</v>
      </c>
      <c r="F71" s="40"/>
      <c r="G71" s="40"/>
      <c r="H71" s="39">
        <f aca="true" t="shared" si="14" ref="H71:H102">SUM(F71:G71)</f>
        <v>0</v>
      </c>
      <c r="I71" s="25" t="e">
        <f>H71/E71</f>
        <v>#DIV/0!</v>
      </c>
      <c r="J71" s="25">
        <f t="shared" si="13"/>
        <v>0</v>
      </c>
      <c r="K71" s="25">
        <f aca="true" t="shared" si="15" ref="K71:K102">H71/$H$6</f>
        <v>0</v>
      </c>
    </row>
    <row r="72" spans="1:12" s="41" customFormat="1" ht="24.75" customHeight="1">
      <c r="A72" s="59"/>
      <c r="B72" s="68" t="s">
        <v>83</v>
      </c>
      <c r="C72" s="38"/>
      <c r="D72" s="38"/>
      <c r="E72" s="39">
        <f t="shared" si="12"/>
        <v>0</v>
      </c>
      <c r="F72" s="40">
        <v>181720</v>
      </c>
      <c r="G72" s="40"/>
      <c r="H72" s="39">
        <f t="shared" si="14"/>
        <v>181720</v>
      </c>
      <c r="I72" s="25"/>
      <c r="J72" s="25">
        <f t="shared" si="13"/>
        <v>0.044</v>
      </c>
      <c r="K72" s="25">
        <f t="shared" si="15"/>
        <v>0.001</v>
      </c>
      <c r="L72" s="41" t="s">
        <v>84</v>
      </c>
    </row>
    <row r="73" spans="1:11" ht="56.25">
      <c r="A73" s="60"/>
      <c r="B73" s="37" t="s">
        <v>85</v>
      </c>
      <c r="C73" s="38">
        <f>13000+111920+144100</f>
        <v>269020</v>
      </c>
      <c r="D73" s="38">
        <f>186234+319345</f>
        <v>505579</v>
      </c>
      <c r="E73" s="39">
        <f t="shared" si="12"/>
        <v>774599</v>
      </c>
      <c r="F73" s="40">
        <f>267+144100-80</f>
        <v>144287</v>
      </c>
      <c r="G73" s="40">
        <f>341+94+319464-608-94+95</f>
        <v>319292</v>
      </c>
      <c r="H73" s="39">
        <f t="shared" si="14"/>
        <v>463579</v>
      </c>
      <c r="I73" s="25">
        <f>H73/E73</f>
        <v>0.598</v>
      </c>
      <c r="J73" s="25">
        <f t="shared" si="13"/>
        <v>0.112</v>
      </c>
      <c r="K73" s="25">
        <f t="shared" si="15"/>
        <v>0.001</v>
      </c>
    </row>
    <row r="74" spans="1:11" s="41" customFormat="1" ht="23.25" customHeight="1" hidden="1">
      <c r="A74" s="59"/>
      <c r="B74" s="68" t="s">
        <v>86</v>
      </c>
      <c r="C74" s="38"/>
      <c r="D74" s="38"/>
      <c r="E74" s="39">
        <f t="shared" si="12"/>
        <v>0</v>
      </c>
      <c r="F74" s="40"/>
      <c r="G74" s="40"/>
      <c r="H74" s="39">
        <f t="shared" si="14"/>
        <v>0</v>
      </c>
      <c r="I74" s="25" t="e">
        <f>H74/E74</f>
        <v>#DIV/0!</v>
      </c>
      <c r="J74" s="17">
        <f t="shared" si="13"/>
        <v>0</v>
      </c>
      <c r="K74" s="17">
        <f t="shared" si="15"/>
        <v>0</v>
      </c>
    </row>
    <row r="75" spans="1:11" s="41" customFormat="1" ht="27" customHeight="1">
      <c r="A75" s="59"/>
      <c r="B75" s="68" t="s">
        <v>87</v>
      </c>
      <c r="C75" s="38">
        <v>161709</v>
      </c>
      <c r="D75" s="38"/>
      <c r="E75" s="39">
        <f t="shared" si="12"/>
        <v>161709</v>
      </c>
      <c r="F75" s="40">
        <v>168325</v>
      </c>
      <c r="G75" s="40"/>
      <c r="H75" s="39">
        <f t="shared" si="14"/>
        <v>168325</v>
      </c>
      <c r="I75" s="25">
        <f>H75/E75</f>
        <v>1.041</v>
      </c>
      <c r="J75" s="25">
        <f t="shared" si="13"/>
        <v>0.041</v>
      </c>
      <c r="K75" s="25">
        <f t="shared" si="15"/>
        <v>0.001</v>
      </c>
    </row>
    <row r="76" spans="1:20" s="41" customFormat="1" ht="33.75">
      <c r="A76" s="59"/>
      <c r="B76" s="37" t="s">
        <v>88</v>
      </c>
      <c r="C76" s="38">
        <v>4800000</v>
      </c>
      <c r="D76" s="38"/>
      <c r="E76" s="39">
        <f t="shared" si="12"/>
        <v>4800000</v>
      </c>
      <c r="F76" s="38"/>
      <c r="G76" s="38"/>
      <c r="H76" s="39">
        <f t="shared" si="14"/>
        <v>0</v>
      </c>
      <c r="I76" s="25">
        <f>H76/E76</f>
        <v>0</v>
      </c>
      <c r="J76" s="25">
        <f t="shared" si="13"/>
        <v>0</v>
      </c>
      <c r="K76" s="25">
        <f t="shared" si="15"/>
        <v>0</v>
      </c>
      <c r="L76" s="72"/>
      <c r="M76" s="38">
        <v>800000</v>
      </c>
      <c r="N76" s="38">
        <v>800000</v>
      </c>
      <c r="O76" s="38">
        <v>800000</v>
      </c>
      <c r="P76" s="38">
        <v>800000</v>
      </c>
      <c r="Q76" s="38">
        <v>800000</v>
      </c>
      <c r="R76" s="38">
        <v>800000</v>
      </c>
      <c r="S76" s="70">
        <f>SUM(F76:R76)</f>
        <v>4800000</v>
      </c>
      <c r="T76" s="73">
        <f>S76-E76</f>
        <v>0</v>
      </c>
    </row>
    <row r="77" spans="1:11" s="41" customFormat="1" ht="15" customHeight="1">
      <c r="A77" s="59"/>
      <c r="B77" s="37" t="s">
        <v>89</v>
      </c>
      <c r="C77" s="38"/>
      <c r="D77" s="38"/>
      <c r="E77" s="39">
        <f t="shared" si="12"/>
        <v>0</v>
      </c>
      <c r="F77" s="40">
        <v>177596</v>
      </c>
      <c r="G77" s="40"/>
      <c r="H77" s="39">
        <f t="shared" si="14"/>
        <v>177596</v>
      </c>
      <c r="I77" s="25"/>
      <c r="J77" s="25">
        <f t="shared" si="13"/>
        <v>0.043</v>
      </c>
      <c r="K77" s="25">
        <f t="shared" si="15"/>
        <v>0.001</v>
      </c>
    </row>
    <row r="78" spans="1:12" s="35" customFormat="1" ht="21" customHeight="1">
      <c r="A78" s="54">
        <v>6</v>
      </c>
      <c r="B78" s="57" t="s">
        <v>90</v>
      </c>
      <c r="C78" s="31">
        <f>SUM(C79:C80)</f>
        <v>149538812</v>
      </c>
      <c r="D78" s="31">
        <f>SUM(D79:D80)</f>
        <v>42573226</v>
      </c>
      <c r="E78" s="22">
        <f t="shared" si="12"/>
        <v>192112038</v>
      </c>
      <c r="F78" s="22">
        <f>SUM(F79:F80)</f>
        <v>63589119</v>
      </c>
      <c r="G78" s="22">
        <f>SUM(G79:G80)</f>
        <v>18003312</v>
      </c>
      <c r="H78" s="22">
        <f t="shared" si="14"/>
        <v>81592431</v>
      </c>
      <c r="I78" s="25">
        <f aca="true" t="shared" si="16" ref="I78:I113">H78/E78</f>
        <v>0.425</v>
      </c>
      <c r="J78" s="25">
        <f>H78/H7</f>
        <v>0.381</v>
      </c>
      <c r="K78" s="25">
        <f t="shared" si="15"/>
        <v>0.254</v>
      </c>
      <c r="L78" s="25">
        <f>H78/H7</f>
        <v>0.381</v>
      </c>
    </row>
    <row r="79" spans="1:11" ht="15" customHeight="1">
      <c r="A79" s="60"/>
      <c r="B79" s="61" t="s">
        <v>91</v>
      </c>
      <c r="C79" s="38">
        <f>137843412+923116</f>
        <v>138766528</v>
      </c>
      <c r="D79" s="38">
        <f>39676916+265710</f>
        <v>39942626</v>
      </c>
      <c r="E79" s="39">
        <f t="shared" si="12"/>
        <v>178709154</v>
      </c>
      <c r="F79" s="40">
        <v>59378316</v>
      </c>
      <c r="G79" s="40">
        <v>17091588</v>
      </c>
      <c r="H79" s="39">
        <f t="shared" si="14"/>
        <v>76469904</v>
      </c>
      <c r="I79" s="25">
        <f t="shared" si="16"/>
        <v>0.428</v>
      </c>
      <c r="J79" s="25">
        <f>H79/$H$78</f>
        <v>0.937</v>
      </c>
      <c r="K79" s="25">
        <f t="shared" si="15"/>
        <v>0.238</v>
      </c>
    </row>
    <row r="80" spans="1:11" ht="15" customHeight="1">
      <c r="A80" s="60"/>
      <c r="B80" s="61" t="s">
        <v>92</v>
      </c>
      <c r="C80" s="38">
        <f>8600000+2172284</f>
        <v>10772284</v>
      </c>
      <c r="D80" s="38">
        <f>2100000+530600</f>
        <v>2630600</v>
      </c>
      <c r="E80" s="39">
        <f t="shared" si="12"/>
        <v>13402884</v>
      </c>
      <c r="F80" s="40">
        <f>4210803</f>
        <v>4210803</v>
      </c>
      <c r="G80" s="40">
        <v>911724</v>
      </c>
      <c r="H80" s="39">
        <f t="shared" si="14"/>
        <v>5122527</v>
      </c>
      <c r="I80" s="25">
        <f t="shared" si="16"/>
        <v>0.382</v>
      </c>
      <c r="J80" s="25">
        <f>H80/$H$78</f>
        <v>0.063</v>
      </c>
      <c r="K80" s="25">
        <f t="shared" si="15"/>
        <v>0.016</v>
      </c>
    </row>
    <row r="81" spans="1:11" s="32" customFormat="1" ht="21" customHeight="1">
      <c r="A81" s="143" t="s">
        <v>93</v>
      </c>
      <c r="B81" s="143"/>
      <c r="C81" s="29">
        <f>SUM(C82:C85)</f>
        <v>68159054</v>
      </c>
      <c r="D81" s="29">
        <f>SUM(D82:D85)</f>
        <v>67409204</v>
      </c>
      <c r="E81" s="74">
        <f t="shared" si="12"/>
        <v>135568258</v>
      </c>
      <c r="F81" s="74">
        <f>SUM(F82:F85)</f>
        <v>41944032</v>
      </c>
      <c r="G81" s="74">
        <f>SUM(G82:G85)</f>
        <v>37412795</v>
      </c>
      <c r="H81" s="74">
        <f t="shared" si="14"/>
        <v>79356827</v>
      </c>
      <c r="I81" s="25">
        <f t="shared" si="16"/>
        <v>0.585</v>
      </c>
      <c r="J81" s="25">
        <f>H81/H6</f>
        <v>0.247</v>
      </c>
      <c r="K81" s="25">
        <f t="shared" si="15"/>
        <v>0.247</v>
      </c>
    </row>
    <row r="82" spans="1:11" s="62" customFormat="1" ht="15" customHeight="1">
      <c r="A82" s="60">
        <v>1</v>
      </c>
      <c r="B82" s="61" t="s">
        <v>94</v>
      </c>
      <c r="C82" s="38">
        <f>70446038-2286984</f>
        <v>68159054</v>
      </c>
      <c r="D82" s="38">
        <f>61525907-1221568</f>
        <v>60304339</v>
      </c>
      <c r="E82" s="39">
        <f t="shared" si="12"/>
        <v>128463393</v>
      </c>
      <c r="F82" s="40">
        <v>41944032</v>
      </c>
      <c r="G82" s="40">
        <v>37110362</v>
      </c>
      <c r="H82" s="39">
        <f t="shared" si="14"/>
        <v>79054394</v>
      </c>
      <c r="I82" s="25">
        <f t="shared" si="16"/>
        <v>0.615</v>
      </c>
      <c r="J82" s="25">
        <f>H82/$H$81</f>
        <v>0.996</v>
      </c>
      <c r="K82" s="25">
        <f t="shared" si="15"/>
        <v>0.246</v>
      </c>
    </row>
    <row r="83" spans="1:11" s="62" customFormat="1" ht="16.5" customHeight="1">
      <c r="A83" s="60">
        <v>2</v>
      </c>
      <c r="B83" s="61" t="s">
        <v>95</v>
      </c>
      <c r="C83" s="38">
        <v>0</v>
      </c>
      <c r="D83" s="38">
        <v>6500000</v>
      </c>
      <c r="E83" s="39">
        <f t="shared" si="12"/>
        <v>6500000</v>
      </c>
      <c r="F83" s="40"/>
      <c r="G83" s="40"/>
      <c r="H83" s="39">
        <f t="shared" si="14"/>
        <v>0</v>
      </c>
      <c r="I83" s="25">
        <f t="shared" si="16"/>
        <v>0</v>
      </c>
      <c r="J83" s="25">
        <f>H83/$H$81</f>
        <v>0</v>
      </c>
      <c r="K83" s="25">
        <f t="shared" si="15"/>
        <v>0</v>
      </c>
    </row>
    <row r="84" spans="1:11" s="62" customFormat="1" ht="15" customHeight="1" hidden="1">
      <c r="A84" s="60">
        <v>3</v>
      </c>
      <c r="B84" s="66" t="s">
        <v>96</v>
      </c>
      <c r="C84" s="38"/>
      <c r="D84" s="38"/>
      <c r="E84" s="39">
        <f t="shared" si="12"/>
        <v>0</v>
      </c>
      <c r="F84" s="40"/>
      <c r="G84" s="40"/>
      <c r="H84" s="39">
        <f t="shared" si="14"/>
        <v>0</v>
      </c>
      <c r="I84" s="25" t="e">
        <f t="shared" si="16"/>
        <v>#DIV/0!</v>
      </c>
      <c r="J84" s="17">
        <f>H84/$H$81</f>
        <v>0</v>
      </c>
      <c r="K84" s="17">
        <f t="shared" si="15"/>
        <v>0</v>
      </c>
    </row>
    <row r="85" spans="1:11" s="62" customFormat="1" ht="16.5" customHeight="1">
      <c r="A85" s="60">
        <v>3</v>
      </c>
      <c r="B85" s="66" t="s">
        <v>97</v>
      </c>
      <c r="C85" s="38"/>
      <c r="D85" s="38">
        <v>604865</v>
      </c>
      <c r="E85" s="39">
        <f aca="true" t="shared" si="17" ref="E85:E116">SUM(C85:D85)</f>
        <v>604865</v>
      </c>
      <c r="F85" s="40"/>
      <c r="G85" s="40">
        <v>302433</v>
      </c>
      <c r="H85" s="39">
        <f t="shared" si="14"/>
        <v>302433</v>
      </c>
      <c r="I85" s="25">
        <f t="shared" si="16"/>
        <v>0.5</v>
      </c>
      <c r="J85" s="25">
        <f>H85/$H$81</f>
        <v>0.004</v>
      </c>
      <c r="K85" s="25">
        <f t="shared" si="15"/>
        <v>0.001</v>
      </c>
    </row>
    <row r="86" spans="1:11" s="75" customFormat="1" ht="32.25" customHeight="1">
      <c r="A86" s="145" t="s">
        <v>98</v>
      </c>
      <c r="B86" s="145"/>
      <c r="C86" s="29">
        <f>SUM(C117,C113,C87)</f>
        <v>41431867</v>
      </c>
      <c r="D86" s="29">
        <f>SUM(D117,D113,D87)</f>
        <v>13145065</v>
      </c>
      <c r="E86" s="74">
        <f t="shared" si="17"/>
        <v>54576932</v>
      </c>
      <c r="F86" s="74">
        <f>SUM(F117,F113,F87)</f>
        <v>19714101</v>
      </c>
      <c r="G86" s="74">
        <f>SUM(G117,G113,G87)</f>
        <v>7548764</v>
      </c>
      <c r="H86" s="74">
        <f t="shared" si="14"/>
        <v>27262865</v>
      </c>
      <c r="I86" s="25">
        <f t="shared" si="16"/>
        <v>0.5</v>
      </c>
      <c r="J86" s="25">
        <f>H86/H6</f>
        <v>0.085</v>
      </c>
      <c r="K86" s="25">
        <f t="shared" si="15"/>
        <v>0.085</v>
      </c>
    </row>
    <row r="87" spans="1:11" s="78" customFormat="1" ht="19.5" customHeight="1">
      <c r="A87" s="76">
        <v>1</v>
      </c>
      <c r="B87" s="77" t="s">
        <v>99</v>
      </c>
      <c r="C87" s="31">
        <f>SUM(C88:C92,C104:C112)</f>
        <v>39723440</v>
      </c>
      <c r="D87" s="31">
        <f>SUM(D88:D92,D104:D112)</f>
        <v>11597194</v>
      </c>
      <c r="E87" s="22">
        <f t="shared" si="17"/>
        <v>51320634</v>
      </c>
      <c r="F87" s="22">
        <f>SUM(F88:F92,F104:F112)</f>
        <v>18692686</v>
      </c>
      <c r="G87" s="22">
        <f>SUM(G88:G92,G104:G112)</f>
        <v>6667378</v>
      </c>
      <c r="H87" s="22">
        <f t="shared" si="14"/>
        <v>25360064</v>
      </c>
      <c r="I87" s="25">
        <f t="shared" si="16"/>
        <v>0.494</v>
      </c>
      <c r="J87" s="25">
        <f>H87/H86</f>
        <v>0.93</v>
      </c>
      <c r="K87" s="25">
        <f t="shared" si="15"/>
        <v>0.079</v>
      </c>
    </row>
    <row r="88" spans="1:11" s="62" customFormat="1" ht="12.75" customHeight="1">
      <c r="A88" s="60"/>
      <c r="B88" s="79" t="s">
        <v>100</v>
      </c>
      <c r="C88" s="38"/>
      <c r="D88" s="38">
        <v>434400</v>
      </c>
      <c r="E88" s="39">
        <f t="shared" si="17"/>
        <v>434400</v>
      </c>
      <c r="F88" s="40"/>
      <c r="G88" s="40">
        <v>240400</v>
      </c>
      <c r="H88" s="39">
        <f t="shared" si="14"/>
        <v>240400</v>
      </c>
      <c r="I88" s="25">
        <f t="shared" si="16"/>
        <v>0.553</v>
      </c>
      <c r="J88" s="25">
        <f aca="true" t="shared" si="18" ref="J88:J112">H88/$H$87</f>
        <v>0.009</v>
      </c>
      <c r="K88" s="25">
        <f t="shared" si="15"/>
        <v>0.001</v>
      </c>
    </row>
    <row r="89" spans="1:11" s="62" customFormat="1" ht="12.75" customHeight="1" hidden="1">
      <c r="A89" s="60"/>
      <c r="B89" s="79" t="s">
        <v>101</v>
      </c>
      <c r="C89" s="38"/>
      <c r="D89" s="38"/>
      <c r="E89" s="39">
        <f t="shared" si="17"/>
        <v>0</v>
      </c>
      <c r="F89" s="40"/>
      <c r="G89" s="40"/>
      <c r="H89" s="39">
        <f t="shared" si="14"/>
        <v>0</v>
      </c>
      <c r="I89" s="25" t="e">
        <f t="shared" si="16"/>
        <v>#DIV/0!</v>
      </c>
      <c r="J89" s="25">
        <f t="shared" si="18"/>
        <v>0</v>
      </c>
      <c r="K89" s="25">
        <f t="shared" si="15"/>
        <v>0</v>
      </c>
    </row>
    <row r="90" spans="1:11" ht="22.5">
      <c r="A90" s="60"/>
      <c r="B90" s="61" t="s">
        <v>102</v>
      </c>
      <c r="C90" s="38"/>
      <c r="D90" s="38">
        <f>7826000+60000+200000</f>
        <v>8086000</v>
      </c>
      <c r="E90" s="39">
        <f t="shared" si="17"/>
        <v>8086000</v>
      </c>
      <c r="F90" s="40"/>
      <c r="G90" s="40">
        <v>4633574</v>
      </c>
      <c r="H90" s="39">
        <f t="shared" si="14"/>
        <v>4633574</v>
      </c>
      <c r="I90" s="25">
        <f t="shared" si="16"/>
        <v>0.573</v>
      </c>
      <c r="J90" s="25">
        <f t="shared" si="18"/>
        <v>0.183</v>
      </c>
      <c r="K90" s="25">
        <f t="shared" si="15"/>
        <v>0.014</v>
      </c>
    </row>
    <row r="91" spans="1:11" ht="12.75" customHeight="1" hidden="1">
      <c r="A91" s="80"/>
      <c r="B91" s="81" t="s">
        <v>103</v>
      </c>
      <c r="C91" s="38"/>
      <c r="D91" s="38"/>
      <c r="E91" s="39">
        <f t="shared" si="17"/>
        <v>0</v>
      </c>
      <c r="F91" s="40"/>
      <c r="G91" s="40"/>
      <c r="H91" s="39">
        <f t="shared" si="14"/>
        <v>0</v>
      </c>
      <c r="I91" s="25" t="e">
        <f t="shared" si="16"/>
        <v>#DIV/0!</v>
      </c>
      <c r="J91" s="25">
        <f t="shared" si="18"/>
        <v>0</v>
      </c>
      <c r="K91" s="18">
        <f t="shared" si="15"/>
        <v>0</v>
      </c>
    </row>
    <row r="92" spans="1:11" ht="12.75" customHeight="1">
      <c r="A92" s="60"/>
      <c r="B92" s="61" t="s">
        <v>104</v>
      </c>
      <c r="C92" s="38">
        <f>SUM(C93:C103)</f>
        <v>38632330</v>
      </c>
      <c r="D92" s="38">
        <f>SUM(D93:D103)</f>
        <v>296800</v>
      </c>
      <c r="E92" s="39">
        <f t="shared" si="17"/>
        <v>38929130</v>
      </c>
      <c r="F92" s="40">
        <f>SUM(F93:F103)</f>
        <v>18146780</v>
      </c>
      <c r="G92" s="40">
        <f>SUM(G93:G103)</f>
        <v>165190</v>
      </c>
      <c r="H92" s="39">
        <f t="shared" si="14"/>
        <v>18311970</v>
      </c>
      <c r="I92" s="25">
        <f t="shared" si="16"/>
        <v>0.47</v>
      </c>
      <c r="J92" s="25">
        <f t="shared" si="18"/>
        <v>0.722</v>
      </c>
      <c r="K92" s="25">
        <f t="shared" si="15"/>
        <v>0.057</v>
      </c>
    </row>
    <row r="93" spans="1:11" s="19" customFormat="1" ht="12.75" customHeight="1">
      <c r="A93" s="52"/>
      <c r="B93" s="82" t="s">
        <v>105</v>
      </c>
      <c r="C93" s="45">
        <f>556360-89080-31680</f>
        <v>435600</v>
      </c>
      <c r="D93" s="45"/>
      <c r="E93" s="46">
        <f t="shared" si="17"/>
        <v>435600</v>
      </c>
      <c r="F93" s="47">
        <v>212615</v>
      </c>
      <c r="G93" s="47"/>
      <c r="H93" s="46">
        <f t="shared" si="14"/>
        <v>212615</v>
      </c>
      <c r="I93" s="48">
        <f t="shared" si="16"/>
        <v>0.488</v>
      </c>
      <c r="J93" s="48">
        <f t="shared" si="18"/>
        <v>0.008</v>
      </c>
      <c r="K93" s="48">
        <f t="shared" si="15"/>
        <v>0.001</v>
      </c>
    </row>
    <row r="94" spans="1:11" s="19" customFormat="1" ht="12.75" customHeight="1">
      <c r="A94" s="52"/>
      <c r="B94" s="82" t="s">
        <v>106</v>
      </c>
      <c r="C94" s="45">
        <f>428490+16510</f>
        <v>445000</v>
      </c>
      <c r="D94" s="45"/>
      <c r="E94" s="46">
        <f t="shared" si="17"/>
        <v>445000</v>
      </c>
      <c r="F94" s="47">
        <v>222490</v>
      </c>
      <c r="G94" s="47"/>
      <c r="H94" s="46">
        <f t="shared" si="14"/>
        <v>222490</v>
      </c>
      <c r="I94" s="48">
        <f t="shared" si="16"/>
        <v>0.5</v>
      </c>
      <c r="J94" s="48">
        <f t="shared" si="18"/>
        <v>0.009</v>
      </c>
      <c r="K94" s="48">
        <f t="shared" si="15"/>
        <v>0.001</v>
      </c>
    </row>
    <row r="95" spans="1:11" s="19" customFormat="1" ht="12.75" customHeight="1">
      <c r="A95" s="52"/>
      <c r="B95" s="82" t="s">
        <v>107</v>
      </c>
      <c r="C95" s="45">
        <f>5053200+49800</f>
        <v>5103000</v>
      </c>
      <c r="D95" s="45"/>
      <c r="E95" s="46">
        <f t="shared" si="17"/>
        <v>5103000</v>
      </c>
      <c r="F95" s="47">
        <v>2477905</v>
      </c>
      <c r="G95" s="47"/>
      <c r="H95" s="46">
        <f t="shared" si="14"/>
        <v>2477905</v>
      </c>
      <c r="I95" s="48">
        <f t="shared" si="16"/>
        <v>0.486</v>
      </c>
      <c r="J95" s="48">
        <f t="shared" si="18"/>
        <v>0.098</v>
      </c>
      <c r="K95" s="48">
        <f t="shared" si="15"/>
        <v>0.008</v>
      </c>
    </row>
    <row r="96" spans="1:11" s="19" customFormat="1" ht="12.75" customHeight="1">
      <c r="A96" s="52"/>
      <c r="B96" s="82" t="s">
        <v>108</v>
      </c>
      <c r="C96" s="45">
        <v>32400310</v>
      </c>
      <c r="D96" s="45">
        <v>41800</v>
      </c>
      <c r="E96" s="46">
        <f t="shared" si="17"/>
        <v>32442110</v>
      </c>
      <c r="F96" s="47">
        <v>15100000</v>
      </c>
      <c r="G96" s="47">
        <v>31200</v>
      </c>
      <c r="H96" s="46">
        <f t="shared" si="14"/>
        <v>15131200</v>
      </c>
      <c r="I96" s="48">
        <f t="shared" si="16"/>
        <v>0.466</v>
      </c>
      <c r="J96" s="48">
        <f t="shared" si="18"/>
        <v>0.597</v>
      </c>
      <c r="K96" s="48">
        <f t="shared" si="15"/>
        <v>0.047</v>
      </c>
    </row>
    <row r="97" spans="1:11" s="19" customFormat="1" ht="12.75" customHeight="1" hidden="1">
      <c r="A97" s="52"/>
      <c r="B97" s="82" t="s">
        <v>109</v>
      </c>
      <c r="C97" s="45"/>
      <c r="D97" s="45"/>
      <c r="E97" s="46">
        <f t="shared" si="17"/>
        <v>0</v>
      </c>
      <c r="F97" s="47"/>
      <c r="G97" s="47"/>
      <c r="H97" s="46">
        <f t="shared" si="14"/>
        <v>0</v>
      </c>
      <c r="I97" s="48" t="e">
        <f t="shared" si="16"/>
        <v>#DIV/0!</v>
      </c>
      <c r="J97" s="48">
        <f t="shared" si="18"/>
        <v>0</v>
      </c>
      <c r="K97" s="48">
        <f t="shared" si="15"/>
        <v>0</v>
      </c>
    </row>
    <row r="98" spans="1:11" s="19" customFormat="1" ht="12.75" customHeight="1" hidden="1">
      <c r="A98" s="52"/>
      <c r="B98" s="82" t="s">
        <v>110</v>
      </c>
      <c r="C98" s="45"/>
      <c r="D98" s="45"/>
      <c r="E98" s="46">
        <f t="shared" si="17"/>
        <v>0</v>
      </c>
      <c r="F98" s="47"/>
      <c r="G98" s="47"/>
      <c r="H98" s="46">
        <f t="shared" si="14"/>
        <v>0</v>
      </c>
      <c r="I98" s="48" t="e">
        <f t="shared" si="16"/>
        <v>#DIV/0!</v>
      </c>
      <c r="J98" s="48">
        <f t="shared" si="18"/>
        <v>0</v>
      </c>
      <c r="K98" s="48">
        <f t="shared" si="15"/>
        <v>0</v>
      </c>
    </row>
    <row r="99" spans="1:11" s="19" customFormat="1" ht="12.75" customHeight="1" hidden="1">
      <c r="A99" s="52"/>
      <c r="B99" s="82" t="s">
        <v>111</v>
      </c>
      <c r="C99" s="45"/>
      <c r="D99" s="45"/>
      <c r="E99" s="46">
        <f t="shared" si="17"/>
        <v>0</v>
      </c>
      <c r="F99" s="47"/>
      <c r="G99" s="47"/>
      <c r="H99" s="46">
        <f t="shared" si="14"/>
        <v>0</v>
      </c>
      <c r="I99" s="48" t="e">
        <f t="shared" si="16"/>
        <v>#DIV/0!</v>
      </c>
      <c r="J99" s="48">
        <f t="shared" si="18"/>
        <v>0</v>
      </c>
      <c r="K99" s="48">
        <f t="shared" si="15"/>
        <v>0</v>
      </c>
    </row>
    <row r="100" spans="1:11" s="19" customFormat="1" ht="12.75" customHeight="1">
      <c r="A100" s="52"/>
      <c r="B100" s="82" t="s">
        <v>112</v>
      </c>
      <c r="C100" s="45">
        <v>248420</v>
      </c>
      <c r="D100" s="45"/>
      <c r="E100" s="46">
        <f t="shared" si="17"/>
        <v>248420</v>
      </c>
      <c r="F100" s="47">
        <v>133770</v>
      </c>
      <c r="G100" s="47"/>
      <c r="H100" s="46">
        <f t="shared" si="14"/>
        <v>133770</v>
      </c>
      <c r="I100" s="48">
        <f t="shared" si="16"/>
        <v>0.538</v>
      </c>
      <c r="J100" s="48">
        <f t="shared" si="18"/>
        <v>0.005</v>
      </c>
      <c r="K100" s="48">
        <f t="shared" si="15"/>
        <v>0</v>
      </c>
    </row>
    <row r="101" spans="1:11" s="19" customFormat="1" ht="12.75" customHeight="1" hidden="1">
      <c r="A101" s="52"/>
      <c r="B101" s="82" t="s">
        <v>113</v>
      </c>
      <c r="C101" s="45"/>
      <c r="D101" s="45"/>
      <c r="E101" s="46">
        <f t="shared" si="17"/>
        <v>0</v>
      </c>
      <c r="F101" s="47"/>
      <c r="G101" s="47"/>
      <c r="H101" s="46">
        <f t="shared" si="14"/>
        <v>0</v>
      </c>
      <c r="I101" s="48" t="e">
        <f t="shared" si="16"/>
        <v>#DIV/0!</v>
      </c>
      <c r="J101" s="48">
        <f t="shared" si="18"/>
        <v>0</v>
      </c>
      <c r="K101" s="48">
        <f t="shared" si="15"/>
        <v>0</v>
      </c>
    </row>
    <row r="102" spans="1:11" s="19" customFormat="1" ht="12.75" customHeight="1">
      <c r="A102" s="52"/>
      <c r="B102" s="82" t="s">
        <v>114</v>
      </c>
      <c r="C102" s="45"/>
      <c r="D102" s="45">
        <v>255000</v>
      </c>
      <c r="E102" s="46">
        <f t="shared" si="17"/>
        <v>255000</v>
      </c>
      <c r="F102" s="47"/>
      <c r="G102" s="47">
        <v>133990</v>
      </c>
      <c r="H102" s="46">
        <f t="shared" si="14"/>
        <v>133990</v>
      </c>
      <c r="I102" s="48">
        <f t="shared" si="16"/>
        <v>0.525</v>
      </c>
      <c r="J102" s="48">
        <f t="shared" si="18"/>
        <v>0.005</v>
      </c>
      <c r="K102" s="48">
        <f t="shared" si="15"/>
        <v>0</v>
      </c>
    </row>
    <row r="103" spans="1:11" s="19" customFormat="1" ht="12.75" customHeight="1" hidden="1">
      <c r="A103" s="52"/>
      <c r="B103" s="82" t="s">
        <v>115</v>
      </c>
      <c r="C103" s="45"/>
      <c r="D103" s="45"/>
      <c r="E103" s="39">
        <f t="shared" si="17"/>
        <v>0</v>
      </c>
      <c r="F103" s="40"/>
      <c r="G103" s="40"/>
      <c r="H103" s="39">
        <f aca="true" t="shared" si="19" ref="H103:H134">SUM(F103:G103)</f>
        <v>0</v>
      </c>
      <c r="I103" s="25" t="e">
        <f t="shared" si="16"/>
        <v>#DIV/0!</v>
      </c>
      <c r="J103" s="25">
        <f t="shared" si="18"/>
        <v>0</v>
      </c>
      <c r="K103" s="25">
        <f aca="true" t="shared" si="20" ref="K103:K131">H103/$H$6</f>
        <v>0</v>
      </c>
    </row>
    <row r="104" spans="1:11" ht="12.75" customHeight="1">
      <c r="A104" s="60"/>
      <c r="B104" s="61" t="s">
        <v>116</v>
      </c>
      <c r="C104" s="38"/>
      <c r="D104" s="38">
        <f>1508000+68000</f>
        <v>1576000</v>
      </c>
      <c r="E104" s="39">
        <f t="shared" si="17"/>
        <v>1576000</v>
      </c>
      <c r="F104" s="40"/>
      <c r="G104" s="40">
        <v>899120</v>
      </c>
      <c r="H104" s="39">
        <f t="shared" si="19"/>
        <v>899120</v>
      </c>
      <c r="I104" s="25">
        <f t="shared" si="16"/>
        <v>0.571</v>
      </c>
      <c r="J104" s="25">
        <f t="shared" si="18"/>
        <v>0.035</v>
      </c>
      <c r="K104" s="25">
        <f t="shared" si="20"/>
        <v>0.003</v>
      </c>
    </row>
    <row r="105" spans="1:11" ht="12.75" customHeight="1">
      <c r="A105" s="60"/>
      <c r="B105" s="61" t="s">
        <v>117</v>
      </c>
      <c r="C105" s="38">
        <v>1054500</v>
      </c>
      <c r="D105" s="38">
        <v>531300</v>
      </c>
      <c r="E105" s="39">
        <f t="shared" si="17"/>
        <v>1585800</v>
      </c>
      <c r="F105" s="40">
        <v>527600</v>
      </c>
      <c r="G105" s="40">
        <v>289400</v>
      </c>
      <c r="H105" s="39">
        <f t="shared" si="19"/>
        <v>817000</v>
      </c>
      <c r="I105" s="25">
        <f t="shared" si="16"/>
        <v>0.515</v>
      </c>
      <c r="J105" s="25">
        <f t="shared" si="18"/>
        <v>0.032</v>
      </c>
      <c r="K105" s="25">
        <f t="shared" si="20"/>
        <v>0.003</v>
      </c>
    </row>
    <row r="106" spans="1:11" ht="12.75" customHeight="1" hidden="1">
      <c r="A106" s="60"/>
      <c r="B106" s="61" t="s">
        <v>118</v>
      </c>
      <c r="C106" s="38"/>
      <c r="D106" s="38"/>
      <c r="E106" s="39">
        <f t="shared" si="17"/>
        <v>0</v>
      </c>
      <c r="F106" s="40"/>
      <c r="G106" s="40"/>
      <c r="H106" s="39">
        <f t="shared" si="19"/>
        <v>0</v>
      </c>
      <c r="I106" s="25" t="e">
        <f t="shared" si="16"/>
        <v>#DIV/0!</v>
      </c>
      <c r="J106" s="25">
        <f t="shared" si="18"/>
        <v>0</v>
      </c>
      <c r="K106" s="18">
        <f t="shared" si="20"/>
        <v>0</v>
      </c>
    </row>
    <row r="107" spans="1:11" s="83" customFormat="1" ht="12.75" customHeight="1">
      <c r="A107" s="60"/>
      <c r="B107" s="61" t="s">
        <v>119</v>
      </c>
      <c r="C107" s="38">
        <v>36610</v>
      </c>
      <c r="D107" s="38"/>
      <c r="E107" s="39">
        <f t="shared" si="17"/>
        <v>36610</v>
      </c>
      <c r="F107" s="40">
        <v>18306</v>
      </c>
      <c r="G107" s="40"/>
      <c r="H107" s="39">
        <f t="shared" si="19"/>
        <v>18306</v>
      </c>
      <c r="I107" s="25">
        <f t="shared" si="16"/>
        <v>0.5</v>
      </c>
      <c r="J107" s="25">
        <f t="shared" si="18"/>
        <v>0.001</v>
      </c>
      <c r="K107" s="25">
        <f t="shared" si="20"/>
        <v>0</v>
      </c>
    </row>
    <row r="108" spans="1:11" s="83" customFormat="1" ht="14.25" customHeight="1" hidden="1">
      <c r="A108" s="60"/>
      <c r="B108" s="61" t="s">
        <v>120</v>
      </c>
      <c r="C108" s="38"/>
      <c r="D108" s="38"/>
      <c r="E108" s="39">
        <f t="shared" si="17"/>
        <v>0</v>
      </c>
      <c r="F108" s="40"/>
      <c r="G108" s="40"/>
      <c r="H108" s="39">
        <f t="shared" si="19"/>
        <v>0</v>
      </c>
      <c r="I108" s="25" t="e">
        <f t="shared" si="16"/>
        <v>#DIV/0!</v>
      </c>
      <c r="J108" s="25">
        <f t="shared" si="18"/>
        <v>0</v>
      </c>
      <c r="K108" s="25">
        <f t="shared" si="20"/>
        <v>0</v>
      </c>
    </row>
    <row r="109" spans="1:11" ht="14.25" customHeight="1">
      <c r="A109" s="80"/>
      <c r="B109" s="81" t="s">
        <v>121</v>
      </c>
      <c r="C109" s="38"/>
      <c r="D109" s="38">
        <v>173000</v>
      </c>
      <c r="E109" s="39">
        <f t="shared" si="17"/>
        <v>173000</v>
      </c>
      <c r="F109" s="40"/>
      <c r="G109" s="40"/>
      <c r="H109" s="39">
        <f t="shared" si="19"/>
        <v>0</v>
      </c>
      <c r="I109" s="25">
        <f t="shared" si="16"/>
        <v>0</v>
      </c>
      <c r="J109" s="25">
        <f t="shared" si="18"/>
        <v>0</v>
      </c>
      <c r="K109" s="25">
        <f t="shared" si="20"/>
        <v>0</v>
      </c>
    </row>
    <row r="110" spans="1:11" ht="14.25" customHeight="1">
      <c r="A110" s="80"/>
      <c r="B110" s="81" t="s">
        <v>122</v>
      </c>
      <c r="C110" s="38"/>
      <c r="D110" s="38">
        <v>60000</v>
      </c>
      <c r="E110" s="39">
        <f t="shared" si="17"/>
        <v>60000</v>
      </c>
      <c r="F110" s="40"/>
      <c r="G110" s="40"/>
      <c r="H110" s="39">
        <f t="shared" si="19"/>
        <v>0</v>
      </c>
      <c r="I110" s="25">
        <f t="shared" si="16"/>
        <v>0</v>
      </c>
      <c r="J110" s="25">
        <f t="shared" si="18"/>
        <v>0</v>
      </c>
      <c r="K110" s="25">
        <f t="shared" si="20"/>
        <v>0</v>
      </c>
    </row>
    <row r="111" spans="1:11" ht="14.25" customHeight="1">
      <c r="A111" s="80"/>
      <c r="B111" s="81" t="s">
        <v>123</v>
      </c>
      <c r="C111" s="38"/>
      <c r="D111" s="38">
        <f>125000+157644+63050</f>
        <v>345694</v>
      </c>
      <c r="E111" s="39">
        <f t="shared" si="17"/>
        <v>345694</v>
      </c>
      <c r="F111" s="40"/>
      <c r="G111" s="40">
        <v>345694</v>
      </c>
      <c r="H111" s="39">
        <f t="shared" si="19"/>
        <v>345694</v>
      </c>
      <c r="I111" s="25">
        <f t="shared" si="16"/>
        <v>1</v>
      </c>
      <c r="J111" s="25">
        <f t="shared" si="18"/>
        <v>0.014</v>
      </c>
      <c r="K111" s="25">
        <f t="shared" si="20"/>
        <v>0.001</v>
      </c>
    </row>
    <row r="112" spans="1:11" s="65" customFormat="1" ht="14.25" customHeight="1">
      <c r="A112" s="84"/>
      <c r="B112" s="68" t="s">
        <v>124</v>
      </c>
      <c r="C112" s="38"/>
      <c r="D112" s="38">
        <v>94000</v>
      </c>
      <c r="E112" s="39">
        <f t="shared" si="17"/>
        <v>94000</v>
      </c>
      <c r="F112" s="40"/>
      <c r="G112" s="40">
        <v>94000</v>
      </c>
      <c r="H112" s="39">
        <f t="shared" si="19"/>
        <v>94000</v>
      </c>
      <c r="I112" s="25">
        <f t="shared" si="16"/>
        <v>1</v>
      </c>
      <c r="J112" s="25">
        <f t="shared" si="18"/>
        <v>0.004</v>
      </c>
      <c r="K112" s="25">
        <f t="shared" si="20"/>
        <v>0</v>
      </c>
    </row>
    <row r="113" spans="1:11" s="65" customFormat="1" ht="35.25" customHeight="1">
      <c r="A113" s="54">
        <v>2</v>
      </c>
      <c r="B113" s="57" t="s">
        <v>125</v>
      </c>
      <c r="C113" s="85">
        <f>SUM(C114:C116)</f>
        <v>27500</v>
      </c>
      <c r="D113" s="85">
        <f>SUM(D114:D116)</f>
        <v>0</v>
      </c>
      <c r="E113" s="22">
        <f t="shared" si="17"/>
        <v>27500</v>
      </c>
      <c r="F113" s="22">
        <f>SUM(F114:F116)</f>
        <v>27500</v>
      </c>
      <c r="G113" s="22">
        <f>SUM(G114:G116)</f>
        <v>0</v>
      </c>
      <c r="H113" s="22">
        <f t="shared" si="19"/>
        <v>27500</v>
      </c>
      <c r="I113" s="25">
        <f t="shared" si="16"/>
        <v>1</v>
      </c>
      <c r="J113" s="25">
        <f>H113/$H$86</f>
        <v>0.001</v>
      </c>
      <c r="K113" s="25">
        <f t="shared" si="20"/>
        <v>0</v>
      </c>
    </row>
    <row r="114" spans="1:11" s="87" customFormat="1" ht="13.5" customHeight="1" hidden="1">
      <c r="A114" s="84"/>
      <c r="B114" s="86" t="s">
        <v>126</v>
      </c>
      <c r="C114" s="38"/>
      <c r="D114" s="38"/>
      <c r="E114" s="39">
        <f t="shared" si="17"/>
        <v>0</v>
      </c>
      <c r="F114" s="39"/>
      <c r="G114" s="40"/>
      <c r="H114" s="22">
        <f t="shared" si="19"/>
        <v>0</v>
      </c>
      <c r="I114" s="25"/>
      <c r="J114" s="25">
        <f>H114/$H$86</f>
        <v>0</v>
      </c>
      <c r="K114" s="18">
        <f t="shared" si="20"/>
        <v>0</v>
      </c>
    </row>
    <row r="115" spans="1:11" s="87" customFormat="1" ht="13.5" customHeight="1" hidden="1">
      <c r="A115" s="84"/>
      <c r="B115" s="86" t="s">
        <v>127</v>
      </c>
      <c r="C115" s="38"/>
      <c r="D115" s="38"/>
      <c r="E115" s="39">
        <f t="shared" si="17"/>
        <v>0</v>
      </c>
      <c r="F115" s="39"/>
      <c r="G115" s="39"/>
      <c r="H115" s="22">
        <f t="shared" si="19"/>
        <v>0</v>
      </c>
      <c r="I115" s="25" t="e">
        <f aca="true" t="shared" si="21" ref="I115:I138">H115/E115</f>
        <v>#DIV/0!</v>
      </c>
      <c r="J115" s="25">
        <f>H115/$H$86</f>
        <v>0</v>
      </c>
      <c r="K115" s="18">
        <f t="shared" si="20"/>
        <v>0</v>
      </c>
    </row>
    <row r="116" spans="1:11" ht="15" customHeight="1">
      <c r="A116" s="60"/>
      <c r="B116" s="68" t="s">
        <v>128</v>
      </c>
      <c r="C116" s="38">
        <v>27500</v>
      </c>
      <c r="D116" s="38"/>
      <c r="E116" s="39">
        <f t="shared" si="17"/>
        <v>27500</v>
      </c>
      <c r="F116" s="40">
        <v>27500</v>
      </c>
      <c r="G116" s="40"/>
      <c r="H116" s="39">
        <f t="shared" si="19"/>
        <v>27500</v>
      </c>
      <c r="I116" s="25">
        <f t="shared" si="21"/>
        <v>1</v>
      </c>
      <c r="J116" s="25">
        <f>H116/$H$86</f>
        <v>0.001</v>
      </c>
      <c r="K116" s="25">
        <f t="shared" si="20"/>
        <v>0</v>
      </c>
    </row>
    <row r="117" spans="1:11" s="62" customFormat="1" ht="29.25" customHeight="1">
      <c r="A117" s="54">
        <v>3</v>
      </c>
      <c r="B117" s="57" t="s">
        <v>129</v>
      </c>
      <c r="C117" s="31">
        <f>SUM(C118:C123)</f>
        <v>1680927</v>
      </c>
      <c r="D117" s="31">
        <f>SUM(D118:D123)</f>
        <v>1547871</v>
      </c>
      <c r="E117" s="22">
        <f aca="true" t="shared" si="22" ref="E117:E138">SUM(C117:D117)</f>
        <v>3228798</v>
      </c>
      <c r="F117" s="22">
        <f>SUM(F118:F123)</f>
        <v>993915</v>
      </c>
      <c r="G117" s="22">
        <f>SUM(G118:G123)</f>
        <v>881386</v>
      </c>
      <c r="H117" s="22">
        <f t="shared" si="19"/>
        <v>1875301</v>
      </c>
      <c r="I117" s="25">
        <f t="shared" si="21"/>
        <v>0.581</v>
      </c>
      <c r="J117" s="25">
        <f>H117/$H$86</f>
        <v>0.069</v>
      </c>
      <c r="K117" s="25">
        <f t="shared" si="20"/>
        <v>0.006</v>
      </c>
    </row>
    <row r="118" spans="1:11" s="62" customFormat="1" ht="14.25" customHeight="1" hidden="1">
      <c r="A118" s="88"/>
      <c r="B118" s="66" t="s">
        <v>67</v>
      </c>
      <c r="C118" s="89"/>
      <c r="D118" s="89"/>
      <c r="E118" s="39">
        <f t="shared" si="22"/>
        <v>0</v>
      </c>
      <c r="F118" s="90"/>
      <c r="G118" s="90"/>
      <c r="H118" s="39">
        <f t="shared" si="19"/>
        <v>0</v>
      </c>
      <c r="I118" s="25" t="e">
        <f t="shared" si="21"/>
        <v>#DIV/0!</v>
      </c>
      <c r="J118" s="91"/>
      <c r="K118" s="91">
        <f t="shared" si="20"/>
        <v>0</v>
      </c>
    </row>
    <row r="119" spans="1:11" s="62" customFormat="1" ht="13.5" customHeight="1" hidden="1">
      <c r="A119" s="60"/>
      <c r="B119" s="66" t="s">
        <v>130</v>
      </c>
      <c r="C119" s="38"/>
      <c r="D119" s="38"/>
      <c r="E119" s="39">
        <f t="shared" si="22"/>
        <v>0</v>
      </c>
      <c r="F119" s="39"/>
      <c r="G119" s="39"/>
      <c r="H119" s="39">
        <f t="shared" si="19"/>
        <v>0</v>
      </c>
      <c r="I119" s="25" t="e">
        <f t="shared" si="21"/>
        <v>#DIV/0!</v>
      </c>
      <c r="J119" s="92"/>
      <c r="K119" s="92">
        <f t="shared" si="20"/>
        <v>0</v>
      </c>
    </row>
    <row r="120" spans="1:11" s="62" customFormat="1" ht="13.5" customHeight="1" hidden="1">
      <c r="A120" s="60"/>
      <c r="B120" s="66" t="s">
        <v>131</v>
      </c>
      <c r="C120" s="38"/>
      <c r="D120" s="38"/>
      <c r="E120" s="39">
        <f t="shared" si="22"/>
        <v>0</v>
      </c>
      <c r="F120" s="39"/>
      <c r="G120" s="39"/>
      <c r="H120" s="39">
        <f t="shared" si="19"/>
        <v>0</v>
      </c>
      <c r="I120" s="25" t="e">
        <f t="shared" si="21"/>
        <v>#DIV/0!</v>
      </c>
      <c r="J120" s="93"/>
      <c r="K120" s="93">
        <f t="shared" si="20"/>
        <v>0</v>
      </c>
    </row>
    <row r="121" spans="1:12" s="41" customFormat="1" ht="15" customHeight="1">
      <c r="A121" s="36"/>
      <c r="B121" s="37" t="s">
        <v>132</v>
      </c>
      <c r="C121" s="64">
        <f>77685+17888</f>
        <v>95573</v>
      </c>
      <c r="D121" s="64">
        <v>150111</v>
      </c>
      <c r="E121" s="39">
        <f t="shared" si="22"/>
        <v>245684</v>
      </c>
      <c r="F121" s="40">
        <f>17888+46612</f>
        <v>64500</v>
      </c>
      <c r="G121" s="40">
        <f>45+149991</f>
        <v>150036</v>
      </c>
      <c r="H121" s="39">
        <f t="shared" si="19"/>
        <v>214536</v>
      </c>
      <c r="I121" s="25">
        <f t="shared" si="21"/>
        <v>0.873</v>
      </c>
      <c r="J121" s="25">
        <f>H121/$H$123</f>
        <v>0.129</v>
      </c>
      <c r="K121" s="25">
        <f t="shared" si="20"/>
        <v>0.001</v>
      </c>
      <c r="L121" s="41" t="s">
        <v>133</v>
      </c>
    </row>
    <row r="122" spans="1:12" s="62" customFormat="1" ht="15" customHeight="1">
      <c r="A122" s="60"/>
      <c r="B122" s="66" t="s">
        <v>134</v>
      </c>
      <c r="C122" s="64">
        <v>300</v>
      </c>
      <c r="D122" s="38"/>
      <c r="E122" s="39">
        <f t="shared" si="22"/>
        <v>300</v>
      </c>
      <c r="F122" s="40">
        <v>300</v>
      </c>
      <c r="G122" s="39"/>
      <c r="H122" s="39">
        <f t="shared" si="19"/>
        <v>300</v>
      </c>
      <c r="I122" s="25">
        <f t="shared" si="21"/>
        <v>1</v>
      </c>
      <c r="J122" s="25"/>
      <c r="K122" s="25">
        <f t="shared" si="20"/>
        <v>0</v>
      </c>
      <c r="L122" s="62">
        <v>80195</v>
      </c>
    </row>
    <row r="123" spans="1:11" ht="15" customHeight="1">
      <c r="A123" s="60"/>
      <c r="B123" s="66" t="s">
        <v>135</v>
      </c>
      <c r="C123" s="38">
        <f>SUM(C124:C131)</f>
        <v>1585054</v>
      </c>
      <c r="D123" s="38">
        <f>SUM(D124:D131)</f>
        <v>1397760</v>
      </c>
      <c r="E123" s="39">
        <f t="shared" si="22"/>
        <v>2982814</v>
      </c>
      <c r="F123" s="40">
        <f>SUM(F124:F131)</f>
        <v>929115</v>
      </c>
      <c r="G123" s="40">
        <f>SUM(G124:G131)</f>
        <v>731350</v>
      </c>
      <c r="H123" s="39">
        <f t="shared" si="19"/>
        <v>1660465</v>
      </c>
      <c r="I123" s="25">
        <f t="shared" si="21"/>
        <v>0.557</v>
      </c>
      <c r="J123" s="25">
        <f>H123/H117</f>
        <v>0.885</v>
      </c>
      <c r="K123" s="25">
        <f t="shared" si="20"/>
        <v>0.005</v>
      </c>
    </row>
    <row r="124" spans="1:11" s="41" customFormat="1" ht="13.5" customHeight="1" hidden="1">
      <c r="A124" s="36"/>
      <c r="B124" s="94" t="s">
        <v>136</v>
      </c>
      <c r="C124" s="45"/>
      <c r="D124" s="45"/>
      <c r="E124" s="39">
        <f t="shared" si="22"/>
        <v>0</v>
      </c>
      <c r="F124" s="40"/>
      <c r="G124" s="40"/>
      <c r="H124" s="39">
        <f t="shared" si="19"/>
        <v>0</v>
      </c>
      <c r="I124" s="25" t="e">
        <f t="shared" si="21"/>
        <v>#DIV/0!</v>
      </c>
      <c r="J124" s="25"/>
      <c r="K124" s="18">
        <f t="shared" si="20"/>
        <v>0</v>
      </c>
    </row>
    <row r="125" spans="1:12" s="49" customFormat="1" ht="12.75" customHeight="1">
      <c r="A125" s="43"/>
      <c r="B125" s="94" t="s">
        <v>137</v>
      </c>
      <c r="C125" s="45">
        <v>197344</v>
      </c>
      <c r="D125" s="45"/>
      <c r="E125" s="46">
        <f t="shared" si="22"/>
        <v>197344</v>
      </c>
      <c r="F125" s="47">
        <v>164500</v>
      </c>
      <c r="G125" s="47"/>
      <c r="H125" s="46">
        <f t="shared" si="19"/>
        <v>164500</v>
      </c>
      <c r="I125" s="48">
        <f t="shared" si="21"/>
        <v>0.834</v>
      </c>
      <c r="J125" s="48">
        <f aca="true" t="shared" si="23" ref="J125:J131">H125/$H$123</f>
        <v>0.099</v>
      </c>
      <c r="K125" s="48">
        <f t="shared" si="20"/>
        <v>0.001</v>
      </c>
      <c r="L125" s="49">
        <v>85295.203</v>
      </c>
    </row>
    <row r="126" spans="1:11" s="65" customFormat="1" ht="12" customHeight="1">
      <c r="A126" s="84"/>
      <c r="B126" s="95" t="s">
        <v>138</v>
      </c>
      <c r="C126" s="45"/>
      <c r="D126" s="45">
        <f>1280*12*72</f>
        <v>1105920</v>
      </c>
      <c r="E126" s="46">
        <f t="shared" si="22"/>
        <v>1105920</v>
      </c>
      <c r="F126" s="47"/>
      <c r="G126" s="47">
        <v>585430</v>
      </c>
      <c r="H126" s="46">
        <f t="shared" si="19"/>
        <v>585430</v>
      </c>
      <c r="I126" s="48">
        <f t="shared" si="21"/>
        <v>0.529</v>
      </c>
      <c r="J126" s="48">
        <f t="shared" si="23"/>
        <v>0.353</v>
      </c>
      <c r="K126" s="48">
        <f t="shared" si="20"/>
        <v>0.002</v>
      </c>
    </row>
    <row r="127" spans="1:11" s="65" customFormat="1" ht="11.25">
      <c r="A127" s="84"/>
      <c r="B127" s="95" t="s">
        <v>139</v>
      </c>
      <c r="C127" s="45"/>
      <c r="D127" s="45">
        <f>1280*12*19</f>
        <v>291840</v>
      </c>
      <c r="E127" s="46">
        <f t="shared" si="22"/>
        <v>291840</v>
      </c>
      <c r="F127" s="47"/>
      <c r="G127" s="47">
        <v>145920</v>
      </c>
      <c r="H127" s="46">
        <f t="shared" si="19"/>
        <v>145920</v>
      </c>
      <c r="I127" s="48">
        <f t="shared" si="21"/>
        <v>0.5</v>
      </c>
      <c r="J127" s="48">
        <f t="shared" si="23"/>
        <v>0.088</v>
      </c>
      <c r="K127" s="48">
        <f t="shared" si="20"/>
        <v>0</v>
      </c>
    </row>
    <row r="128" spans="1:11" s="65" customFormat="1" ht="15" customHeight="1" hidden="1">
      <c r="A128" s="84"/>
      <c r="B128" s="96" t="s">
        <v>74</v>
      </c>
      <c r="C128" s="45"/>
      <c r="D128" s="45"/>
      <c r="E128" s="46">
        <f t="shared" si="22"/>
        <v>0</v>
      </c>
      <c r="F128" s="47"/>
      <c r="G128" s="47"/>
      <c r="H128" s="46">
        <f t="shared" si="19"/>
        <v>0</v>
      </c>
      <c r="I128" s="48" t="e">
        <f t="shared" si="21"/>
        <v>#DIV/0!</v>
      </c>
      <c r="J128" s="48">
        <f t="shared" si="23"/>
        <v>0</v>
      </c>
      <c r="K128" s="48">
        <f t="shared" si="20"/>
        <v>0</v>
      </c>
    </row>
    <row r="129" spans="1:11" s="65" customFormat="1" ht="14.25" customHeight="1" hidden="1">
      <c r="A129" s="84"/>
      <c r="B129" s="96" t="s">
        <v>71</v>
      </c>
      <c r="C129" s="45"/>
      <c r="D129" s="45"/>
      <c r="E129" s="46">
        <f t="shared" si="22"/>
        <v>0</v>
      </c>
      <c r="F129" s="47"/>
      <c r="G129" s="47"/>
      <c r="H129" s="46">
        <f t="shared" si="19"/>
        <v>0</v>
      </c>
      <c r="I129" s="48" t="e">
        <f t="shared" si="21"/>
        <v>#DIV/0!</v>
      </c>
      <c r="J129" s="48">
        <f t="shared" si="23"/>
        <v>0</v>
      </c>
      <c r="K129" s="48">
        <f t="shared" si="20"/>
        <v>0</v>
      </c>
    </row>
    <row r="130" spans="1:12" s="19" customFormat="1" ht="11.25" customHeight="1">
      <c r="A130" s="52"/>
      <c r="B130" s="82" t="s">
        <v>140</v>
      </c>
      <c r="C130" s="45">
        <v>283500</v>
      </c>
      <c r="D130" s="45"/>
      <c r="E130" s="46">
        <f t="shared" si="22"/>
        <v>283500</v>
      </c>
      <c r="F130" s="47">
        <f>118125+14765</f>
        <v>132890</v>
      </c>
      <c r="G130" s="47"/>
      <c r="H130" s="46">
        <f t="shared" si="19"/>
        <v>132890</v>
      </c>
      <c r="I130" s="48">
        <f t="shared" si="21"/>
        <v>0.469</v>
      </c>
      <c r="J130" s="48">
        <f t="shared" si="23"/>
        <v>0.08</v>
      </c>
      <c r="K130" s="48">
        <f t="shared" si="20"/>
        <v>0</v>
      </c>
      <c r="L130" s="19" t="s">
        <v>141</v>
      </c>
    </row>
    <row r="131" spans="1:12" s="19" customFormat="1" ht="12.75" customHeight="1" thickBot="1">
      <c r="A131" s="52"/>
      <c r="B131" s="82" t="s">
        <v>142</v>
      </c>
      <c r="C131" s="45">
        <v>1104210</v>
      </c>
      <c r="D131" s="45"/>
      <c r="E131" s="46">
        <f t="shared" si="22"/>
        <v>1104210</v>
      </c>
      <c r="F131" s="47">
        <v>631725</v>
      </c>
      <c r="G131" s="47"/>
      <c r="H131" s="46">
        <f t="shared" si="19"/>
        <v>631725</v>
      </c>
      <c r="I131" s="48">
        <f t="shared" si="21"/>
        <v>0.572</v>
      </c>
      <c r="J131" s="48">
        <f t="shared" si="23"/>
        <v>0.38</v>
      </c>
      <c r="K131" s="48">
        <f t="shared" si="20"/>
        <v>0.002</v>
      </c>
      <c r="L131" s="19">
        <v>85219.2</v>
      </c>
    </row>
    <row r="132" spans="1:11" s="102" customFormat="1" ht="21" customHeight="1" hidden="1">
      <c r="A132" s="97" t="s">
        <v>143</v>
      </c>
      <c r="B132" s="98" t="s">
        <v>144</v>
      </c>
      <c r="C132" s="99">
        <f>SUM(C133)</f>
        <v>0</v>
      </c>
      <c r="D132" s="99">
        <f>SUM(D133)</f>
        <v>0</v>
      </c>
      <c r="E132" s="74">
        <f t="shared" si="22"/>
        <v>0</v>
      </c>
      <c r="F132" s="74">
        <f>SUM(F133)</f>
        <v>0</v>
      </c>
      <c r="G132" s="74">
        <f>SUM(G133)</f>
        <v>0</v>
      </c>
      <c r="H132" s="39">
        <f t="shared" si="19"/>
        <v>0</v>
      </c>
      <c r="I132" s="25" t="e">
        <f t="shared" si="21"/>
        <v>#DIV/0!</v>
      </c>
      <c r="J132" s="100"/>
      <c r="K132" s="101"/>
    </row>
    <row r="133" spans="1:11" ht="21.75" customHeight="1" hidden="1" thickBot="1">
      <c r="A133" s="60"/>
      <c r="B133" s="37" t="s">
        <v>145</v>
      </c>
      <c r="C133" s="38"/>
      <c r="D133" s="38"/>
      <c r="E133" s="39">
        <f t="shared" si="22"/>
        <v>0</v>
      </c>
      <c r="F133" s="39"/>
      <c r="G133" s="39"/>
      <c r="H133" s="39">
        <f t="shared" si="19"/>
        <v>0</v>
      </c>
      <c r="I133" s="25" t="e">
        <f t="shared" si="21"/>
        <v>#DIV/0!</v>
      </c>
      <c r="J133" s="103"/>
      <c r="K133" s="104"/>
    </row>
    <row r="134" spans="1:11" s="107" customFormat="1" ht="23.25" customHeight="1" thickBot="1">
      <c r="A134" s="138" t="s">
        <v>146</v>
      </c>
      <c r="B134" s="138"/>
      <c r="C134" s="105">
        <f>SUM(C135:C136)</f>
        <v>84760787</v>
      </c>
      <c r="D134" s="105">
        <f>SUM(D135:D136)</f>
        <v>0</v>
      </c>
      <c r="E134" s="22">
        <f t="shared" si="22"/>
        <v>84760787</v>
      </c>
      <c r="F134" s="22">
        <f>SUM(F135:F137)</f>
        <v>14797059</v>
      </c>
      <c r="G134" s="22">
        <f>SUM(G135:G137)</f>
        <v>0</v>
      </c>
      <c r="H134" s="22">
        <f t="shared" si="19"/>
        <v>14797059</v>
      </c>
      <c r="I134" s="25">
        <f t="shared" si="21"/>
        <v>0.175</v>
      </c>
      <c r="J134" s="106"/>
      <c r="K134" s="23"/>
    </row>
    <row r="135" spans="1:11" s="62" customFormat="1" ht="15.75" customHeight="1">
      <c r="A135" s="108"/>
      <c r="B135" s="61" t="s">
        <v>147</v>
      </c>
      <c r="C135" s="64">
        <f>200000+500000+700000+1580522+11772671+3635+1342+2617</f>
        <v>14760787</v>
      </c>
      <c r="D135" s="64"/>
      <c r="E135" s="22">
        <f t="shared" si="22"/>
        <v>14760787</v>
      </c>
      <c r="F135" s="40">
        <v>14760787</v>
      </c>
      <c r="G135" s="22"/>
      <c r="H135" s="39">
        <f>SUM(F135:G135)</f>
        <v>14760787</v>
      </c>
      <c r="I135" s="25">
        <f t="shared" si="21"/>
        <v>1</v>
      </c>
      <c r="J135" s="109"/>
      <c r="K135" s="23"/>
    </row>
    <row r="136" spans="1:11" s="62" customFormat="1" ht="15.75" customHeight="1">
      <c r="A136" s="108"/>
      <c r="B136" s="61" t="s">
        <v>148</v>
      </c>
      <c r="C136" s="64">
        <v>70000000</v>
      </c>
      <c r="D136" s="64"/>
      <c r="E136" s="22">
        <f t="shared" si="22"/>
        <v>70000000</v>
      </c>
      <c r="F136" s="22"/>
      <c r="G136" s="22"/>
      <c r="H136" s="39">
        <f>SUM(F136:G136)</f>
        <v>0</v>
      </c>
      <c r="I136" s="25">
        <f t="shared" si="21"/>
        <v>0</v>
      </c>
      <c r="J136" s="110"/>
      <c r="K136" s="23"/>
    </row>
    <row r="137" spans="1:11" s="62" customFormat="1" ht="15.75" customHeight="1" thickBot="1">
      <c r="A137" s="108"/>
      <c r="B137" s="61" t="s">
        <v>149</v>
      </c>
      <c r="C137" s="64">
        <v>36273</v>
      </c>
      <c r="E137" s="22">
        <f t="shared" si="22"/>
        <v>36273</v>
      </c>
      <c r="F137" s="64">
        <v>36272</v>
      </c>
      <c r="H137" s="39">
        <f>SUM(F137:G137)</f>
        <v>36272</v>
      </c>
      <c r="I137" s="25">
        <f t="shared" si="21"/>
        <v>1</v>
      </c>
      <c r="J137" s="111"/>
      <c r="K137" s="23"/>
    </row>
    <row r="138" spans="1:11" s="118" customFormat="1" ht="21.75" customHeight="1" thickBot="1">
      <c r="A138" s="112"/>
      <c r="B138" s="113" t="s">
        <v>150</v>
      </c>
      <c r="C138" s="114">
        <f>SUM(C134,C6)</f>
        <v>585967338</v>
      </c>
      <c r="D138" s="114">
        <f>SUM(D134,D6)</f>
        <v>145065183</v>
      </c>
      <c r="E138" s="115">
        <f t="shared" si="22"/>
        <v>731032521</v>
      </c>
      <c r="F138" s="114">
        <f>SUM(F134,F6)</f>
        <v>265158436</v>
      </c>
      <c r="G138" s="114">
        <f>SUM(G134,G6)</f>
        <v>70567291</v>
      </c>
      <c r="H138" s="115">
        <f>SUM(F138:G138)</f>
        <v>335725727</v>
      </c>
      <c r="I138" s="48">
        <f t="shared" si="21"/>
        <v>0.459</v>
      </c>
      <c r="J138" s="116"/>
      <c r="K138" s="117"/>
    </row>
    <row r="139" ht="11.25">
      <c r="I139" s="121"/>
    </row>
    <row r="140" spans="1:11" ht="24.75" customHeight="1">
      <c r="A140" s="141"/>
      <c r="B140" s="141"/>
      <c r="E140" s="123"/>
      <c r="F140" s="123"/>
      <c r="G140" s="123"/>
      <c r="H140" s="123"/>
      <c r="I140" s="121"/>
      <c r="J140" s="124"/>
      <c r="K140" s="123"/>
    </row>
    <row r="141" spans="5:11" ht="11.25">
      <c r="E141" s="78"/>
      <c r="F141" s="78"/>
      <c r="G141" s="78"/>
      <c r="H141" s="78"/>
      <c r="I141" s="121"/>
      <c r="J141" s="125"/>
      <c r="K141" s="78"/>
    </row>
    <row r="142" ht="11.25">
      <c r="I142" s="121"/>
    </row>
    <row r="144" spans="1:10" s="62" customFormat="1" ht="21.75" customHeight="1">
      <c r="A144" s="126"/>
      <c r="B144" s="127"/>
      <c r="J144" s="122"/>
    </row>
    <row r="145" spans="1:4" ht="18" customHeight="1">
      <c r="A145" s="126"/>
      <c r="B145" s="128"/>
      <c r="C145" s="123"/>
      <c r="D145" s="123"/>
    </row>
    <row r="146" spans="1:3" ht="18" customHeight="1">
      <c r="A146" s="126"/>
      <c r="B146" s="128"/>
      <c r="C146" s="123"/>
    </row>
    <row r="147" spans="1:3" ht="18" customHeight="1">
      <c r="A147" s="126"/>
      <c r="B147" s="128"/>
      <c r="C147" s="123"/>
    </row>
    <row r="148" spans="1:3" ht="18" customHeight="1">
      <c r="A148" s="126"/>
      <c r="B148" s="128"/>
      <c r="C148" s="123"/>
    </row>
    <row r="149" spans="1:10" s="87" customFormat="1" ht="18" customHeight="1">
      <c r="A149" s="129"/>
      <c r="B149" s="130"/>
      <c r="C149" s="131"/>
      <c r="J149" s="132"/>
    </row>
    <row r="150" spans="1:10" s="87" customFormat="1" ht="18" customHeight="1">
      <c r="A150" s="129"/>
      <c r="B150" s="130"/>
      <c r="C150" s="131"/>
      <c r="J150" s="132"/>
    </row>
    <row r="151" spans="1:10" s="87" customFormat="1" ht="18" customHeight="1">
      <c r="A151" s="129"/>
      <c r="B151" s="130"/>
      <c r="J151" s="132"/>
    </row>
    <row r="152" spans="1:10" s="87" customFormat="1" ht="18" customHeight="1">
      <c r="A152" s="129"/>
      <c r="B152" s="130"/>
      <c r="J152" s="132"/>
    </row>
  </sheetData>
  <mergeCells count="11">
    <mergeCell ref="A140:B140"/>
    <mergeCell ref="A6:B6"/>
    <mergeCell ref="A7:B7"/>
    <mergeCell ref="A81:B81"/>
    <mergeCell ref="A86:B86"/>
    <mergeCell ref="C3:E3"/>
    <mergeCell ref="F3:I3"/>
    <mergeCell ref="A2:I2"/>
    <mergeCell ref="A134:B134"/>
    <mergeCell ref="A3:A4"/>
    <mergeCell ref="B3:B4"/>
  </mergeCells>
  <printOptions/>
  <pageMargins left="0.75" right="0.74" top="0.59" bottom="0.49" header="0.49" footer="0.3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</dc:creator>
  <cp:keywords/>
  <dc:description/>
  <cp:lastModifiedBy>abr</cp:lastModifiedBy>
  <cp:lastPrinted>2005-08-19T06:28:02Z</cp:lastPrinted>
  <dcterms:created xsi:type="dcterms:W3CDTF">2005-08-19T06:27:19Z</dcterms:created>
  <dcterms:modified xsi:type="dcterms:W3CDTF">2005-08-30T08:27:42Z</dcterms:modified>
  <cp:category/>
  <cp:version/>
  <cp:contentType/>
  <cp:contentStatus/>
</cp:coreProperties>
</file>