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00" activeTab="3"/>
  </bookViews>
  <sheets>
    <sheet name="I-III" sheetId="1" r:id="rId1"/>
    <sheet name="IV" sheetId="2" r:id="rId2"/>
    <sheet name="V" sheetId="3" r:id="rId3"/>
    <sheet name="VI" sheetId="4" r:id="rId4"/>
    <sheet name="Arkusz3" sheetId="5" r:id="rId5"/>
  </sheets>
  <definedNames>
    <definedName name="_xlnm.Print_Titles" localSheetId="0">'I-III'!$2:$3</definedName>
    <definedName name="_xlnm.Print_Titles" localSheetId="1">'IV'!$2:$3</definedName>
    <definedName name="_xlnm.Print_Titles" localSheetId="2">'V'!$2:$3</definedName>
    <definedName name="_xlnm.Print_Titles" localSheetId="3">'VI'!$2:$3</definedName>
  </definedNames>
  <calcPr fullCalcOnLoad="1"/>
</workbook>
</file>

<file path=xl/sharedStrings.xml><?xml version="1.0" encoding="utf-8"?>
<sst xmlns="http://schemas.openxmlformats.org/spreadsheetml/2006/main" count="1854" uniqueCount="279">
  <si>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</si>
  <si>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</si>
  <si>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</si>
  <si>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</si>
  <si>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</si>
  <si>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</si>
  <si>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</si>
  <si>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</si>
  <si>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700 GOSPODARKA MIESZKANIOWA</t>
  </si>
  <si>
    <t>70005 Gospodarka gruntami i nieruchomościami</t>
  </si>
  <si>
    <t>70095 Pozostała działalność</t>
  </si>
  <si>
    <t>700 GOSPODARKA MIESZKANIOWA - Suma</t>
  </si>
  <si>
    <t>710 DZIAŁALNOŚĆ USŁUGOWA</t>
  </si>
  <si>
    <t>71013 Prace geodezyjne i kartograficzne (nieinwestycyjne)</t>
  </si>
  <si>
    <t>71014 Opracowania geodezyjne i kartograficzne</t>
  </si>
  <si>
    <t>71015 Nadzór budowlany</t>
  </si>
  <si>
    <t>71095 Pozostała działalność</t>
  </si>
  <si>
    <t>710 DZIAŁALNOŚĆ USŁUGOWA - Suma</t>
  </si>
  <si>
    <t>750 ADMINISTRACJA PUBLICZNA</t>
  </si>
  <si>
    <t>75011 Urzędy wojewódzkie</t>
  </si>
  <si>
    <t>75023 Urzędy gmin (miast i miast na prawach powiatu)</t>
  </si>
  <si>
    <t>75045 Komisje poborowe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</si>
  <si>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</si>
  <si>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</si>
  <si>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</si>
  <si>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</si>
  <si>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</si>
  <si>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</si>
  <si>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</si>
  <si>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 BEZPIECZEŃSTWO PUBLICZNE I OCHRONA PRZECIWPOŻAROWA - Suma</t>
  </si>
  <si>
    <t>75601 Wpływy z podatku dochodowego od osób fizycznych</t>
  </si>
  <si>
    <t>75621 Udziały gmin w podatkach stanowiących dochód budżetu państwa</t>
  </si>
  <si>
    <t>75622 Udziały powiatów w podatkach stanowiących dochód budżetu państwa</t>
  </si>
  <si>
    <t>758 RÓŻNE ROZLICZENIA</t>
  </si>
  <si>
    <t>75801 Część oświatowa subwencji ogólnej dla jednostek samorządu terytorialnego</t>
  </si>
  <si>
    <t>75814 Różne rozliczenia finansowe</t>
  </si>
  <si>
    <t>758 RÓŻNE ROZLICZENIA - Suma</t>
  </si>
  <si>
    <t>801 OŚWIATA I WYCHOWANIE</t>
  </si>
  <si>
    <t>80101 Szkoły podstawowe</t>
  </si>
  <si>
    <t>80102 Szkoły podstawowe specjalne</t>
  </si>
  <si>
    <t>80110 Gimnazja</t>
  </si>
  <si>
    <t>80120 Licea ogólnokształcące</t>
  </si>
  <si>
    <t>80132 Szkoły artystyczne</t>
  </si>
  <si>
    <t>80140 Centra kształcenia ustawicznego i praktycznego oraz ośrodki dokształcania zawodowego</t>
  </si>
  <si>
    <t>801 OŚWIATA I WYCHOWANIE - Suma</t>
  </si>
  <si>
    <t>851 OCHRONA ZDROWIA</t>
  </si>
  <si>
    <t>851 OCHRONA ZDROWIA - Suma</t>
  </si>
  <si>
    <t>85305 Żłobki</t>
  </si>
  <si>
    <t>85333 Powiatowe urzędy pracy</t>
  </si>
  <si>
    <t>854 EDUKACYJNA OPIEKA WYCHOWAWCZA</t>
  </si>
  <si>
    <t>85403 Specjalne ośrodki szkolno - wychowawcze</t>
  </si>
  <si>
    <t>85407 Placówki wychowania pozaszkolnego</t>
  </si>
  <si>
    <t>85410 Internaty i bursy szkolne</t>
  </si>
  <si>
    <t>854 EDUKACYJNA OPIEKA WYCHOWAWCZA - Suma</t>
  </si>
  <si>
    <t>900 GOSPODARKA KOMUNALNA I OCHRONA ŚRODOWISKA</t>
  </si>
  <si>
    <t>90095 Pozostała działalność</t>
  </si>
  <si>
    <t>900 GOSPODARKA KOMUNALNA I OCHRONA ŚRODOWISKA - Suma</t>
  </si>
  <si>
    <t>% wyk</t>
  </si>
  <si>
    <t>75416 Straż Miejska</t>
  </si>
  <si>
    <t>926 KULTURA FIZYCZNA I SPORT</t>
  </si>
  <si>
    <t>926 KULTURA FIZYCZNA I SPORT - Suma</t>
  </si>
  <si>
    <t>90017 Zakłady gospodarki komunalnej</t>
  </si>
  <si>
    <t>71035 Cmentarze</t>
  </si>
  <si>
    <t>85121 Lecznictwo ambulatoryjne</t>
  </si>
  <si>
    <t>600 TRANSPORT I ŁĄCZNOŚĆ</t>
  </si>
  <si>
    <t>600 TRANSPORT I ŁĄCZNOŚĆ - Suma</t>
  </si>
  <si>
    <t>60095 Pozostała działalność</t>
  </si>
  <si>
    <t>92601 Obiekty sportowe</t>
  </si>
  <si>
    <t>75618 Wpływy z innych opłat stanowiących dochody j.s.t. na podstawie ustaw</t>
  </si>
  <si>
    <t>2110 dotacje celowe otrzymane z budżetu państwa na zadania bieżące z zakresu administracji rządowej oraz inne zadania zlecone ustawami realizowane przez powiat</t>
  </si>
  <si>
    <t>2700 środki na dofinansowanie własnych zadań bieżących gmin (związków gmin), powiatów (związków powiatów), samorządów województw, pozyskane z innych źródeł</t>
  </si>
  <si>
    <t>0690 wpływy z różnych opłat</t>
  </si>
  <si>
    <t>0920 pozostałe odsetki</t>
  </si>
  <si>
    <t>2130 dotacje celowe otrzymane z budżetu państwa na realizację bieżących zadań własnych powiatu</t>
  </si>
  <si>
    <t>0970 wpływy z różnych dochodów</t>
  </si>
  <si>
    <t>0760 wpływy z tytułu przekształcenia prawa użytkowania wieczystego przysługującego osobom fizycznym w prawo własności</t>
  </si>
  <si>
    <t>0830 wpływy z usług</t>
  </si>
  <si>
    <t>2360 dochody j.s.t. związane z realizacją zadań z zakresu administracji rządowej oraz innych zadań zleconych ustawami</t>
  </si>
  <si>
    <t>0470 wpływy z opłat za zarząd, użytkowanie i użytkowanie wieczyste nieruchomości</t>
  </si>
  <si>
    <t>6290 środki na dofinansowanie własnych inwestycji gmin (związków gmin), powiatów (związków powiatów), samorządów województw, pozyskane z innych źródeł</t>
  </si>
  <si>
    <t>2020 dotacje celowe otrzymane z budżetu państwa na zadania bieżące realizowane przez gminę na podstawie porozumień z organami administracji rządowej</t>
  </si>
  <si>
    <t>0420 wpływy z opłaty komunikacyjnej</t>
  </si>
  <si>
    <t>0590 wpływy z opłat za koncesje i licencje</t>
  </si>
  <si>
    <t>2320 dotacje celowe otrzymane z powiatu na zadania bieżące realizowane na podstawie porozumień (umów) między j.s.t.</t>
  </si>
  <si>
    <t>0480 wpływy z opłat za zezwolenia na sprzedaż alkoholu</t>
  </si>
  <si>
    <t>0570 grzywny, mandaty i inne kary pieniężne od ludności</t>
  </si>
  <si>
    <t>0910 odsetki od nieterminowych wpłat z tytułu podatków i opłat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</si>
  <si>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</si>
  <si>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</si>
  <si>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</si>
  <si>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</si>
  <si>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</si>
  <si>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0560 zaległości z podatków zniesionych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</si>
  <si>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</si>
  <si>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</si>
  <si>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</si>
  <si>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</si>
  <si>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</si>
  <si>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0410 wpływy z opłaty skarbowej</t>
  </si>
  <si>
    <t>0010 podatek dochodowy od osób fizycznych</t>
  </si>
  <si>
    <t>0020 podatek dochodowy od osób prawnych</t>
  </si>
  <si>
    <t>2030 dotacje celowe otrzymane z budżetu państwa na realizację własnych zadań bieżących gmin (związków gmin)</t>
  </si>
  <si>
    <t>6260 dotacje otrzymane z funduszy celowych na finansowanie lub dofinansowanie kosztów realizacji inwestycji i zakupów inwestycyjnych jednostek sektora finansów publicznych</t>
  </si>
  <si>
    <t>756 DOCHODY OD OSÓB PRAWNYCH, OD OSÓB FIZYCZNYCH I OD INNYCH JEDNOSTEK NIE POSIADAJĄCYCH OSOBOWOŚCI PRAWNEJ ORAZ WYDATKI ZWIĄZANE Z ICH POBOREM</t>
  </si>
  <si>
    <t>0750 dochody z najmu i dzierżawy składników majątkowych Skarbu Państwa, j.s.t. lub innych jednostek zaliczanych do sektora finansów publicznych oraz innych umów o podobnym charakterze</t>
  </si>
  <si>
    <t>852 POMOC SPOŁECZNA - Suma</t>
  </si>
  <si>
    <t>852 POMOC SPOŁECZNA</t>
  </si>
  <si>
    <t>85201 Placówki opiekuńczo - wychowawcze</t>
  </si>
  <si>
    <t>85202 Domy pomocy społecznej</t>
  </si>
  <si>
    <t>85203 Ośrodki wsparcia</t>
  </si>
  <si>
    <t>85219 Ośrodki pomocy społecznej</t>
  </si>
  <si>
    <t>853 POZOSTAŁE ZADANIA W ZAKRESIE POLITYKI SPOŁECZNEJ</t>
  </si>
  <si>
    <t>853 POZOSTAŁE ZADANIA W ZAKRESIE POLITYKI SPOŁECZNEJ - Suma</t>
  </si>
  <si>
    <t>60004 Lokalny transport zbiorowy</t>
  </si>
  <si>
    <t>60004 Lokalny transport zbiorowy - razem</t>
  </si>
  <si>
    <t>60015 Drogi publiczne w miastach na prawach powiatu</t>
  </si>
  <si>
    <t>60015 Drogi publiczne w miastach na prawach powiatu - razem</t>
  </si>
  <si>
    <t>60095 Pozostała działalność - razem</t>
  </si>
  <si>
    <t>70005 Gospodarka gruntami i nieruchomościami - razem</t>
  </si>
  <si>
    <t>70095 Pozostała działalność - razem</t>
  </si>
  <si>
    <t>71004 Plany zagospodarowania przestrzennego</t>
  </si>
  <si>
    <t>6291 środki na dofinansowanie własnych inwestycji gmin (związków gmin), powiatów (związków powiatów), samorządów województw, pozyskane z innych źródeł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</si>
  <si>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</si>
  <si>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</si>
  <si>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</si>
  <si>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</si>
  <si>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71035 Cmentarze - razem</t>
  </si>
  <si>
    <t>2701 środki na dofinansowanie własnych zadań bieżących gmin ( związków gmin), powiatów (związków powiatów), samorządów województw, pozyskane z innych źródeł</t>
  </si>
  <si>
    <t>71095 Pozostała działalność - razem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</si>
  <si>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</si>
  <si>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</si>
  <si>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 - razem</t>
  </si>
  <si>
    <t>75045 Komisje poborowe - razem</t>
  </si>
  <si>
    <t>75095 Pozostała działalność - razem</t>
  </si>
  <si>
    <t>75101 Urzędy naczelnych organów władzy państwowej, kontroli i ochrony prawa - razem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</si>
  <si>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</si>
  <si>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</si>
  <si>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 - razem</t>
  </si>
  <si>
    <t>0350 podatek od działalności gospodarczej osób fizycznych opłacany w formie karty podatkowej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</si>
  <si>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</si>
  <si>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</si>
  <si>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</si>
  <si>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</si>
  <si>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</si>
  <si>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 - razem</t>
  </si>
  <si>
    <t>75621 Udziały gmin w podatkach stanowiących dochód budżetu państwa - razem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</si>
  <si>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</si>
  <si>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</si>
  <si>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2920 subwencje ogólne z bużetu państwa</t>
  </si>
  <si>
    <t>75801 Część oświatowa subwencji ogólnej dla jednostek samorządu terytorialnego - razem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</si>
  <si>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</si>
  <si>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</si>
  <si>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</si>
  <si>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80101 Szkoły podstawowe - razem</t>
  </si>
  <si>
    <t>80102 Szkoły podstawowe specjalne - razem</t>
  </si>
  <si>
    <t>80110 Gimnazja - razem</t>
  </si>
  <si>
    <t>80120 Licea ogólnokształcące - razem</t>
  </si>
  <si>
    <t>80130 Szkoły zawodowe</t>
  </si>
  <si>
    <t>80130 Szkoły zawodowe - razem</t>
  </si>
  <si>
    <t>80132 Szkoły artystyczne - razem</t>
  </si>
  <si>
    <t>80140 Centra kształcenia ustawicznego i praktycznego oraz ośrodki dokształcania zawodowego - razem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</si>
  <si>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</si>
  <si>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</si>
  <si>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</si>
  <si>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</si>
  <si>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85201 Placówki opiekuńczo - wychowawcze - razem</t>
  </si>
  <si>
    <t>85202 Domy pomocy społecznej - razem</t>
  </si>
  <si>
    <t>85203 Ośrodki wsparcia - razem</t>
  </si>
  <si>
    <t>85212 Świadczenia rodzinne oraz składki na ubezpieczenia emerytalne i rentowe z ubezpieczenia społecznego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</si>
  <si>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</si>
  <si>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</si>
  <si>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</si>
  <si>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społeczne</t>
  </si>
  <si>
    <t>85214 Zasiłki i pomoc w naturze oraz składki na ubezpieczenia społeczne - razem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</si>
  <si>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</si>
  <si>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</si>
  <si>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</si>
  <si>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85305 Żłobki - razem</t>
  </si>
  <si>
    <t>85321 Zespoły do spraw orzekania o niepełnosprawności</t>
  </si>
  <si>
    <t>85321 Zespoły do spraw orzekania o niepełnosprawności - razem</t>
  </si>
  <si>
    <t>85333 Powiatowe urzędy pracy - razem</t>
  </si>
  <si>
    <t>85403 Specjalne ośrodki szkolno - wychowawcze - razem</t>
  </si>
  <si>
    <t>85407 Placówki wychowania pozaszkolnego - razem</t>
  </si>
  <si>
    <t>85410 Internaty i bursy szkolne - razem</t>
  </si>
  <si>
    <t>90017 Zakłady gospodarki komunalnej - razem</t>
  </si>
  <si>
    <t>90095 Pozostała działalność - razem</t>
  </si>
  <si>
    <t>92601 Obiekty sportowe - razem</t>
  </si>
  <si>
    <t>Plan 2005r.</t>
  </si>
  <si>
    <t>Informacja z wykonania dochodów budżetu miasta za okres I - III 2005r.</t>
  </si>
  <si>
    <t>Wykonanie I - III 2005r.</t>
  </si>
  <si>
    <t>85295 Pozostała działalność</t>
  </si>
  <si>
    <t>85295 Pozostała działalność - razem</t>
  </si>
  <si>
    <t>2701 środki na dofinansowanie własnych zadań bieżących gmin (związków gmin), powiatów (związków powiatów), samorządów województw, pozyskane z innych źródeł</t>
  </si>
  <si>
    <t xml:space="preserve">0830 wpływy z usług </t>
  </si>
  <si>
    <t>0840 wpływy ze sprzedaży wyrobów i składników majątkowych</t>
  </si>
  <si>
    <t>80141 Zakłady kształcenia nauczycieli</t>
  </si>
  <si>
    <t>85204 Rodziny zastępcze</t>
  </si>
  <si>
    <t>85204 Rodziny zastępcze - razem</t>
  </si>
  <si>
    <t>85401 Świetlice szkolne</t>
  </si>
  <si>
    <t>85406 Poradnie psychologiczno - pedagogiczne, w tym poradnie specjalistyczne</t>
  </si>
  <si>
    <t>85406 Poradnie psychologiczno - pedagogiczne, w tym poradnie specjalistyczne suma</t>
  </si>
  <si>
    <t>85412 Kolonie i obozy oraz inne formy wypoczynku dzieci i młodzieży szkolnej, a także szkolenia młodzieży</t>
  </si>
  <si>
    <t>85417 Szkolne schroniska młodzieżowe</t>
  </si>
  <si>
    <t>85417 Szkolne schroniska młodzieżowe - suma</t>
  </si>
  <si>
    <t>2390 wpływy do budżetu ze środków specjalnych</t>
  </si>
  <si>
    <t>75815 wpływy do wyjaśnienia</t>
  </si>
  <si>
    <t>75815 - wpływy do wyjaśnienia - razem</t>
  </si>
  <si>
    <t>2980 wpływy do wyjaśnienia</t>
  </si>
  <si>
    <t>0960 otrzymane spadki, zapisy i darowizny w postaci pieniężnej</t>
  </si>
  <si>
    <t>80104 Przedszkola</t>
  </si>
  <si>
    <t>80104 Przedszkola - razem</t>
  </si>
  <si>
    <t>2370 wpływy do budżetu nadwyżki środków obrotowych zakładu budżetowego</t>
  </si>
  <si>
    <t xml:space="preserve">80146 Dokształcanie i doskonalenie nauczycieli </t>
  </si>
  <si>
    <t>80146 Dokształcanie i doskonalenie nauczycieli - razem</t>
  </si>
  <si>
    <t>80195 Pozostała działalność</t>
  </si>
  <si>
    <t>80195 Pozostała działalność - razem</t>
  </si>
  <si>
    <t>2910 wpływy ze zwrotów dotacji wykorzystanych niezgodnie z przeznaczeniem lub pobranych w nadmiernej wysokości</t>
  </si>
  <si>
    <t xml:space="preserve">85153 Zwalczanie narkomanii </t>
  </si>
  <si>
    <t>85153 Zwalczanie narkomanii - razem</t>
  </si>
  <si>
    <t>85154 Przeciwdziałanie alkoholizmowi</t>
  </si>
  <si>
    <t xml:space="preserve">85154 Przeciwdziałanie alkoholizmowi - razem </t>
  </si>
  <si>
    <t>85158 Izby wytrzeźwiń</t>
  </si>
  <si>
    <t>85158 Izby wytrzeźwiń - razem</t>
  </si>
  <si>
    <t>85195 Pozostała działalność</t>
  </si>
  <si>
    <t>85215 Dodatki mieszkaniowe</t>
  </si>
  <si>
    <t>85215 Dodatki mieszkaniowe - razem</t>
  </si>
  <si>
    <t>85311 Rehabilitacja zawodowa i społeczna osób niepełnosprawnych</t>
  </si>
  <si>
    <t>85415 Pomoc materialna dla uczniów</t>
  </si>
  <si>
    <t>90003 Oczyszczanie miast i wsi</t>
  </si>
  <si>
    <t>90004 Utrzymanie zieleni w miastach i gminach</t>
  </si>
  <si>
    <t>90004 Utrzymanie zieleni w miastach i gminach - razem</t>
  </si>
  <si>
    <t>921 KULTURA I OCHRONA DZIEDZICTWA NARODOWEGO</t>
  </si>
  <si>
    <t>92118 Muzea</t>
  </si>
  <si>
    <t>92605 Zadania w zakresie kultury fizycznej i sportu</t>
  </si>
  <si>
    <t>92605 Zadania w zakresie kultury fizycznej i sportu- razem</t>
  </si>
  <si>
    <t>2310 dotacje celowe otrzymane z gminy na zadania bieżące realizowane na podstawie porozumień (umów) między jednostkami samorządu terytorialnego</t>
  </si>
  <si>
    <t>0770 wpłaty z tytułu odpłatnego nabycia prawa własności oraz prawa użytkowania wieczystego nieruchomości</t>
  </si>
  <si>
    <t xml:space="preserve">0840 wpływy ze sprzedaży wyrobów </t>
  </si>
  <si>
    <t>Wyszczególnienie</t>
  </si>
  <si>
    <t xml:space="preserve">wykonanie </t>
  </si>
  <si>
    <t>% wyk.</t>
  </si>
  <si>
    <t xml:space="preserve">Przychody, w tym: </t>
  </si>
  <si>
    <t>wolne środki</t>
  </si>
  <si>
    <t xml:space="preserve">kredyt </t>
  </si>
  <si>
    <t>pożyczka z WFOŚ</t>
  </si>
  <si>
    <t>Razem dochody i przychody</t>
  </si>
  <si>
    <t>plan na 2005 rok</t>
  </si>
  <si>
    <t>Wykonanie I - IV 2005r.</t>
  </si>
  <si>
    <t>Informacja z wykonania dochodów budżetu miasta za okres I - IV 2005r.</t>
  </si>
  <si>
    <t>2708 środki na dofinansowanie własnych zadań bieżących gmin ( związków gmin), powiatów (związków powiatów), samorządów województw, pozyskane z innych źródeł</t>
  </si>
  <si>
    <t>85495 Pozostała działalność</t>
  </si>
  <si>
    <t>85495 Pozostała działalność - Suma</t>
  </si>
  <si>
    <t>Informacja z wykonania dochodów budżetu miasta za okres I - V 2005r.</t>
  </si>
  <si>
    <t xml:space="preserve">0580 grzywny i inne kary pieniężne od osób prawnych i innych jednostek organizacyjnych </t>
  </si>
  <si>
    <t>2440 dotacje otrzymane z funduszy celowych na realizację zadań bieżących jednostek sektora finansów publicznych</t>
  </si>
  <si>
    <t>90011 Fundusz Ochrony Środowiska i Gospodarki Wodnej</t>
  </si>
  <si>
    <t>90011 Fundusz Ochrony Środowiska i Gospodarki Wodnej - Suma</t>
  </si>
  <si>
    <t>2139 dotacje celowe otrzymane z budżetu państwa na realizację bieżących zadań własnych powiatu</t>
  </si>
  <si>
    <t>85401 Świetlice szkolne - razem</t>
  </si>
  <si>
    <t>85415 Pomoc materialna dla uczniów - suma</t>
  </si>
  <si>
    <t>90003 Oczyszczanie miast i wsi - suma</t>
  </si>
  <si>
    <t>90004 Utrzymanie zieleni w miastach i gminach - suma</t>
  </si>
  <si>
    <t>Informacja z wykonania dochodów budżetu miasta za okres I - VI 2005r.</t>
  </si>
  <si>
    <t>Wykonanie I - VI 2005r.</t>
  </si>
  <si>
    <t>63095 Pozostała działalność - razem</t>
  </si>
  <si>
    <t>630 TURYSTYKA</t>
  </si>
  <si>
    <t>630 TURYSTYKA - Suma</t>
  </si>
  <si>
    <t xml:space="preserve">63095 Pozostała działalność </t>
  </si>
  <si>
    <t>75802 Uzupełnienie subwencji ogólnej dla jednostek samorządu terytorialnego</t>
  </si>
  <si>
    <t>75802 Uzupełnienie subwencji ogólnej dla jednostek samorządu terytorialnego - razem</t>
  </si>
  <si>
    <t>2780 środki na inwestycje rozpoczęte przed 1 stycznia 1999r.</t>
  </si>
  <si>
    <t>85395 Pozostała działalność</t>
  </si>
  <si>
    <t>85395 Pozostała działalność - razem</t>
  </si>
  <si>
    <t>0978 wpływy z różnych dochodów</t>
  </si>
  <si>
    <t>0979 wpływy z różnych dochodów</t>
  </si>
  <si>
    <t>2888 dotacja celowa przekazana jednostce samorządu terytorialnego przez inną jednostkę samorządu terytorialnego będącą instytucją wdrażającą na zadania bieżące realizowane na podstawie porozumień (umów)</t>
  </si>
  <si>
    <t>2889 dotacja celowa przekazana jednostce samorządu terytorialnego przez inną jednostkę samorządu terytorialnego będącą instytucją wdrażającą na zadania bieżące realizowane na podstawie porozumień (umów)</t>
  </si>
  <si>
    <t>0840 wpływy ze sprzedaży wyrobów</t>
  </si>
  <si>
    <t xml:space="preserve">plan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</si>
</sst>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</numFmts>
  <fonts count="14"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9"/>
      <name val="Arial CE"/>
      <family val="2"/>
    </font>
    <font>
      <i/>
      <sz val="7"/>
      <name val="Arial CE"/>
      <family val="2"/>
    </font>
    <font>
      <sz val="7"/>
      <color indexed="9"/>
      <name val="Arial CE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sz val="7"/>
      <color indexed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164" fontId="2" fillId="0" borderId="1" xfId="19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64" fontId="2" fillId="0" borderId="1" xfId="19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left"/>
    </xf>
    <xf numFmtId="3" fontId="2" fillId="0" borderId="8" xfId="0" applyNumberFormat="1" applyFont="1" applyBorder="1" applyAlignment="1">
      <alignment horizontal="left" vertical="top" wrapText="1"/>
    </xf>
    <xf numFmtId="164" fontId="2" fillId="2" borderId="1" xfId="19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left"/>
    </xf>
    <xf numFmtId="164" fontId="2" fillId="3" borderId="1" xfId="19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2" borderId="9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9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left"/>
    </xf>
    <xf numFmtId="3" fontId="5" fillId="3" borderId="11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left"/>
    </xf>
    <xf numFmtId="3" fontId="5" fillId="3" borderId="12" xfId="0" applyNumberFormat="1" applyFont="1" applyFill="1" applyBorder="1" applyAlignment="1">
      <alignment horizontal="left"/>
    </xf>
    <xf numFmtId="3" fontId="5" fillId="3" borderId="8" xfId="0" applyNumberFormat="1" applyFont="1" applyFill="1" applyBorder="1" applyAlignment="1">
      <alignment horizontal="left"/>
    </xf>
    <xf numFmtId="3" fontId="3" fillId="0" borderId="9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/>
    </xf>
    <xf numFmtId="3" fontId="3" fillId="0" borderId="8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left"/>
    </xf>
    <xf numFmtId="3" fontId="3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/>
    </xf>
    <xf numFmtId="3" fontId="3" fillId="3" borderId="15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horizontal="left" vertical="top" wrapText="1"/>
    </xf>
    <xf numFmtId="3" fontId="3" fillId="2" borderId="17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2" fillId="0" borderId="16" xfId="0" applyNumberFormat="1" applyFont="1" applyBorder="1" applyAlignment="1">
      <alignment horizontal="left" vertical="top" wrapText="1"/>
    </xf>
    <xf numFmtId="3" fontId="3" fillId="2" borderId="18" xfId="0" applyNumberFormat="1" applyFont="1" applyFill="1" applyBorder="1" applyAlignment="1">
      <alignment horizontal="left"/>
    </xf>
    <xf numFmtId="3" fontId="3" fillId="0" borderId="5" xfId="0" applyNumberFormat="1" applyFont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left" vertical="top" wrapText="1"/>
    </xf>
    <xf numFmtId="3" fontId="3" fillId="3" borderId="21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left" vertical="top" wrapText="1"/>
    </xf>
    <xf numFmtId="3" fontId="3" fillId="3" borderId="7" xfId="0" applyNumberFormat="1" applyFont="1" applyFill="1" applyBorder="1" applyAlignment="1">
      <alignment horizontal="left"/>
    </xf>
    <xf numFmtId="3" fontId="3" fillId="3" borderId="22" xfId="0" applyNumberFormat="1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0" xfId="19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2" fillId="0" borderId="23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5" fillId="3" borderId="13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3" fontId="11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2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horizontal="left" vertical="top" wrapText="1"/>
    </xf>
    <xf numFmtId="164" fontId="11" fillId="2" borderId="1" xfId="19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/>
    </xf>
    <xf numFmtId="3" fontId="1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 indent="1"/>
    </xf>
    <xf numFmtId="3" fontId="3" fillId="2" borderId="16" xfId="0" applyNumberFormat="1" applyFont="1" applyFill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3" fillId="3" borderId="9" xfId="0" applyNumberFormat="1" applyFont="1" applyFill="1" applyBorder="1" applyAlignment="1">
      <alignment horizontal="left" vertical="top" wrapText="1"/>
    </xf>
    <xf numFmtId="3" fontId="3" fillId="3" borderId="16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11" xfId="0" applyNumberFormat="1" applyFont="1" applyFill="1" applyBorder="1" applyAlignment="1">
      <alignment horizontal="left" vertical="top" wrapText="1"/>
    </xf>
    <xf numFmtId="3" fontId="2" fillId="2" borderId="2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3" fillId="0" borderId="21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3" fillId="0" borderId="25" xfId="0" applyNumberFormat="1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2" borderId="9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9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left" vertical="top" wrapText="1"/>
    </xf>
    <xf numFmtId="3" fontId="3" fillId="0" borderId="28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left" vertical="top" wrapText="1"/>
    </xf>
    <xf numFmtId="3" fontId="3" fillId="0" borderId="8" xfId="0" applyNumberFormat="1" applyFont="1" applyFill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3" fontId="3" fillId="3" borderId="12" xfId="0" applyNumberFormat="1" applyFont="1" applyFill="1" applyBorder="1" applyAlignment="1">
      <alignment horizontal="left"/>
    </xf>
    <xf numFmtId="3" fontId="3" fillId="0" borderId="9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workbookViewId="0" topLeftCell="A1">
      <pane xSplit="3" ySplit="3" topLeftCell="D32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35" sqref="G335"/>
    </sheetView>
  </sheetViews>
  <sheetFormatPr defaultColWidth="9.140625" defaultRowHeight="12"/>
  <cols>
    <col min="1" max="1" width="15.8515625" style="16" customWidth="1"/>
    <col min="2" max="2" width="21.421875" style="16" customWidth="1"/>
    <col min="3" max="3" width="31.421875" style="16" customWidth="1"/>
    <col min="4" max="4" width="10.8515625" style="11" customWidth="1"/>
    <col min="5" max="5" width="11.00390625" style="11" customWidth="1"/>
    <col min="6" max="6" width="10.00390625" style="11" customWidth="1"/>
    <col min="7" max="7" width="10.28125" style="11" customWidth="1"/>
    <col min="8" max="8" width="11.00390625" style="11" customWidth="1"/>
    <col min="9" max="9" width="11.140625" style="11" customWidth="1"/>
    <col min="10" max="10" width="10.00390625" style="11" customWidth="1"/>
    <col min="11" max="11" width="9.28125" style="11" customWidth="1"/>
    <col min="12" max="12" width="8.8515625" style="11" customWidth="1"/>
    <col min="13" max="13" width="10.8515625" style="11" customWidth="1"/>
    <col min="14" max="14" width="8.140625" style="11" customWidth="1"/>
    <col min="15" max="15" width="15.421875" style="1" customWidth="1"/>
    <col min="16" max="16384" width="9.28125" style="1" customWidth="1"/>
  </cols>
  <sheetData>
    <row r="1" spans="1:14" ht="41.2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9.75">
      <c r="A2" s="14"/>
      <c r="B2" s="14"/>
      <c r="C2" s="15"/>
      <c r="D2" s="136" t="s">
        <v>187</v>
      </c>
      <c r="E2" s="137"/>
      <c r="F2" s="137"/>
      <c r="G2" s="137"/>
      <c r="H2" s="138"/>
      <c r="I2" s="136" t="s">
        <v>189</v>
      </c>
      <c r="J2" s="137"/>
      <c r="K2" s="137"/>
      <c r="L2" s="137"/>
      <c r="M2" s="138"/>
      <c r="N2" s="83"/>
      <c r="O2" s="78"/>
    </row>
    <row r="3" spans="1:15" s="3" customFormat="1" ht="29.25">
      <c r="A3" s="70" t="s">
        <v>0</v>
      </c>
      <c r="B3" s="20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57</v>
      </c>
      <c r="O3" s="79"/>
    </row>
    <row r="4" spans="1:15" ht="9.75">
      <c r="A4" s="134" t="s">
        <v>64</v>
      </c>
      <c r="B4" s="124" t="s">
        <v>113</v>
      </c>
      <c r="C4" s="17" t="s">
        <v>71</v>
      </c>
      <c r="D4" s="4">
        <v>7000</v>
      </c>
      <c r="E4" s="4"/>
      <c r="F4" s="4"/>
      <c r="G4" s="4"/>
      <c r="H4" s="7">
        <f aca="true" t="shared" si="0" ref="H4:H12">SUM(D4:G4)</f>
        <v>7000</v>
      </c>
      <c r="I4" s="7">
        <v>5939</v>
      </c>
      <c r="J4" s="7"/>
      <c r="K4" s="7"/>
      <c r="L4" s="7"/>
      <c r="M4" s="7">
        <f>SUM(I4:L4)</f>
        <v>5939</v>
      </c>
      <c r="N4" s="5">
        <f aca="true" t="shared" si="1" ref="N4:N9">M4/H4</f>
        <v>0.8484285714285714</v>
      </c>
      <c r="O4" s="78"/>
    </row>
    <row r="5" spans="1:15" ht="48.75">
      <c r="A5" s="134"/>
      <c r="B5" s="124"/>
      <c r="C5" s="18" t="s">
        <v>104</v>
      </c>
      <c r="D5" s="4">
        <v>26220</v>
      </c>
      <c r="E5" s="4"/>
      <c r="F5" s="4"/>
      <c r="G5" s="4"/>
      <c r="H5" s="7">
        <f t="shared" si="0"/>
        <v>26220</v>
      </c>
      <c r="I5" s="7">
        <v>8787</v>
      </c>
      <c r="J5" s="7"/>
      <c r="K5" s="7"/>
      <c r="L5" s="7"/>
      <c r="M5" s="7">
        <f>SUM(I5:L5)</f>
        <v>8787</v>
      </c>
      <c r="N5" s="5">
        <f t="shared" si="1"/>
        <v>0.3351258581235698</v>
      </c>
      <c r="O5" s="78"/>
    </row>
    <row r="6" spans="1:15" ht="9.75">
      <c r="A6" s="134"/>
      <c r="B6" s="124"/>
      <c r="C6" s="18" t="s">
        <v>76</v>
      </c>
      <c r="D6" s="4">
        <v>66486450</v>
      </c>
      <c r="E6" s="4"/>
      <c r="F6" s="4"/>
      <c r="G6" s="4"/>
      <c r="H6" s="7">
        <f t="shared" si="0"/>
        <v>66486450</v>
      </c>
      <c r="I6" s="7">
        <v>15615660</v>
      </c>
      <c r="J6" s="7"/>
      <c r="K6" s="7"/>
      <c r="L6" s="7"/>
      <c r="M6" s="7">
        <f aca="true" t="shared" si="2" ref="M6:M21">SUM(I6:L6)</f>
        <v>15615660</v>
      </c>
      <c r="N6" s="5">
        <f t="shared" si="1"/>
        <v>0.23486981181879918</v>
      </c>
      <c r="O6" s="78"/>
    </row>
    <row r="7" spans="1:15" ht="9.75">
      <c r="A7" s="135"/>
      <c r="B7" s="124"/>
      <c r="C7" s="18" t="s">
        <v>72</v>
      </c>
      <c r="D7" s="4">
        <f>42200-26220</f>
        <v>15980</v>
      </c>
      <c r="E7" s="4"/>
      <c r="F7" s="4"/>
      <c r="G7" s="4"/>
      <c r="H7" s="7">
        <f t="shared" si="0"/>
        <v>15980</v>
      </c>
      <c r="I7" s="7">
        <v>15078</v>
      </c>
      <c r="J7" s="9"/>
      <c r="K7" s="9"/>
      <c r="L7" s="9"/>
      <c r="M7" s="7">
        <f t="shared" si="2"/>
        <v>15078</v>
      </c>
      <c r="N7" s="5">
        <f t="shared" si="1"/>
        <v>0.9435544430538173</v>
      </c>
      <c r="O7" s="78"/>
    </row>
    <row r="8" spans="1:15" ht="9.75">
      <c r="A8" s="68"/>
      <c r="B8" s="124"/>
      <c r="C8" s="22" t="s">
        <v>74</v>
      </c>
      <c r="D8" s="4">
        <v>131350</v>
      </c>
      <c r="E8" s="4"/>
      <c r="F8" s="4"/>
      <c r="G8" s="4"/>
      <c r="H8" s="7">
        <f t="shared" si="0"/>
        <v>131350</v>
      </c>
      <c r="I8" s="7">
        <v>35961</v>
      </c>
      <c r="J8" s="13"/>
      <c r="K8" s="13"/>
      <c r="L8" s="13"/>
      <c r="M8" s="7">
        <f t="shared" si="2"/>
        <v>35961</v>
      </c>
      <c r="N8" s="5">
        <f t="shared" si="1"/>
        <v>0.27377997716025887</v>
      </c>
      <c r="O8" s="78"/>
    </row>
    <row r="9" spans="1:15" ht="39">
      <c r="A9" s="68"/>
      <c r="B9" s="17"/>
      <c r="C9" s="22" t="s">
        <v>235</v>
      </c>
      <c r="D9" s="4">
        <v>3403217</v>
      </c>
      <c r="E9" s="4"/>
      <c r="F9" s="4"/>
      <c r="G9" s="4"/>
      <c r="H9" s="7">
        <f t="shared" si="0"/>
        <v>3403217</v>
      </c>
      <c r="I9" s="7">
        <v>564199</v>
      </c>
      <c r="J9" s="13"/>
      <c r="K9" s="13"/>
      <c r="L9" s="13"/>
      <c r="M9" s="7">
        <f t="shared" si="2"/>
        <v>564199</v>
      </c>
      <c r="N9" s="5">
        <f t="shared" si="1"/>
        <v>0.165784021412681</v>
      </c>
      <c r="O9" s="78"/>
    </row>
    <row r="10" spans="1:15" ht="9.75">
      <c r="A10" s="68"/>
      <c r="B10" s="29" t="s">
        <v>114</v>
      </c>
      <c r="C10" s="29"/>
      <c r="D10" s="6">
        <f>SUM(D4:D9)</f>
        <v>70070217</v>
      </c>
      <c r="E10" s="6">
        <f>SUM(E4:E9)</f>
        <v>0</v>
      </c>
      <c r="F10" s="6">
        <f>SUM(F4:F9)</f>
        <v>0</v>
      </c>
      <c r="G10" s="6">
        <f>SUM(G4:G9)</f>
        <v>0</v>
      </c>
      <c r="H10" s="6">
        <f t="shared" si="0"/>
        <v>70070217</v>
      </c>
      <c r="I10" s="6">
        <f>SUM(I4:I9)</f>
        <v>16245624</v>
      </c>
      <c r="J10" s="6">
        <f>SUM(J4:J9)</f>
        <v>0</v>
      </c>
      <c r="K10" s="6">
        <f>SUM(K4:K9)</f>
        <v>0</v>
      </c>
      <c r="L10" s="6">
        <f>SUM(L4:L9)</f>
        <v>0</v>
      </c>
      <c r="M10" s="6">
        <f>SUM(I10:L10)</f>
        <v>16245624</v>
      </c>
      <c r="N10" s="28">
        <f aca="true" t="shared" si="3" ref="N10:N94">M10/H10</f>
        <v>0.23184777635268347</v>
      </c>
      <c r="O10" s="78"/>
    </row>
    <row r="11" spans="1:15" s="10" customFormat="1" ht="9.75">
      <c r="A11" s="69"/>
      <c r="B11" s="120" t="s">
        <v>115</v>
      </c>
      <c r="C11" s="17" t="s">
        <v>71</v>
      </c>
      <c r="D11" s="13"/>
      <c r="E11" s="7">
        <v>780000</v>
      </c>
      <c r="F11" s="13"/>
      <c r="G11" s="13"/>
      <c r="H11" s="7">
        <f t="shared" si="0"/>
        <v>780000</v>
      </c>
      <c r="I11" s="7">
        <v>147271</v>
      </c>
      <c r="J11" s="13"/>
      <c r="K11" s="13"/>
      <c r="L11" s="13"/>
      <c r="M11" s="7">
        <f t="shared" si="2"/>
        <v>147271</v>
      </c>
      <c r="N11" s="5">
        <f t="shared" si="3"/>
        <v>0.18880897435897437</v>
      </c>
      <c r="O11" s="80"/>
    </row>
    <row r="12" spans="1:15" s="10" customFormat="1" ht="48.75">
      <c r="A12" s="69"/>
      <c r="B12" s="121"/>
      <c r="C12" s="18" t="s">
        <v>104</v>
      </c>
      <c r="D12" s="13"/>
      <c r="E12" s="7">
        <v>80000</v>
      </c>
      <c r="F12" s="13"/>
      <c r="G12" s="13"/>
      <c r="H12" s="7">
        <f t="shared" si="0"/>
        <v>80000</v>
      </c>
      <c r="I12" s="7">
        <v>7508</v>
      </c>
      <c r="J12" s="13"/>
      <c r="K12" s="13"/>
      <c r="L12" s="13"/>
      <c r="M12" s="7">
        <f t="shared" si="2"/>
        <v>7508</v>
      </c>
      <c r="N12" s="5">
        <f t="shared" si="3"/>
        <v>0.09385</v>
      </c>
      <c r="O12" s="80"/>
    </row>
    <row r="13" spans="1:15" s="10" customFormat="1" ht="9.75">
      <c r="A13" s="69"/>
      <c r="B13" s="121"/>
      <c r="C13" s="18" t="s">
        <v>72</v>
      </c>
      <c r="D13" s="13"/>
      <c r="E13" s="7"/>
      <c r="F13" s="13"/>
      <c r="G13" s="13"/>
      <c r="H13" s="7"/>
      <c r="I13" s="7">
        <v>4490</v>
      </c>
      <c r="J13" s="13"/>
      <c r="K13" s="13"/>
      <c r="L13" s="13"/>
      <c r="M13" s="7">
        <f t="shared" si="2"/>
        <v>4490</v>
      </c>
      <c r="N13" s="5"/>
      <c r="O13" s="80"/>
    </row>
    <row r="14" spans="1:15" s="10" customFormat="1" ht="9.75">
      <c r="A14" s="69"/>
      <c r="B14" s="121"/>
      <c r="C14" s="18" t="s">
        <v>74</v>
      </c>
      <c r="D14" s="13"/>
      <c r="E14" s="7">
        <v>40000</v>
      </c>
      <c r="F14" s="13"/>
      <c r="G14" s="13"/>
      <c r="H14" s="7">
        <f aca="true" t="shared" si="4" ref="H14:H24">SUM(D14:G14)</f>
        <v>40000</v>
      </c>
      <c r="I14" s="7">
        <v>33826</v>
      </c>
      <c r="J14" s="13"/>
      <c r="K14" s="13"/>
      <c r="L14" s="13"/>
      <c r="M14" s="7">
        <f t="shared" si="2"/>
        <v>33826</v>
      </c>
      <c r="N14" s="5">
        <f t="shared" si="3"/>
        <v>0.84565</v>
      </c>
      <c r="O14" s="80"/>
    </row>
    <row r="15" spans="1:15" s="10" customFormat="1" ht="19.5">
      <c r="A15" s="69"/>
      <c r="B15" s="121"/>
      <c r="C15" s="17" t="s">
        <v>204</v>
      </c>
      <c r="D15" s="13"/>
      <c r="E15" s="7">
        <v>417392</v>
      </c>
      <c r="F15" s="13"/>
      <c r="G15" s="13"/>
      <c r="H15" s="7">
        <f t="shared" si="4"/>
        <v>417392</v>
      </c>
      <c r="I15" s="7">
        <v>417392</v>
      </c>
      <c r="J15" s="13"/>
      <c r="K15" s="13"/>
      <c r="L15" s="13"/>
      <c r="M15" s="7">
        <f t="shared" si="2"/>
        <v>417392</v>
      </c>
      <c r="N15" s="5">
        <f t="shared" si="3"/>
        <v>1</v>
      </c>
      <c r="O15" s="80"/>
    </row>
    <row r="16" spans="1:15" ht="48.75">
      <c r="A16" s="68"/>
      <c r="B16" s="121"/>
      <c r="C16" s="17" t="s">
        <v>70</v>
      </c>
      <c r="D16" s="4"/>
      <c r="E16" s="4">
        <v>186234</v>
      </c>
      <c r="F16" s="4"/>
      <c r="G16" s="4"/>
      <c r="H16" s="7">
        <f t="shared" si="4"/>
        <v>186234</v>
      </c>
      <c r="I16" s="62"/>
      <c r="J16" s="7">
        <v>852</v>
      </c>
      <c r="K16" s="9"/>
      <c r="L16" s="9"/>
      <c r="M16" s="7">
        <f t="shared" si="2"/>
        <v>852</v>
      </c>
      <c r="N16" s="5">
        <f t="shared" si="3"/>
        <v>0.004574889654950224</v>
      </c>
      <c r="O16" s="78"/>
    </row>
    <row r="17" spans="1:15" ht="39">
      <c r="A17" s="68"/>
      <c r="B17" s="122"/>
      <c r="C17" s="22" t="s">
        <v>79</v>
      </c>
      <c r="D17" s="4"/>
      <c r="E17" s="4">
        <v>10250000</v>
      </c>
      <c r="F17" s="4"/>
      <c r="G17" s="4"/>
      <c r="H17" s="7">
        <f t="shared" si="4"/>
        <v>10250000</v>
      </c>
      <c r="I17" s="7"/>
      <c r="J17" s="13"/>
      <c r="K17" s="13"/>
      <c r="L17" s="13"/>
      <c r="M17" s="7">
        <f t="shared" si="2"/>
        <v>0</v>
      </c>
      <c r="N17" s="5">
        <f t="shared" si="3"/>
        <v>0</v>
      </c>
      <c r="O17" s="78"/>
    </row>
    <row r="18" spans="1:15" ht="9.75">
      <c r="A18" s="68"/>
      <c r="B18" s="29" t="s">
        <v>116</v>
      </c>
      <c r="C18" s="29"/>
      <c r="D18" s="6">
        <f>SUM(D11:D17)</f>
        <v>0</v>
      </c>
      <c r="E18" s="6">
        <f>SUM(E11:E17)</f>
        <v>11753626</v>
      </c>
      <c r="F18" s="6">
        <f>SUM(F11:F17)</f>
        <v>0</v>
      </c>
      <c r="G18" s="6">
        <f>SUM(G11:G17)</f>
        <v>0</v>
      </c>
      <c r="H18" s="6">
        <f t="shared" si="4"/>
        <v>11753626</v>
      </c>
      <c r="I18" s="6">
        <f>SUM(I11:I17)</f>
        <v>610487</v>
      </c>
      <c r="J18" s="6">
        <f>SUM(J11:J17)</f>
        <v>852</v>
      </c>
      <c r="K18" s="6">
        <f>SUM(K11:K17)</f>
        <v>0</v>
      </c>
      <c r="L18" s="6">
        <f>SUM(L11:L17)</f>
        <v>0</v>
      </c>
      <c r="M18" s="6">
        <f>SUM(I18:L18)</f>
        <v>611339</v>
      </c>
      <c r="N18" s="28">
        <f t="shared" si="3"/>
        <v>0.05201280013503918</v>
      </c>
      <c r="O18" s="78"/>
    </row>
    <row r="19" spans="1:15" ht="9.75">
      <c r="A19" s="68"/>
      <c r="B19" s="120" t="s">
        <v>66</v>
      </c>
      <c r="C19" s="18" t="s">
        <v>71</v>
      </c>
      <c r="D19" s="4">
        <v>100000</v>
      </c>
      <c r="E19" s="4"/>
      <c r="F19" s="4"/>
      <c r="G19" s="4"/>
      <c r="H19" s="7">
        <f t="shared" si="4"/>
        <v>100000</v>
      </c>
      <c r="I19" s="7">
        <v>14140</v>
      </c>
      <c r="J19" s="7"/>
      <c r="K19" s="7"/>
      <c r="L19" s="7"/>
      <c r="M19" s="7">
        <f t="shared" si="2"/>
        <v>14140</v>
      </c>
      <c r="N19" s="5">
        <f t="shared" si="3"/>
        <v>0.1414</v>
      </c>
      <c r="O19" s="78"/>
    </row>
    <row r="20" spans="1:15" ht="48.75">
      <c r="A20" s="68"/>
      <c r="B20" s="121"/>
      <c r="C20" s="17" t="s">
        <v>70</v>
      </c>
      <c r="D20" s="4"/>
      <c r="E20" s="4"/>
      <c r="F20" s="4"/>
      <c r="G20" s="4"/>
      <c r="H20" s="7">
        <f>SUM(D20:G20)</f>
        <v>0</v>
      </c>
      <c r="I20" s="7">
        <v>0</v>
      </c>
      <c r="J20" s="7">
        <v>3092</v>
      </c>
      <c r="K20" s="7"/>
      <c r="L20" s="7"/>
      <c r="M20" s="7">
        <f>SUM(I20:L20)</f>
        <v>3092</v>
      </c>
      <c r="N20" s="5"/>
      <c r="O20" s="78"/>
    </row>
    <row r="21" spans="1:15" ht="48.75">
      <c r="A21" s="68"/>
      <c r="B21" s="122"/>
      <c r="C21" s="17" t="s">
        <v>192</v>
      </c>
      <c r="D21" s="4">
        <v>161709</v>
      </c>
      <c r="E21" s="4"/>
      <c r="F21" s="4"/>
      <c r="G21" s="4"/>
      <c r="H21" s="7">
        <f t="shared" si="4"/>
        <v>161709</v>
      </c>
      <c r="I21" s="7">
        <v>0</v>
      </c>
      <c r="J21" s="7"/>
      <c r="K21" s="7"/>
      <c r="L21" s="7"/>
      <c r="M21" s="7">
        <f t="shared" si="2"/>
        <v>0</v>
      </c>
      <c r="N21" s="5">
        <f t="shared" si="3"/>
        <v>0</v>
      </c>
      <c r="O21" s="78"/>
    </row>
    <row r="22" spans="1:15" ht="9.75">
      <c r="A22" s="68"/>
      <c r="B22" s="29" t="s">
        <v>117</v>
      </c>
      <c r="C22" s="29"/>
      <c r="D22" s="6">
        <f>SUM(D19:D21)</f>
        <v>261709</v>
      </c>
      <c r="E22" s="6">
        <f>SUM(E19:E21)</f>
        <v>0</v>
      </c>
      <c r="F22" s="6">
        <f>SUM(F19:F21)</f>
        <v>0</v>
      </c>
      <c r="G22" s="6">
        <f>SUM(G19:G21)</f>
        <v>0</v>
      </c>
      <c r="H22" s="6">
        <f t="shared" si="4"/>
        <v>261709</v>
      </c>
      <c r="I22" s="6">
        <f>SUM(I19:I21)</f>
        <v>14140</v>
      </c>
      <c r="J22" s="6">
        <f>SUM(J19:J21)</f>
        <v>3092</v>
      </c>
      <c r="K22" s="6">
        <f>SUM(K19:K21)</f>
        <v>0</v>
      </c>
      <c r="L22" s="6">
        <f>SUM(L19:L21)</f>
        <v>0</v>
      </c>
      <c r="M22" s="6">
        <f>SUM(I22:L22)</f>
        <v>17232</v>
      </c>
      <c r="N22" s="28">
        <f t="shared" si="3"/>
        <v>0.06584412458111873</v>
      </c>
      <c r="O22" s="78"/>
    </row>
    <row r="23" spans="1:15" ht="11.25">
      <c r="A23" s="53" t="s">
        <v>65</v>
      </c>
      <c r="B23" s="24"/>
      <c r="C23" s="24"/>
      <c r="D23" s="25">
        <f aca="true" t="shared" si="5" ref="D23:L23">SUM(D22,D18,D10)</f>
        <v>70331926</v>
      </c>
      <c r="E23" s="25">
        <f>SUM(E22,E18,E10)</f>
        <v>11753626</v>
      </c>
      <c r="F23" s="25">
        <f>SUM(F22,F18,F10)</f>
        <v>0</v>
      </c>
      <c r="G23" s="25">
        <f>SUM(G22,G18,G10)</f>
        <v>0</v>
      </c>
      <c r="H23" s="25">
        <f t="shared" si="4"/>
        <v>82085552</v>
      </c>
      <c r="I23" s="25">
        <f t="shared" si="5"/>
        <v>16870251</v>
      </c>
      <c r="J23" s="25">
        <f t="shared" si="5"/>
        <v>3944</v>
      </c>
      <c r="K23" s="25">
        <f t="shared" si="5"/>
        <v>0</v>
      </c>
      <c r="L23" s="25">
        <f t="shared" si="5"/>
        <v>0</v>
      </c>
      <c r="M23" s="25">
        <f>SUM(I23:L23)</f>
        <v>16874195</v>
      </c>
      <c r="N23" s="30">
        <f t="shared" si="3"/>
        <v>0.2055683928397046</v>
      </c>
      <c r="O23" s="78"/>
    </row>
    <row r="24" spans="1:15" ht="29.25">
      <c r="A24" s="54" t="s">
        <v>8</v>
      </c>
      <c r="B24" s="23" t="s">
        <v>9</v>
      </c>
      <c r="C24" s="17" t="s">
        <v>78</v>
      </c>
      <c r="D24" s="4">
        <v>2200000</v>
      </c>
      <c r="E24" s="4"/>
      <c r="F24" s="4"/>
      <c r="G24" s="4"/>
      <c r="H24" s="7">
        <f t="shared" si="4"/>
        <v>2200000</v>
      </c>
      <c r="I24" s="7">
        <v>1456333</v>
      </c>
      <c r="J24" s="7"/>
      <c r="K24" s="7"/>
      <c r="L24" s="7"/>
      <c r="M24" s="7">
        <f aca="true" t="shared" si="6" ref="M24:M34">SUM(I24:L24)</f>
        <v>1456333</v>
      </c>
      <c r="N24" s="5">
        <f t="shared" si="3"/>
        <v>0.6619695454545454</v>
      </c>
      <c r="O24" s="78"/>
    </row>
    <row r="25" spans="1:15" ht="48.75">
      <c r="A25" s="68"/>
      <c r="B25" s="19"/>
      <c r="C25" s="18" t="s">
        <v>104</v>
      </c>
      <c r="D25" s="4">
        <v>6800000</v>
      </c>
      <c r="E25" s="4"/>
      <c r="F25" s="4"/>
      <c r="G25" s="4"/>
      <c r="H25" s="7">
        <f aca="true" t="shared" si="7" ref="H25:H105">SUM(D25:G25)</f>
        <v>6800000</v>
      </c>
      <c r="I25" s="7">
        <v>1441019</v>
      </c>
      <c r="J25" s="9"/>
      <c r="K25" s="9"/>
      <c r="L25" s="9"/>
      <c r="M25" s="7">
        <f t="shared" si="6"/>
        <v>1441019</v>
      </c>
      <c r="N25" s="5">
        <f t="shared" si="3"/>
        <v>0.21191455882352941</v>
      </c>
      <c r="O25" s="78"/>
    </row>
    <row r="26" spans="1:15" ht="39">
      <c r="A26" s="68"/>
      <c r="B26" s="19"/>
      <c r="C26" s="18" t="s">
        <v>75</v>
      </c>
      <c r="D26" s="4">
        <v>760000</v>
      </c>
      <c r="E26" s="4"/>
      <c r="F26" s="4"/>
      <c r="G26" s="4"/>
      <c r="H26" s="7">
        <f t="shared" si="7"/>
        <v>760000</v>
      </c>
      <c r="I26" s="7">
        <v>173934</v>
      </c>
      <c r="J26" s="7"/>
      <c r="K26" s="7"/>
      <c r="L26" s="7"/>
      <c r="M26" s="7">
        <f t="shared" si="6"/>
        <v>173934</v>
      </c>
      <c r="N26" s="5">
        <f t="shared" si="3"/>
        <v>0.2288605263157895</v>
      </c>
      <c r="O26" s="78"/>
    </row>
    <row r="27" spans="1:15" ht="29.25">
      <c r="A27" s="68"/>
      <c r="B27" s="19"/>
      <c r="C27" s="18" t="s">
        <v>236</v>
      </c>
      <c r="D27" s="4">
        <v>19150000</v>
      </c>
      <c r="E27" s="4"/>
      <c r="F27" s="4"/>
      <c r="G27" s="4"/>
      <c r="H27" s="7">
        <f t="shared" si="7"/>
        <v>19150000</v>
      </c>
      <c r="I27" s="7">
        <v>6534534</v>
      </c>
      <c r="J27" s="7"/>
      <c r="K27" s="7"/>
      <c r="L27" s="7"/>
      <c r="M27" s="7">
        <f t="shared" si="6"/>
        <v>6534534</v>
      </c>
      <c r="N27" s="5">
        <f t="shared" si="3"/>
        <v>0.3412289295039164</v>
      </c>
      <c r="O27" s="78"/>
    </row>
    <row r="28" spans="1:15" ht="9.75">
      <c r="A28" s="68"/>
      <c r="B28" s="19"/>
      <c r="C28" s="18" t="s">
        <v>76</v>
      </c>
      <c r="D28" s="4"/>
      <c r="E28" s="4"/>
      <c r="F28" s="4"/>
      <c r="G28" s="4"/>
      <c r="H28" s="7"/>
      <c r="I28" s="7">
        <v>26986</v>
      </c>
      <c r="J28" s="7"/>
      <c r="K28" s="7"/>
      <c r="L28" s="7"/>
      <c r="M28" s="7">
        <f t="shared" si="6"/>
        <v>26986</v>
      </c>
      <c r="N28" s="5"/>
      <c r="O28" s="78"/>
    </row>
    <row r="29" spans="1:15" ht="9.75">
      <c r="A29" s="68"/>
      <c r="B29" s="19"/>
      <c r="C29" s="18" t="s">
        <v>72</v>
      </c>
      <c r="D29" s="4"/>
      <c r="E29" s="4"/>
      <c r="F29" s="4"/>
      <c r="G29" s="4"/>
      <c r="H29" s="7"/>
      <c r="I29" s="7">
        <v>25248</v>
      </c>
      <c r="J29" s="7"/>
      <c r="K29" s="7"/>
      <c r="L29" s="7"/>
      <c r="M29" s="7">
        <f t="shared" si="6"/>
        <v>25248</v>
      </c>
      <c r="N29" s="5"/>
      <c r="O29" s="78"/>
    </row>
    <row r="30" spans="1:15" ht="9.75">
      <c r="A30" s="68"/>
      <c r="B30" s="19"/>
      <c r="C30" s="18" t="s">
        <v>74</v>
      </c>
      <c r="D30" s="4"/>
      <c r="E30" s="4"/>
      <c r="F30" s="4"/>
      <c r="G30" s="4"/>
      <c r="H30" s="7"/>
      <c r="I30" s="7">
        <v>2486</v>
      </c>
      <c r="J30" s="7"/>
      <c r="K30" s="7"/>
      <c r="L30" s="7"/>
      <c r="M30" s="7">
        <f t="shared" si="6"/>
        <v>2486</v>
      </c>
      <c r="N30" s="5"/>
      <c r="O30" s="78"/>
    </row>
    <row r="31" spans="1:15" ht="39">
      <c r="A31" s="68"/>
      <c r="B31" s="19"/>
      <c r="C31" s="18" t="s">
        <v>69</v>
      </c>
      <c r="D31" s="4"/>
      <c r="E31" s="4"/>
      <c r="F31" s="4"/>
      <c r="G31" s="4">
        <v>125000</v>
      </c>
      <c r="H31" s="7">
        <f t="shared" si="7"/>
        <v>125000</v>
      </c>
      <c r="I31" s="7"/>
      <c r="J31" s="7"/>
      <c r="K31" s="7"/>
      <c r="L31" s="7">
        <v>10000</v>
      </c>
      <c r="M31" s="7">
        <f t="shared" si="6"/>
        <v>10000</v>
      </c>
      <c r="N31" s="5">
        <f t="shared" si="3"/>
        <v>0.08</v>
      </c>
      <c r="O31" s="78"/>
    </row>
    <row r="32" spans="1:15" ht="31.5" customHeight="1">
      <c r="A32" s="68"/>
      <c r="B32" s="19"/>
      <c r="C32" s="22" t="s">
        <v>77</v>
      </c>
      <c r="D32" s="4"/>
      <c r="E32" s="4">
        <v>2285000</v>
      </c>
      <c r="F32" s="4"/>
      <c r="G32" s="4"/>
      <c r="H32" s="7">
        <f t="shared" si="7"/>
        <v>2285000</v>
      </c>
      <c r="I32" s="9"/>
      <c r="J32" s="7">
        <v>678413</v>
      </c>
      <c r="K32" s="9"/>
      <c r="L32" s="9"/>
      <c r="M32" s="7">
        <f t="shared" si="6"/>
        <v>678413</v>
      </c>
      <c r="N32" s="5">
        <f t="shared" si="3"/>
        <v>0.2968984682713348</v>
      </c>
      <c r="O32" s="78"/>
    </row>
    <row r="33" spans="1:15" ht="9.75">
      <c r="A33" s="68"/>
      <c r="B33" s="29" t="s">
        <v>118</v>
      </c>
      <c r="C33" s="29"/>
      <c r="D33" s="6">
        <f>SUM(D24:D32)</f>
        <v>28910000</v>
      </c>
      <c r="E33" s="6">
        <f>SUM(E24:E32)</f>
        <v>2285000</v>
      </c>
      <c r="F33" s="6">
        <f>SUM(F24:F32)</f>
        <v>0</v>
      </c>
      <c r="G33" s="6">
        <f>SUM(G24:G32)</f>
        <v>125000</v>
      </c>
      <c r="H33" s="6">
        <f>SUM(D33:G33)</f>
        <v>31320000</v>
      </c>
      <c r="I33" s="6">
        <f>SUM(I24:I32)</f>
        <v>9660540</v>
      </c>
      <c r="J33" s="6">
        <f>SUM(J24:J32)</f>
        <v>678413</v>
      </c>
      <c r="K33" s="6">
        <f>SUM(K24:K32)</f>
        <v>0</v>
      </c>
      <c r="L33" s="6">
        <f>SUM(L24:L32)</f>
        <v>10000</v>
      </c>
      <c r="M33" s="6">
        <f>SUM(I33:L33)</f>
        <v>10348953</v>
      </c>
      <c r="N33" s="28">
        <f t="shared" si="3"/>
        <v>0.3304263409961686</v>
      </c>
      <c r="O33" s="78"/>
    </row>
    <row r="34" spans="1:15" s="10" customFormat="1" ht="48.75">
      <c r="A34" s="68"/>
      <c r="B34" s="120" t="s">
        <v>10</v>
      </c>
      <c r="C34" s="18" t="s">
        <v>104</v>
      </c>
      <c r="D34" s="4">
        <v>5500000</v>
      </c>
      <c r="E34" s="4"/>
      <c r="F34" s="4"/>
      <c r="G34" s="4"/>
      <c r="H34" s="7">
        <f>SUM(D34:G34)</f>
        <v>5500000</v>
      </c>
      <c r="I34" s="7">
        <v>1426366</v>
      </c>
      <c r="J34" s="13"/>
      <c r="K34" s="13"/>
      <c r="L34" s="13"/>
      <c r="M34" s="7">
        <f t="shared" si="6"/>
        <v>1426366</v>
      </c>
      <c r="N34" s="5">
        <f t="shared" si="3"/>
        <v>0.25933927272727275</v>
      </c>
      <c r="O34" s="80"/>
    </row>
    <row r="35" spans="1:15" s="10" customFormat="1" ht="9.75">
      <c r="A35" s="68"/>
      <c r="B35" s="122"/>
      <c r="C35" s="18" t="s">
        <v>72</v>
      </c>
      <c r="D35" s="4"/>
      <c r="E35" s="4"/>
      <c r="F35" s="4"/>
      <c r="G35" s="4"/>
      <c r="H35" s="7"/>
      <c r="I35" s="7">
        <v>10791</v>
      </c>
      <c r="J35" s="13"/>
      <c r="K35" s="13"/>
      <c r="L35" s="13"/>
      <c r="M35" s="7"/>
      <c r="N35" s="5"/>
      <c r="O35" s="80"/>
    </row>
    <row r="36" spans="1:15" s="11" customFormat="1" ht="9.75">
      <c r="A36" s="68"/>
      <c r="B36" s="29" t="s">
        <v>119</v>
      </c>
      <c r="C36" s="29"/>
      <c r="D36" s="6">
        <f>SUM(D34)</f>
        <v>5500000</v>
      </c>
      <c r="E36" s="6">
        <f>SUM(E34)</f>
        <v>0</v>
      </c>
      <c r="F36" s="6">
        <f>SUM(F34)</f>
        <v>0</v>
      </c>
      <c r="G36" s="6">
        <f>SUM(G34)</f>
        <v>0</v>
      </c>
      <c r="H36" s="6">
        <f>SUM(D36:G36)</f>
        <v>5500000</v>
      </c>
      <c r="I36" s="6">
        <f>SUM(I34:I35)</f>
        <v>1437157</v>
      </c>
      <c r="J36" s="6">
        <f>SUM(J34:J35)</f>
        <v>0</v>
      </c>
      <c r="K36" s="6">
        <f>SUM(K34:K35)</f>
        <v>0</v>
      </c>
      <c r="L36" s="6">
        <f>SUM(L34:L35)</f>
        <v>0</v>
      </c>
      <c r="M36" s="6">
        <f aca="true" t="shared" si="8" ref="M36:M71">SUM(I36:L36)</f>
        <v>1437157</v>
      </c>
      <c r="N36" s="28">
        <f t="shared" si="3"/>
        <v>0.2613012727272727</v>
      </c>
      <c r="O36" s="81"/>
    </row>
    <row r="37" spans="1:15" ht="11.25">
      <c r="A37" s="53" t="s">
        <v>11</v>
      </c>
      <c r="B37" s="24"/>
      <c r="C37" s="24"/>
      <c r="D37" s="25">
        <f>SUM(D36,D33)</f>
        <v>34410000</v>
      </c>
      <c r="E37" s="25">
        <f>SUM(E36,E33)</f>
        <v>2285000</v>
      </c>
      <c r="F37" s="25">
        <f>SUM(F36,F33)</f>
        <v>0</v>
      </c>
      <c r="G37" s="25">
        <f>SUM(G36,G33)</f>
        <v>125000</v>
      </c>
      <c r="H37" s="25">
        <f t="shared" si="7"/>
        <v>36820000</v>
      </c>
      <c r="I37" s="25">
        <f>SUM(I36,I33)</f>
        <v>11097697</v>
      </c>
      <c r="J37" s="25">
        <f>SUM(J36,J33)</f>
        <v>678413</v>
      </c>
      <c r="K37" s="25">
        <f>SUM(K36,K33)</f>
        <v>0</v>
      </c>
      <c r="L37" s="25">
        <f>SUM(L36,L33)</f>
        <v>10000</v>
      </c>
      <c r="M37" s="25">
        <f t="shared" si="8"/>
        <v>11786110</v>
      </c>
      <c r="N37" s="30">
        <f t="shared" si="3"/>
        <v>0.3201007604562738</v>
      </c>
      <c r="O37" s="78"/>
    </row>
    <row r="38" spans="1:15" s="10" customFormat="1" ht="48.75">
      <c r="A38" s="54" t="s">
        <v>12</v>
      </c>
      <c r="B38" s="22" t="s">
        <v>120</v>
      </c>
      <c r="C38" s="17" t="s">
        <v>192</v>
      </c>
      <c r="D38" s="4">
        <v>103960</v>
      </c>
      <c r="E38" s="47"/>
      <c r="F38" s="47"/>
      <c r="G38" s="47"/>
      <c r="H38" s="7">
        <f t="shared" si="7"/>
        <v>103960</v>
      </c>
      <c r="I38" s="7">
        <v>152</v>
      </c>
      <c r="J38" s="47"/>
      <c r="K38" s="47"/>
      <c r="L38" s="47"/>
      <c r="M38" s="7">
        <f t="shared" si="8"/>
        <v>152</v>
      </c>
      <c r="N38" s="5">
        <f t="shared" si="3"/>
        <v>0.001462100808003078</v>
      </c>
      <c r="O38" s="80"/>
    </row>
    <row r="39" spans="1:15" ht="39">
      <c r="A39" s="55"/>
      <c r="B39" s="48"/>
      <c r="C39" s="18" t="s">
        <v>121</v>
      </c>
      <c r="D39" s="4">
        <v>7960</v>
      </c>
      <c r="E39" s="4"/>
      <c r="F39" s="4"/>
      <c r="G39" s="4"/>
      <c r="H39" s="7">
        <f t="shared" si="7"/>
        <v>7960</v>
      </c>
      <c r="I39" s="7">
        <v>0</v>
      </c>
      <c r="J39" s="7"/>
      <c r="K39" s="7"/>
      <c r="L39" s="7"/>
      <c r="M39" s="7">
        <f t="shared" si="8"/>
        <v>0</v>
      </c>
      <c r="N39" s="5">
        <f t="shared" si="3"/>
        <v>0</v>
      </c>
      <c r="O39" s="78"/>
    </row>
    <row r="40" spans="1:15" ht="9.75">
      <c r="A40" s="68"/>
      <c r="B40" s="29" t="s">
        <v>122</v>
      </c>
      <c r="C40" s="29"/>
      <c r="D40" s="6">
        <f>SUM(D38:D39)</f>
        <v>111920</v>
      </c>
      <c r="E40" s="6">
        <f>SUM(E38:E39)</f>
        <v>0</v>
      </c>
      <c r="F40" s="6">
        <f>SUM(F38:F39)</f>
        <v>0</v>
      </c>
      <c r="G40" s="6">
        <f>SUM(G38:G39)</f>
        <v>0</v>
      </c>
      <c r="H40" s="6">
        <f t="shared" si="7"/>
        <v>111920</v>
      </c>
      <c r="I40" s="6">
        <f>SUM(I38:I39)</f>
        <v>152</v>
      </c>
      <c r="J40" s="6">
        <f>SUM(J38:J39)</f>
        <v>0</v>
      </c>
      <c r="K40" s="6">
        <f>SUM(K38:K39)</f>
        <v>0</v>
      </c>
      <c r="L40" s="6">
        <f>SUM(L38:L39)</f>
        <v>0</v>
      </c>
      <c r="M40" s="6">
        <f t="shared" si="8"/>
        <v>152</v>
      </c>
      <c r="N40" s="28">
        <f t="shared" si="3"/>
        <v>0.0013581129378127234</v>
      </c>
      <c r="O40" s="78"/>
    </row>
    <row r="41" spans="1:15" ht="39">
      <c r="A41" s="68"/>
      <c r="B41" s="23" t="s">
        <v>13</v>
      </c>
      <c r="C41" s="27" t="s">
        <v>69</v>
      </c>
      <c r="D41" s="4"/>
      <c r="E41" s="4"/>
      <c r="F41" s="4"/>
      <c r="G41" s="4">
        <v>173000</v>
      </c>
      <c r="H41" s="7">
        <f t="shared" si="7"/>
        <v>173000</v>
      </c>
      <c r="I41" s="13"/>
      <c r="J41" s="13"/>
      <c r="K41" s="13"/>
      <c r="L41" s="13"/>
      <c r="M41" s="7">
        <f t="shared" si="8"/>
        <v>0</v>
      </c>
      <c r="N41" s="5">
        <f t="shared" si="3"/>
        <v>0</v>
      </c>
      <c r="O41" s="78"/>
    </row>
    <row r="42" spans="1:15" s="11" customFormat="1" ht="9.75">
      <c r="A42" s="68"/>
      <c r="B42" s="29" t="s">
        <v>123</v>
      </c>
      <c r="C42" s="29"/>
      <c r="D42" s="6">
        <f>SUM(D41)</f>
        <v>0</v>
      </c>
      <c r="E42" s="6">
        <f>SUM(E41)</f>
        <v>0</v>
      </c>
      <c r="F42" s="6">
        <f>SUM(F41)</f>
        <v>0</v>
      </c>
      <c r="G42" s="6">
        <f>SUM(G41)</f>
        <v>173000</v>
      </c>
      <c r="H42" s="6">
        <f t="shared" si="7"/>
        <v>173000</v>
      </c>
      <c r="I42" s="6">
        <f>SUM(I41)</f>
        <v>0</v>
      </c>
      <c r="J42" s="6">
        <f>SUM(J41)</f>
        <v>0</v>
      </c>
      <c r="K42" s="6">
        <f>SUM(K41)</f>
        <v>0</v>
      </c>
      <c r="L42" s="6">
        <f>SUM(L41)</f>
        <v>0</v>
      </c>
      <c r="M42" s="6">
        <f t="shared" si="8"/>
        <v>0</v>
      </c>
      <c r="N42" s="28">
        <f t="shared" si="3"/>
        <v>0</v>
      </c>
      <c r="O42" s="81"/>
    </row>
    <row r="43" spans="1:15" ht="39">
      <c r="A43" s="68"/>
      <c r="B43" s="23" t="s">
        <v>14</v>
      </c>
      <c r="C43" s="27" t="s">
        <v>69</v>
      </c>
      <c r="D43" s="4"/>
      <c r="E43" s="4"/>
      <c r="F43" s="4"/>
      <c r="G43" s="4">
        <v>60000</v>
      </c>
      <c r="H43" s="7">
        <f t="shared" si="7"/>
        <v>60000</v>
      </c>
      <c r="I43" s="7"/>
      <c r="J43" s="7"/>
      <c r="K43" s="7"/>
      <c r="L43" s="7"/>
      <c r="M43" s="7">
        <f t="shared" si="8"/>
        <v>0</v>
      </c>
      <c r="N43" s="5">
        <f t="shared" si="3"/>
        <v>0</v>
      </c>
      <c r="O43" s="78"/>
    </row>
    <row r="44" spans="1:15" ht="9.75">
      <c r="A44" s="68"/>
      <c r="B44" s="29" t="s">
        <v>124</v>
      </c>
      <c r="C44" s="29"/>
      <c r="D44" s="6">
        <f>SUM(D43)</f>
        <v>0</v>
      </c>
      <c r="E44" s="6">
        <f>SUM(E43)</f>
        <v>0</v>
      </c>
      <c r="F44" s="6">
        <f>SUM(F43)</f>
        <v>0</v>
      </c>
      <c r="G44" s="6">
        <f>SUM(G43)</f>
        <v>60000</v>
      </c>
      <c r="H44" s="6">
        <f t="shared" si="7"/>
        <v>60000</v>
      </c>
      <c r="I44" s="6">
        <f>SUM(I43)</f>
        <v>0</v>
      </c>
      <c r="J44" s="6">
        <f>SUM(J43)</f>
        <v>0</v>
      </c>
      <c r="K44" s="6">
        <f>SUM(K43)</f>
        <v>0</v>
      </c>
      <c r="L44" s="6">
        <f>SUM(L43)</f>
        <v>0</v>
      </c>
      <c r="M44" s="6">
        <f t="shared" si="8"/>
        <v>0</v>
      </c>
      <c r="N44" s="28">
        <f t="shared" si="3"/>
        <v>0</v>
      </c>
      <c r="O44" s="78"/>
    </row>
    <row r="45" spans="1:15" s="10" customFormat="1" ht="9.75">
      <c r="A45" s="69"/>
      <c r="B45" s="120" t="s">
        <v>15</v>
      </c>
      <c r="C45" s="18" t="s">
        <v>72</v>
      </c>
      <c r="D45" s="13"/>
      <c r="E45" s="13"/>
      <c r="F45" s="13"/>
      <c r="G45" s="13"/>
      <c r="H45" s="7"/>
      <c r="I45" s="13"/>
      <c r="J45" s="7">
        <v>180</v>
      </c>
      <c r="K45" s="13"/>
      <c r="L45" s="13"/>
      <c r="M45" s="7">
        <f t="shared" si="8"/>
        <v>180</v>
      </c>
      <c r="N45" s="5"/>
      <c r="O45" s="80"/>
    </row>
    <row r="46" spans="1:15" ht="39">
      <c r="A46" s="68"/>
      <c r="B46" s="121"/>
      <c r="C46" s="18" t="s">
        <v>69</v>
      </c>
      <c r="D46" s="4"/>
      <c r="E46" s="4"/>
      <c r="F46" s="4"/>
      <c r="G46" s="4">
        <v>434400</v>
      </c>
      <c r="H46" s="7">
        <f t="shared" si="7"/>
        <v>434400</v>
      </c>
      <c r="I46" s="7"/>
      <c r="J46" s="7"/>
      <c r="K46" s="7"/>
      <c r="L46" s="7">
        <v>130200</v>
      </c>
      <c r="M46" s="7">
        <f t="shared" si="8"/>
        <v>130200</v>
      </c>
      <c r="N46" s="5">
        <f t="shared" si="3"/>
        <v>0.29972375690607733</v>
      </c>
      <c r="O46" s="78"/>
    </row>
    <row r="47" spans="1:15" ht="29.25">
      <c r="A47" s="68"/>
      <c r="B47" s="122"/>
      <c r="C47" s="22" t="s">
        <v>77</v>
      </c>
      <c r="D47" s="4"/>
      <c r="E47" s="4">
        <v>250</v>
      </c>
      <c r="F47" s="4"/>
      <c r="G47" s="4"/>
      <c r="H47" s="7">
        <f t="shared" si="7"/>
        <v>250</v>
      </c>
      <c r="I47" s="7"/>
      <c r="J47" s="7"/>
      <c r="K47" s="7"/>
      <c r="L47" s="7"/>
      <c r="M47" s="7">
        <f t="shared" si="8"/>
        <v>0</v>
      </c>
      <c r="N47" s="5">
        <f t="shared" si="3"/>
        <v>0</v>
      </c>
      <c r="O47" s="78"/>
    </row>
    <row r="48" spans="1:15" ht="9.75">
      <c r="A48" s="68"/>
      <c r="B48" s="29" t="s">
        <v>125</v>
      </c>
      <c r="C48" s="29"/>
      <c r="D48" s="6">
        <f>SUM(D46:D47)</f>
        <v>0</v>
      </c>
      <c r="E48" s="6">
        <f>SUM(E46:E47)</f>
        <v>250</v>
      </c>
      <c r="F48" s="6">
        <f>SUM(F46:F47)</f>
        <v>0</v>
      </c>
      <c r="G48" s="6">
        <f>SUM(G46:G47)</f>
        <v>434400</v>
      </c>
      <c r="H48" s="6">
        <f t="shared" si="7"/>
        <v>434650</v>
      </c>
      <c r="I48" s="6">
        <f>SUM(I45:I47)</f>
        <v>0</v>
      </c>
      <c r="J48" s="6">
        <f>SUM(J45:J47)</f>
        <v>180</v>
      </c>
      <c r="K48" s="6">
        <f>SUM(K45:K47)</f>
        <v>0</v>
      </c>
      <c r="L48" s="6">
        <f>SUM(L45:L47)</f>
        <v>130200</v>
      </c>
      <c r="M48" s="6">
        <f>SUM(I48:L48)</f>
        <v>130380</v>
      </c>
      <c r="N48" s="28">
        <f t="shared" si="3"/>
        <v>0.29996548947428964</v>
      </c>
      <c r="O48" s="78"/>
    </row>
    <row r="49" spans="1:15" s="10" customFormat="1" ht="9.75">
      <c r="A49" s="69"/>
      <c r="B49" s="119" t="s">
        <v>62</v>
      </c>
      <c r="C49" s="18" t="s">
        <v>71</v>
      </c>
      <c r="D49" s="13"/>
      <c r="E49" s="13"/>
      <c r="F49" s="13"/>
      <c r="G49" s="13"/>
      <c r="H49" s="7"/>
      <c r="I49" s="7">
        <v>421</v>
      </c>
      <c r="J49" s="13"/>
      <c r="K49" s="13"/>
      <c r="L49" s="13"/>
      <c r="M49" s="7">
        <f t="shared" si="8"/>
        <v>421</v>
      </c>
      <c r="N49" s="5"/>
      <c r="O49" s="80"/>
    </row>
    <row r="50" spans="1:15" s="10" customFormat="1" ht="9.75">
      <c r="A50" s="69"/>
      <c r="B50" s="119"/>
      <c r="C50" s="18" t="s">
        <v>72</v>
      </c>
      <c r="D50" s="13"/>
      <c r="E50" s="13"/>
      <c r="F50" s="13"/>
      <c r="G50" s="13"/>
      <c r="H50" s="7"/>
      <c r="I50" s="7">
        <v>49</v>
      </c>
      <c r="J50" s="13"/>
      <c r="K50" s="13"/>
      <c r="L50" s="13"/>
      <c r="M50" s="7">
        <f t="shared" si="8"/>
        <v>49</v>
      </c>
      <c r="N50" s="5"/>
      <c r="O50" s="80"/>
    </row>
    <row r="51" spans="1:15" ht="39">
      <c r="A51" s="68"/>
      <c r="B51" s="119"/>
      <c r="C51" s="27" t="s">
        <v>80</v>
      </c>
      <c r="D51" s="4">
        <v>27500</v>
      </c>
      <c r="E51" s="4"/>
      <c r="F51" s="4"/>
      <c r="G51" s="4"/>
      <c r="H51" s="7">
        <f t="shared" si="7"/>
        <v>27500</v>
      </c>
      <c r="I51" s="7">
        <v>27500</v>
      </c>
      <c r="J51" s="7"/>
      <c r="K51" s="7"/>
      <c r="L51" s="7"/>
      <c r="M51" s="7">
        <f t="shared" si="8"/>
        <v>27500</v>
      </c>
      <c r="N51" s="5">
        <f t="shared" si="3"/>
        <v>1</v>
      </c>
      <c r="O51" s="78"/>
    </row>
    <row r="52" spans="1:15" ht="9.75">
      <c r="A52" s="68"/>
      <c r="B52" s="29" t="s">
        <v>126</v>
      </c>
      <c r="C52" s="29"/>
      <c r="D52" s="6">
        <f>SUM(D51)</f>
        <v>27500</v>
      </c>
      <c r="E52" s="6">
        <f>SUM(E51)</f>
        <v>0</v>
      </c>
      <c r="F52" s="6">
        <f>SUM(F51)</f>
        <v>0</v>
      </c>
      <c r="G52" s="6">
        <f>SUM(G51)</f>
        <v>0</v>
      </c>
      <c r="H52" s="6">
        <f t="shared" si="7"/>
        <v>27500</v>
      </c>
      <c r="I52" s="6">
        <f>SUM(I49:I51)</f>
        <v>27970</v>
      </c>
      <c r="J52" s="6">
        <f>SUM(J49:J51)</f>
        <v>0</v>
      </c>
      <c r="K52" s="6">
        <f>SUM(K49:K51)</f>
        <v>0</v>
      </c>
      <c r="L52" s="6">
        <f>SUM(L49:L51)</f>
        <v>0</v>
      </c>
      <c r="M52" s="6">
        <f t="shared" si="8"/>
        <v>27970</v>
      </c>
      <c r="N52" s="28">
        <f t="shared" si="3"/>
        <v>1.017090909090909</v>
      </c>
      <c r="O52" s="78"/>
    </row>
    <row r="53" spans="1:15" ht="48.75">
      <c r="A53" s="68"/>
      <c r="B53" s="23" t="s">
        <v>16</v>
      </c>
      <c r="C53" s="17" t="s">
        <v>104</v>
      </c>
      <c r="D53" s="4">
        <f>216200-97200</f>
        <v>119000</v>
      </c>
      <c r="E53" s="4"/>
      <c r="F53" s="4"/>
      <c r="G53" s="4"/>
      <c r="H53" s="7">
        <f t="shared" si="7"/>
        <v>119000</v>
      </c>
      <c r="I53" s="7"/>
      <c r="J53" s="7"/>
      <c r="K53" s="7"/>
      <c r="L53" s="7"/>
      <c r="M53" s="7">
        <f t="shared" si="8"/>
        <v>0</v>
      </c>
      <c r="N53" s="5">
        <f t="shared" si="3"/>
        <v>0</v>
      </c>
      <c r="O53" s="78"/>
    </row>
    <row r="54" spans="1:15" ht="9.75">
      <c r="A54" s="68"/>
      <c r="B54" s="19"/>
      <c r="C54" s="18" t="s">
        <v>76</v>
      </c>
      <c r="D54" s="4">
        <f>110000+266500</f>
        <v>376500</v>
      </c>
      <c r="E54" s="4"/>
      <c r="F54" s="4"/>
      <c r="G54" s="4"/>
      <c r="H54" s="7">
        <f t="shared" si="7"/>
        <v>376500</v>
      </c>
      <c r="I54" s="7"/>
      <c r="J54" s="7"/>
      <c r="K54" s="7"/>
      <c r="L54" s="7"/>
      <c r="M54" s="7">
        <f t="shared" si="8"/>
        <v>0</v>
      </c>
      <c r="N54" s="5">
        <f t="shared" si="3"/>
        <v>0</v>
      </c>
      <c r="O54" s="78"/>
    </row>
    <row r="55" spans="1:15" ht="9.75">
      <c r="A55" s="68"/>
      <c r="B55" s="19"/>
      <c r="C55" s="18" t="s">
        <v>72</v>
      </c>
      <c r="D55" s="4"/>
      <c r="E55" s="4"/>
      <c r="F55" s="4"/>
      <c r="G55" s="4"/>
      <c r="H55" s="7"/>
      <c r="I55" s="7">
        <v>9</v>
      </c>
      <c r="J55" s="7"/>
      <c r="K55" s="7"/>
      <c r="L55" s="7"/>
      <c r="M55" s="7">
        <f t="shared" si="8"/>
        <v>9</v>
      </c>
      <c r="N55" s="5"/>
      <c r="O55" s="78"/>
    </row>
    <row r="56" spans="1:15" ht="48.75">
      <c r="A56" s="68"/>
      <c r="B56" s="19"/>
      <c r="C56" s="22" t="s">
        <v>127</v>
      </c>
      <c r="D56" s="4">
        <f>103960-103960</f>
        <v>0</v>
      </c>
      <c r="E56" s="4"/>
      <c r="F56" s="4"/>
      <c r="G56" s="4"/>
      <c r="H56" s="7">
        <f t="shared" si="7"/>
        <v>0</v>
      </c>
      <c r="I56" s="9"/>
      <c r="J56" s="9"/>
      <c r="K56" s="9"/>
      <c r="L56" s="9"/>
      <c r="M56" s="7">
        <f t="shared" si="8"/>
        <v>0</v>
      </c>
      <c r="N56" s="5"/>
      <c r="O56" s="78"/>
    </row>
    <row r="57" spans="1:15" ht="9.75">
      <c r="A57" s="68"/>
      <c r="B57" s="29" t="s">
        <v>128</v>
      </c>
      <c r="C57" s="29"/>
      <c r="D57" s="6">
        <f>SUM(D53:D56)</f>
        <v>495500</v>
      </c>
      <c r="E57" s="6">
        <f>SUM(E53:E56)</f>
        <v>0</v>
      </c>
      <c r="F57" s="6">
        <f>SUM(F53:F56)</f>
        <v>0</v>
      </c>
      <c r="G57" s="6">
        <f>SUM(G53:G56)</f>
        <v>0</v>
      </c>
      <c r="H57" s="6">
        <f t="shared" si="7"/>
        <v>495500</v>
      </c>
      <c r="I57" s="6">
        <f>SUM(I53:I56)</f>
        <v>9</v>
      </c>
      <c r="J57" s="6">
        <f>SUM(J53:J56)</f>
        <v>0</v>
      </c>
      <c r="K57" s="6">
        <f>SUM(K53:K56)</f>
        <v>0</v>
      </c>
      <c r="L57" s="6">
        <f>SUM(L53:L56)</f>
        <v>0</v>
      </c>
      <c r="M57" s="6">
        <f t="shared" si="8"/>
        <v>9</v>
      </c>
      <c r="N57" s="28">
        <f t="shared" si="3"/>
        <v>1.8163471241170535E-05</v>
      </c>
      <c r="O57" s="78"/>
    </row>
    <row r="58" spans="1:15" ht="11.25">
      <c r="A58" s="53" t="s">
        <v>17</v>
      </c>
      <c r="B58" s="24"/>
      <c r="C58" s="24"/>
      <c r="D58" s="25">
        <f aca="true" t="shared" si="9" ref="D58:L58">SUM(D57,D52,D48,D44,D42,D40)</f>
        <v>634920</v>
      </c>
      <c r="E58" s="25">
        <f>SUM(E57,E52,E48,E44,E42,E40)</f>
        <v>250</v>
      </c>
      <c r="F58" s="25">
        <f>SUM(F57,F52,F48,F44,F42,F40)</f>
        <v>0</v>
      </c>
      <c r="G58" s="25">
        <f>SUM(G57,G52,G48,G44,G42,G40)</f>
        <v>667400</v>
      </c>
      <c r="H58" s="25">
        <f>SUM(D58:G58)</f>
        <v>1302570</v>
      </c>
      <c r="I58" s="25">
        <f t="shared" si="9"/>
        <v>28131</v>
      </c>
      <c r="J58" s="25">
        <f t="shared" si="9"/>
        <v>180</v>
      </c>
      <c r="K58" s="25">
        <f t="shared" si="9"/>
        <v>0</v>
      </c>
      <c r="L58" s="25">
        <f t="shared" si="9"/>
        <v>130200</v>
      </c>
      <c r="M58" s="25">
        <f t="shared" si="8"/>
        <v>158511</v>
      </c>
      <c r="N58" s="30">
        <f t="shared" si="3"/>
        <v>0.12169096478500195</v>
      </c>
      <c r="O58" s="78"/>
    </row>
    <row r="59" spans="1:15" ht="48.75">
      <c r="A59" s="54" t="s">
        <v>18</v>
      </c>
      <c r="B59" s="23" t="s">
        <v>19</v>
      </c>
      <c r="C59" s="17" t="s">
        <v>129</v>
      </c>
      <c r="D59" s="4"/>
      <c r="E59" s="4"/>
      <c r="F59" s="4">
        <v>1054500</v>
      </c>
      <c r="G59" s="4"/>
      <c r="H59" s="7">
        <f t="shared" si="7"/>
        <v>1054500</v>
      </c>
      <c r="I59" s="7"/>
      <c r="J59" s="7"/>
      <c r="K59" s="7">
        <v>263765</v>
      </c>
      <c r="L59" s="7"/>
      <c r="M59" s="7">
        <f t="shared" si="8"/>
        <v>263765</v>
      </c>
      <c r="N59" s="5">
        <f t="shared" si="3"/>
        <v>0.2501327643432907</v>
      </c>
      <c r="O59" s="78"/>
    </row>
    <row r="60" spans="1:15" ht="39">
      <c r="A60" s="68"/>
      <c r="B60" s="19"/>
      <c r="C60" s="18" t="s">
        <v>69</v>
      </c>
      <c r="D60" s="4"/>
      <c r="E60" s="4"/>
      <c r="F60" s="4"/>
      <c r="G60" s="4">
        <v>531300</v>
      </c>
      <c r="H60" s="7">
        <f t="shared" si="7"/>
        <v>531300</v>
      </c>
      <c r="I60" s="7"/>
      <c r="J60" s="7"/>
      <c r="K60" s="7"/>
      <c r="L60" s="7">
        <v>144700</v>
      </c>
      <c r="M60" s="7">
        <f t="shared" si="8"/>
        <v>144700</v>
      </c>
      <c r="N60" s="5">
        <f t="shared" si="3"/>
        <v>0.27235083756822887</v>
      </c>
      <c r="O60" s="78"/>
    </row>
    <row r="61" spans="1:15" ht="29.25">
      <c r="A61" s="68"/>
      <c r="B61" s="19"/>
      <c r="C61" s="22" t="s">
        <v>77</v>
      </c>
      <c r="D61" s="4">
        <f>81000-11765</f>
        <v>69235</v>
      </c>
      <c r="E61" s="4">
        <v>1250</v>
      </c>
      <c r="F61" s="4"/>
      <c r="G61" s="4"/>
      <c r="H61" s="7">
        <f t="shared" si="7"/>
        <v>70485</v>
      </c>
      <c r="I61" s="7">
        <v>10839</v>
      </c>
      <c r="J61" s="7">
        <v>4086</v>
      </c>
      <c r="K61" s="7"/>
      <c r="L61" s="7"/>
      <c r="M61" s="7">
        <f t="shared" si="8"/>
        <v>14925</v>
      </c>
      <c r="N61" s="5">
        <f t="shared" si="3"/>
        <v>0.21174718025111725</v>
      </c>
      <c r="O61" s="78"/>
    </row>
    <row r="62" spans="1:15" ht="9.75">
      <c r="A62" s="68"/>
      <c r="B62" s="29" t="s">
        <v>130</v>
      </c>
      <c r="C62" s="29"/>
      <c r="D62" s="6">
        <f>SUM(D59:D61)</f>
        <v>69235</v>
      </c>
      <c r="E62" s="6">
        <f>SUM(E59:E61)</f>
        <v>1250</v>
      </c>
      <c r="F62" s="6">
        <f>SUM(F59:F61)</f>
        <v>1054500</v>
      </c>
      <c r="G62" s="6">
        <f>SUM(G59:G61)</f>
        <v>531300</v>
      </c>
      <c r="H62" s="6">
        <f>SUM(D62:G62)</f>
        <v>1656285</v>
      </c>
      <c r="I62" s="6">
        <f>SUM(I59:I61)</f>
        <v>10839</v>
      </c>
      <c r="J62" s="6">
        <f>SUM(J59:J61)</f>
        <v>4086</v>
      </c>
      <c r="K62" s="6">
        <f>SUM(K59:K61)</f>
        <v>263765</v>
      </c>
      <c r="L62" s="6">
        <f>SUM(L59:L61)</f>
        <v>144700</v>
      </c>
      <c r="M62" s="6">
        <f t="shared" si="8"/>
        <v>423390</v>
      </c>
      <c r="N62" s="28">
        <f t="shared" si="3"/>
        <v>0.2556262961990237</v>
      </c>
      <c r="O62" s="78"/>
    </row>
    <row r="63" spans="1:15" ht="9.75">
      <c r="A63" s="68"/>
      <c r="B63" s="130" t="s">
        <v>20</v>
      </c>
      <c r="C63" s="17" t="s">
        <v>82</v>
      </c>
      <c r="D63" s="4">
        <v>12000</v>
      </c>
      <c r="E63" s="4">
        <v>24000</v>
      </c>
      <c r="F63" s="4"/>
      <c r="G63" s="4"/>
      <c r="H63" s="7">
        <f t="shared" si="7"/>
        <v>36000</v>
      </c>
      <c r="I63" s="7">
        <v>3552</v>
      </c>
      <c r="J63" s="7">
        <v>11026</v>
      </c>
      <c r="K63" s="7"/>
      <c r="L63" s="7"/>
      <c r="M63" s="7">
        <f t="shared" si="8"/>
        <v>14578</v>
      </c>
      <c r="N63" s="5">
        <f t="shared" si="3"/>
        <v>0.40494444444444444</v>
      </c>
      <c r="O63" s="78"/>
    </row>
    <row r="64" spans="1:15" ht="9.75">
      <c r="A64" s="68"/>
      <c r="B64" s="139"/>
      <c r="C64" s="18" t="s">
        <v>71</v>
      </c>
      <c r="D64" s="4">
        <v>391600</v>
      </c>
      <c r="E64" s="4">
        <v>15400</v>
      </c>
      <c r="F64" s="4"/>
      <c r="G64" s="4"/>
      <c r="H64" s="7">
        <f t="shared" si="7"/>
        <v>407000</v>
      </c>
      <c r="I64" s="7">
        <v>177016</v>
      </c>
      <c r="J64" s="7">
        <v>10640</v>
      </c>
      <c r="K64" s="7"/>
      <c r="L64" s="7"/>
      <c r="M64" s="7">
        <f t="shared" si="8"/>
        <v>187656</v>
      </c>
      <c r="N64" s="5">
        <f t="shared" si="3"/>
        <v>0.4610712530712531</v>
      </c>
      <c r="O64" s="78"/>
    </row>
    <row r="65" spans="1:15" ht="48.75">
      <c r="A65" s="68"/>
      <c r="B65" s="19"/>
      <c r="C65" s="18" t="s">
        <v>104</v>
      </c>
      <c r="D65" s="4">
        <v>385000</v>
      </c>
      <c r="E65" s="4"/>
      <c r="F65" s="4"/>
      <c r="G65" s="4"/>
      <c r="H65" s="7">
        <f t="shared" si="7"/>
        <v>385000</v>
      </c>
      <c r="I65" s="7">
        <v>61572</v>
      </c>
      <c r="J65" s="7"/>
      <c r="K65" s="7"/>
      <c r="L65" s="7"/>
      <c r="M65" s="7">
        <f t="shared" si="8"/>
        <v>61572</v>
      </c>
      <c r="N65" s="5">
        <f t="shared" si="3"/>
        <v>0.15992727272727272</v>
      </c>
      <c r="O65" s="78"/>
    </row>
    <row r="66" spans="1:15" ht="9.75">
      <c r="A66" s="68"/>
      <c r="B66" s="19"/>
      <c r="C66" s="18" t="s">
        <v>237</v>
      </c>
      <c r="D66" s="4"/>
      <c r="E66" s="4"/>
      <c r="F66" s="4"/>
      <c r="G66" s="4"/>
      <c r="H66" s="7"/>
      <c r="I66" s="7">
        <v>19370</v>
      </c>
      <c r="J66" s="7"/>
      <c r="K66" s="7"/>
      <c r="L66" s="7"/>
      <c r="M66" s="7">
        <f t="shared" si="8"/>
        <v>19370</v>
      </c>
      <c r="N66" s="5"/>
      <c r="O66" s="78"/>
    </row>
    <row r="67" spans="1:15" ht="9.75">
      <c r="A67" s="68"/>
      <c r="B67" s="19"/>
      <c r="C67" s="18" t="s">
        <v>72</v>
      </c>
      <c r="D67" s="4"/>
      <c r="E67" s="4"/>
      <c r="F67" s="4"/>
      <c r="G67" s="4"/>
      <c r="H67" s="7"/>
      <c r="I67" s="7">
        <v>19404</v>
      </c>
      <c r="J67" s="7">
        <v>2265</v>
      </c>
      <c r="K67" s="7"/>
      <c r="L67" s="7"/>
      <c r="M67" s="7">
        <f t="shared" si="8"/>
        <v>21669</v>
      </c>
      <c r="N67" s="5"/>
      <c r="O67" s="78"/>
    </row>
    <row r="68" spans="1:15" ht="9.75">
      <c r="A68" s="68"/>
      <c r="B68" s="19"/>
      <c r="C68" s="18" t="s">
        <v>74</v>
      </c>
      <c r="D68" s="4">
        <v>21318</v>
      </c>
      <c r="E68" s="4"/>
      <c r="F68" s="4"/>
      <c r="G68" s="4"/>
      <c r="H68" s="7">
        <f t="shared" si="7"/>
        <v>21318</v>
      </c>
      <c r="I68" s="7">
        <v>87071</v>
      </c>
      <c r="J68" s="7"/>
      <c r="K68" s="7"/>
      <c r="L68" s="7"/>
      <c r="M68" s="7">
        <f t="shared" si="8"/>
        <v>87071</v>
      </c>
      <c r="N68" s="5">
        <f t="shared" si="3"/>
        <v>4.084388779435219</v>
      </c>
      <c r="O68" s="78"/>
    </row>
    <row r="69" spans="1:15" ht="39">
      <c r="A69" s="68"/>
      <c r="B69" s="19"/>
      <c r="C69" s="22" t="s">
        <v>83</v>
      </c>
      <c r="D69" s="4"/>
      <c r="E69" s="4">
        <v>12300</v>
      </c>
      <c r="F69" s="4"/>
      <c r="G69" s="4"/>
      <c r="H69" s="7">
        <f t="shared" si="7"/>
        <v>12300</v>
      </c>
      <c r="I69" s="9"/>
      <c r="J69" s="7">
        <v>3014</v>
      </c>
      <c r="K69" s="9"/>
      <c r="L69" s="9"/>
      <c r="M69" s="7">
        <f t="shared" si="8"/>
        <v>3014</v>
      </c>
      <c r="N69" s="5">
        <f t="shared" si="3"/>
        <v>0.24504065040650405</v>
      </c>
      <c r="O69" s="78"/>
    </row>
    <row r="70" spans="1:15" ht="9.75">
      <c r="A70" s="68"/>
      <c r="B70" s="33" t="s">
        <v>131</v>
      </c>
      <c r="C70" s="29"/>
      <c r="D70" s="6">
        <f>SUM(D63:D69)</f>
        <v>809918</v>
      </c>
      <c r="E70" s="6">
        <f>SUM(E63:E69)</f>
        <v>51700</v>
      </c>
      <c r="F70" s="6">
        <f>SUM(F63:F69)</f>
        <v>0</v>
      </c>
      <c r="G70" s="6">
        <f>SUM(G63:G69)</f>
        <v>0</v>
      </c>
      <c r="H70" s="6">
        <f>SUM(D70:G70)</f>
        <v>861618</v>
      </c>
      <c r="I70" s="6">
        <f>SUM(I63:I69)</f>
        <v>367985</v>
      </c>
      <c r="J70" s="6">
        <f>SUM(J63:J69)</f>
        <v>26945</v>
      </c>
      <c r="K70" s="6">
        <f>SUM(K63:K69)</f>
        <v>0</v>
      </c>
      <c r="L70" s="6">
        <f>SUM(L63:L69)</f>
        <v>0</v>
      </c>
      <c r="M70" s="6">
        <f t="shared" si="8"/>
        <v>394930</v>
      </c>
      <c r="N70" s="28">
        <f t="shared" si="3"/>
        <v>0.4583585765385588</v>
      </c>
      <c r="O70" s="78"/>
    </row>
    <row r="71" spans="1:15" ht="39">
      <c r="A71" s="68"/>
      <c r="B71" s="23" t="s">
        <v>21</v>
      </c>
      <c r="C71" s="27" t="s">
        <v>69</v>
      </c>
      <c r="D71" s="4"/>
      <c r="E71" s="4"/>
      <c r="F71" s="4"/>
      <c r="G71" s="4">
        <v>94000</v>
      </c>
      <c r="H71" s="7">
        <f t="shared" si="7"/>
        <v>94000</v>
      </c>
      <c r="I71" s="7"/>
      <c r="J71" s="7"/>
      <c r="K71" s="7"/>
      <c r="L71" s="7">
        <v>28300</v>
      </c>
      <c r="M71" s="7">
        <f t="shared" si="8"/>
        <v>28300</v>
      </c>
      <c r="N71" s="5">
        <f t="shared" si="3"/>
        <v>0.30106382978723406</v>
      </c>
      <c r="O71" s="78"/>
    </row>
    <row r="72" spans="1:15" ht="9.75">
      <c r="A72" s="68"/>
      <c r="B72" s="33" t="s">
        <v>132</v>
      </c>
      <c r="C72" s="29"/>
      <c r="D72" s="6">
        <f>SUM(D71)</f>
        <v>0</v>
      </c>
      <c r="E72" s="6">
        <f>SUM(E71)</f>
        <v>0</v>
      </c>
      <c r="F72" s="6">
        <f>SUM(F71)</f>
        <v>0</v>
      </c>
      <c r="G72" s="6">
        <f>SUM(G71)</f>
        <v>94000</v>
      </c>
      <c r="H72" s="6">
        <f>SUM(D72:G72)</f>
        <v>94000</v>
      </c>
      <c r="I72" s="6">
        <f>SUM(I71)</f>
        <v>0</v>
      </c>
      <c r="J72" s="6">
        <f>SUM(J71)</f>
        <v>0</v>
      </c>
      <c r="K72" s="6">
        <f>SUM(K71)</f>
        <v>0</v>
      </c>
      <c r="L72" s="6">
        <f>SUM(L71)</f>
        <v>28300</v>
      </c>
      <c r="M72" s="6">
        <f>SUM(M71)</f>
        <v>28300</v>
      </c>
      <c r="N72" s="28">
        <f t="shared" si="3"/>
        <v>0.30106382978723406</v>
      </c>
      <c r="O72" s="78"/>
    </row>
    <row r="73" spans="1:15" s="10" customFormat="1" ht="9.75">
      <c r="A73" s="69"/>
      <c r="B73" s="120" t="s">
        <v>22</v>
      </c>
      <c r="C73" s="18" t="s">
        <v>72</v>
      </c>
      <c r="D73" s="13"/>
      <c r="E73" s="13"/>
      <c r="F73" s="13"/>
      <c r="G73" s="13"/>
      <c r="H73" s="7"/>
      <c r="I73" s="7">
        <v>773</v>
      </c>
      <c r="J73" s="13"/>
      <c r="K73" s="13"/>
      <c r="L73" s="13"/>
      <c r="M73" s="7">
        <f aca="true" t="shared" si="10" ref="M73:M79">SUM(I73:L73)</f>
        <v>773</v>
      </c>
      <c r="N73" s="5"/>
      <c r="O73" s="80"/>
    </row>
    <row r="74" spans="1:15" s="10" customFormat="1" ht="9.75">
      <c r="A74" s="69"/>
      <c r="B74" s="121"/>
      <c r="C74" s="18" t="s">
        <v>74</v>
      </c>
      <c r="D74" s="13"/>
      <c r="E74" s="13"/>
      <c r="F74" s="13"/>
      <c r="G74" s="13"/>
      <c r="H74" s="7"/>
      <c r="I74" s="7">
        <v>20170</v>
      </c>
      <c r="J74" s="13"/>
      <c r="K74" s="13"/>
      <c r="L74" s="13"/>
      <c r="M74" s="7">
        <f t="shared" si="10"/>
        <v>20170</v>
      </c>
      <c r="N74" s="5"/>
      <c r="O74" s="80"/>
    </row>
    <row r="75" spans="1:15" s="10" customFormat="1" ht="19.5">
      <c r="A75" s="69"/>
      <c r="B75" s="121"/>
      <c r="C75" s="18" t="s">
        <v>204</v>
      </c>
      <c r="D75" s="13"/>
      <c r="E75" s="13"/>
      <c r="F75" s="13"/>
      <c r="G75" s="13"/>
      <c r="H75" s="7"/>
      <c r="I75" s="7">
        <v>53180</v>
      </c>
      <c r="J75" s="13"/>
      <c r="K75" s="13"/>
      <c r="L75" s="13"/>
      <c r="M75" s="7">
        <f t="shared" si="10"/>
        <v>53180</v>
      </c>
      <c r="N75" s="5"/>
      <c r="O75" s="80"/>
    </row>
    <row r="76" spans="1:15" ht="48.75">
      <c r="A76" s="68"/>
      <c r="B76" s="122"/>
      <c r="C76" s="18" t="s">
        <v>70</v>
      </c>
      <c r="D76" s="4">
        <v>13000</v>
      </c>
      <c r="E76" s="4"/>
      <c r="F76" s="4"/>
      <c r="G76" s="4"/>
      <c r="H76" s="7">
        <f t="shared" si="7"/>
        <v>13000</v>
      </c>
      <c r="I76" s="62">
        <v>35</v>
      </c>
      <c r="J76" s="9"/>
      <c r="K76" s="9"/>
      <c r="L76" s="9"/>
      <c r="M76" s="7">
        <f t="shared" si="10"/>
        <v>35</v>
      </c>
      <c r="N76" s="5">
        <f t="shared" si="3"/>
        <v>0.002692307692307692</v>
      </c>
      <c r="O76" s="78"/>
    </row>
    <row r="77" spans="1:15" ht="9.75">
      <c r="A77" s="68"/>
      <c r="B77" s="37" t="s">
        <v>133</v>
      </c>
      <c r="C77" s="34"/>
      <c r="D77" s="6">
        <f>SUM(D76)</f>
        <v>13000</v>
      </c>
      <c r="E77" s="6">
        <f>SUM(E76)</f>
        <v>0</v>
      </c>
      <c r="F77" s="6">
        <f>SUM(F76)</f>
        <v>0</v>
      </c>
      <c r="G77" s="6">
        <f>SUM(G76)</f>
        <v>0</v>
      </c>
      <c r="H77" s="6">
        <f>SUM(D77:G77)</f>
        <v>13000</v>
      </c>
      <c r="I77" s="6">
        <f>SUM(I73:I76)</f>
        <v>74158</v>
      </c>
      <c r="J77" s="6">
        <f>SUM(J73:J76)</f>
        <v>0</v>
      </c>
      <c r="K77" s="6">
        <f>SUM(K73:K76)</f>
        <v>0</v>
      </c>
      <c r="L77" s="6">
        <f>SUM(L73:L76)</f>
        <v>0</v>
      </c>
      <c r="M77" s="6">
        <f t="shared" si="10"/>
        <v>74158</v>
      </c>
      <c r="N77" s="28">
        <f t="shared" si="3"/>
        <v>5.704461538461539</v>
      </c>
      <c r="O77" s="78"/>
    </row>
    <row r="78" spans="1:15" ht="11.25">
      <c r="A78" s="56" t="s">
        <v>23</v>
      </c>
      <c r="B78" s="36"/>
      <c r="C78" s="24"/>
      <c r="D78" s="25">
        <f>SUM(D77,D72,D70,D62)</f>
        <v>892153</v>
      </c>
      <c r="E78" s="25">
        <f>SUM(E77,E72,E70,E62)</f>
        <v>52950</v>
      </c>
      <c r="F78" s="25">
        <f>SUM(F77,F72,F70,F62)</f>
        <v>1054500</v>
      </c>
      <c r="G78" s="25">
        <f>SUM(G77,G72,G70,G62)</f>
        <v>625300</v>
      </c>
      <c r="H78" s="25">
        <f>SUM(D78:G78)</f>
        <v>2624903</v>
      </c>
      <c r="I78" s="25">
        <f>SUM(I77,I72,I70,I62)</f>
        <v>452982</v>
      </c>
      <c r="J78" s="25">
        <f>SUM(J77,J72,J70,J62)</f>
        <v>31031</v>
      </c>
      <c r="K78" s="25">
        <f>SUM(K77,K72,K70,K62)</f>
        <v>263765</v>
      </c>
      <c r="L78" s="25">
        <f>SUM(L77,L72,L70,L62)</f>
        <v>173000</v>
      </c>
      <c r="M78" s="25">
        <f t="shared" si="10"/>
        <v>920778</v>
      </c>
      <c r="N78" s="30">
        <f t="shared" si="3"/>
        <v>0.3507855337892486</v>
      </c>
      <c r="O78" s="78"/>
    </row>
    <row r="79" spans="1:15" ht="80.25" customHeight="1">
      <c r="A79" s="117" t="s">
        <v>24</v>
      </c>
      <c r="B79" s="23" t="s">
        <v>25</v>
      </c>
      <c r="C79" s="27" t="s">
        <v>129</v>
      </c>
      <c r="D79" s="4"/>
      <c r="E79" s="4"/>
      <c r="F79" s="4">
        <v>36610</v>
      </c>
      <c r="G79" s="4"/>
      <c r="H79" s="7">
        <f t="shared" si="7"/>
        <v>36610</v>
      </c>
      <c r="I79" s="7"/>
      <c r="J79" s="7"/>
      <c r="K79" s="7">
        <v>9153</v>
      </c>
      <c r="L79" s="7"/>
      <c r="M79" s="7">
        <f t="shared" si="10"/>
        <v>9153</v>
      </c>
      <c r="N79" s="5">
        <f t="shared" si="3"/>
        <v>0.2500136574706364</v>
      </c>
      <c r="O79" s="78"/>
    </row>
    <row r="80" spans="1:15" ht="9.75">
      <c r="A80" s="117"/>
      <c r="B80" s="37" t="s">
        <v>134</v>
      </c>
      <c r="C80" s="34"/>
      <c r="D80" s="6">
        <f>SUM(D79)</f>
        <v>0</v>
      </c>
      <c r="E80" s="6">
        <f aca="true" t="shared" si="11" ref="E80:G81">SUM(E79)</f>
        <v>0</v>
      </c>
      <c r="F80" s="6">
        <f t="shared" si="11"/>
        <v>36610</v>
      </c>
      <c r="G80" s="6">
        <f t="shared" si="11"/>
        <v>0</v>
      </c>
      <c r="H80" s="6">
        <f>SUM(D80:G80)</f>
        <v>36610</v>
      </c>
      <c r="I80" s="6">
        <f>SUM(I79)</f>
        <v>0</v>
      </c>
      <c r="J80" s="6">
        <f aca="true" t="shared" si="12" ref="J80:M81">SUM(J79)</f>
        <v>0</v>
      </c>
      <c r="K80" s="6">
        <f t="shared" si="12"/>
        <v>9153</v>
      </c>
      <c r="L80" s="6">
        <f t="shared" si="12"/>
        <v>0</v>
      </c>
      <c r="M80" s="6">
        <f t="shared" si="12"/>
        <v>9153</v>
      </c>
      <c r="N80" s="28">
        <f t="shared" si="3"/>
        <v>0.2500136574706364</v>
      </c>
      <c r="O80" s="78"/>
    </row>
    <row r="81" spans="1:15" ht="11.25">
      <c r="A81" s="56" t="s">
        <v>26</v>
      </c>
      <c r="B81" s="36"/>
      <c r="C81" s="24"/>
      <c r="D81" s="25">
        <f>SUM(D80)</f>
        <v>0</v>
      </c>
      <c r="E81" s="25">
        <f t="shared" si="11"/>
        <v>0</v>
      </c>
      <c r="F81" s="25">
        <f t="shared" si="11"/>
        <v>36610</v>
      </c>
      <c r="G81" s="25">
        <f t="shared" si="11"/>
        <v>0</v>
      </c>
      <c r="H81" s="25">
        <f>SUM(D81:G81)</f>
        <v>36610</v>
      </c>
      <c r="I81" s="25">
        <f>SUM(I80)</f>
        <v>0</v>
      </c>
      <c r="J81" s="25">
        <f t="shared" si="12"/>
        <v>0</v>
      </c>
      <c r="K81" s="25">
        <f t="shared" si="12"/>
        <v>9153</v>
      </c>
      <c r="L81" s="25">
        <f t="shared" si="12"/>
        <v>0</v>
      </c>
      <c r="M81" s="25">
        <f t="shared" si="12"/>
        <v>9153</v>
      </c>
      <c r="N81" s="30">
        <f t="shared" si="3"/>
        <v>0.2500136574706364</v>
      </c>
      <c r="O81" s="78"/>
    </row>
    <row r="82" spans="1:15" s="10" customFormat="1" ht="11.25">
      <c r="A82" s="116" t="s">
        <v>27</v>
      </c>
      <c r="B82" s="119" t="s">
        <v>28</v>
      </c>
      <c r="C82" s="18" t="s">
        <v>72</v>
      </c>
      <c r="D82" s="47"/>
      <c r="E82" s="47"/>
      <c r="F82" s="47"/>
      <c r="G82" s="47"/>
      <c r="H82" s="7"/>
      <c r="I82" s="47"/>
      <c r="J82" s="7">
        <v>1222</v>
      </c>
      <c r="K82" s="47"/>
      <c r="L82" s="47"/>
      <c r="M82" s="7">
        <f aca="true" t="shared" si="13" ref="M82:M93">SUM(I82:L82)</f>
        <v>1222</v>
      </c>
      <c r="N82" s="5"/>
      <c r="O82" s="80"/>
    </row>
    <row r="83" spans="1:15" ht="39">
      <c r="A83" s="117"/>
      <c r="B83" s="119"/>
      <c r="C83" s="17" t="s">
        <v>69</v>
      </c>
      <c r="D83" s="4"/>
      <c r="E83" s="4"/>
      <c r="F83" s="4"/>
      <c r="G83" s="4">
        <v>7826000</v>
      </c>
      <c r="H83" s="7">
        <f t="shared" si="7"/>
        <v>7826000</v>
      </c>
      <c r="I83" s="7"/>
      <c r="J83" s="7"/>
      <c r="K83" s="7"/>
      <c r="L83" s="7">
        <v>2499574</v>
      </c>
      <c r="M83" s="7">
        <f t="shared" si="13"/>
        <v>2499574</v>
      </c>
      <c r="N83" s="5">
        <f t="shared" si="3"/>
        <v>0.31939355992844365</v>
      </c>
      <c r="O83" s="78"/>
    </row>
    <row r="84" spans="1:15" ht="29.25">
      <c r="A84" s="117"/>
      <c r="B84" s="119"/>
      <c r="C84" s="18" t="s">
        <v>77</v>
      </c>
      <c r="D84" s="4"/>
      <c r="E84" s="4">
        <v>1100</v>
      </c>
      <c r="F84" s="4"/>
      <c r="G84" s="4"/>
      <c r="H84" s="7">
        <f t="shared" si="7"/>
        <v>1100</v>
      </c>
      <c r="I84" s="9"/>
      <c r="J84" s="7">
        <v>820</v>
      </c>
      <c r="K84" s="9"/>
      <c r="L84" s="9"/>
      <c r="M84" s="7">
        <f t="shared" si="13"/>
        <v>820</v>
      </c>
      <c r="N84" s="5">
        <f t="shared" si="3"/>
        <v>0.7454545454545455</v>
      </c>
      <c r="O84" s="78"/>
    </row>
    <row r="85" spans="1:15" ht="48.75">
      <c r="A85" s="117"/>
      <c r="B85" s="119"/>
      <c r="C85" s="22" t="s">
        <v>135</v>
      </c>
      <c r="D85" s="4"/>
      <c r="E85" s="4"/>
      <c r="F85" s="4"/>
      <c r="G85" s="4">
        <f>60000+200000</f>
        <v>260000</v>
      </c>
      <c r="H85" s="7">
        <f t="shared" si="7"/>
        <v>260000</v>
      </c>
      <c r="I85" s="7"/>
      <c r="J85" s="7"/>
      <c r="K85" s="7"/>
      <c r="L85" s="7"/>
      <c r="M85" s="7">
        <f t="shared" si="13"/>
        <v>0</v>
      </c>
      <c r="N85" s="5">
        <f t="shared" si="3"/>
        <v>0</v>
      </c>
      <c r="O85" s="78"/>
    </row>
    <row r="86" spans="1:15" ht="9.75">
      <c r="A86" s="117"/>
      <c r="B86" s="33" t="s">
        <v>136</v>
      </c>
      <c r="C86" s="29"/>
      <c r="D86" s="6">
        <f>SUM(D83:D85)</f>
        <v>0</v>
      </c>
      <c r="E86" s="6">
        <f>SUM(E83:E85)</f>
        <v>1100</v>
      </c>
      <c r="F86" s="6">
        <f>SUM(F83:F85)</f>
        <v>0</v>
      </c>
      <c r="G86" s="6">
        <f>SUM(G83:G85)</f>
        <v>8086000</v>
      </c>
      <c r="H86" s="6">
        <f>SUM(D86:G86)</f>
        <v>8087100</v>
      </c>
      <c r="I86" s="6">
        <f>SUM(I82:I85)</f>
        <v>0</v>
      </c>
      <c r="J86" s="6">
        <f>SUM(J82:J85)</f>
        <v>2042</v>
      </c>
      <c r="K86" s="6">
        <f>SUM(K82:K85)</f>
        <v>0</v>
      </c>
      <c r="L86" s="6">
        <f>SUM(L82:L85)</f>
        <v>2499574</v>
      </c>
      <c r="M86" s="6">
        <f>SUM(I86:L86)</f>
        <v>2501616</v>
      </c>
      <c r="N86" s="28">
        <f t="shared" si="3"/>
        <v>0.3093341247171421</v>
      </c>
      <c r="O86" s="78"/>
    </row>
    <row r="87" spans="1:15" ht="19.5">
      <c r="A87" s="117"/>
      <c r="B87" s="120" t="s">
        <v>58</v>
      </c>
      <c r="C87" s="27" t="s">
        <v>85</v>
      </c>
      <c r="D87" s="4">
        <v>50000</v>
      </c>
      <c r="E87" s="4"/>
      <c r="F87" s="4"/>
      <c r="G87" s="4"/>
      <c r="H87" s="7">
        <f t="shared" si="7"/>
        <v>50000</v>
      </c>
      <c r="I87" s="7">
        <v>10420</v>
      </c>
      <c r="J87" s="7"/>
      <c r="K87" s="7"/>
      <c r="L87" s="7"/>
      <c r="M87" s="7">
        <f t="shared" si="13"/>
        <v>10420</v>
      </c>
      <c r="N87" s="5">
        <f t="shared" si="3"/>
        <v>0.2084</v>
      </c>
      <c r="O87" s="78"/>
    </row>
    <row r="88" spans="1:15" ht="9.75">
      <c r="A88" s="117"/>
      <c r="B88" s="122"/>
      <c r="C88" s="18" t="s">
        <v>71</v>
      </c>
      <c r="D88" s="4"/>
      <c r="E88" s="4"/>
      <c r="F88" s="4"/>
      <c r="G88" s="4"/>
      <c r="H88" s="7"/>
      <c r="I88" s="7">
        <v>40</v>
      </c>
      <c r="J88" s="7"/>
      <c r="K88" s="7"/>
      <c r="L88" s="7"/>
      <c r="M88" s="7">
        <f t="shared" si="13"/>
        <v>40</v>
      </c>
      <c r="N88" s="5"/>
      <c r="O88" s="78"/>
    </row>
    <row r="89" spans="1:15" ht="9.75">
      <c r="A89" s="118"/>
      <c r="B89" s="37" t="s">
        <v>137</v>
      </c>
      <c r="C89" s="34"/>
      <c r="D89" s="6">
        <f>SUM(D87)</f>
        <v>50000</v>
      </c>
      <c r="E89" s="6">
        <f>SUM(E87)</f>
        <v>0</v>
      </c>
      <c r="F89" s="6">
        <f>SUM(F87)</f>
        <v>0</v>
      </c>
      <c r="G89" s="6">
        <f>SUM(G87)</f>
        <v>0</v>
      </c>
      <c r="H89" s="6">
        <f>SUM(D89:G89)</f>
        <v>50000</v>
      </c>
      <c r="I89" s="6">
        <f>SUM(I87:I88)</f>
        <v>10460</v>
      </c>
      <c r="J89" s="6">
        <f>SUM(J87:J88)</f>
        <v>0</v>
      </c>
      <c r="K89" s="6">
        <f>SUM(K87:K88)</f>
        <v>0</v>
      </c>
      <c r="L89" s="6">
        <f>SUM(L87:L88)</f>
        <v>0</v>
      </c>
      <c r="M89" s="6">
        <f t="shared" si="13"/>
        <v>10460</v>
      </c>
      <c r="N89" s="28">
        <f t="shared" si="3"/>
        <v>0.2092</v>
      </c>
      <c r="O89" s="78"/>
    </row>
    <row r="90" spans="1:15" ht="11.25">
      <c r="A90" s="56" t="s">
        <v>29</v>
      </c>
      <c r="B90" s="36"/>
      <c r="C90" s="24"/>
      <c r="D90" s="25">
        <f>SUM(D89,D86)</f>
        <v>50000</v>
      </c>
      <c r="E90" s="25">
        <f>SUM(E89,E86)</f>
        <v>1100</v>
      </c>
      <c r="F90" s="25">
        <f>SUM(F89,F86)</f>
        <v>0</v>
      </c>
      <c r="G90" s="25">
        <f>SUM(G89,G86)</f>
        <v>8086000</v>
      </c>
      <c r="H90" s="25">
        <f>SUM(D90:G90)</f>
        <v>8137100</v>
      </c>
      <c r="I90" s="25">
        <f>SUM(I89,I86)</f>
        <v>10460</v>
      </c>
      <c r="J90" s="25">
        <f>SUM(J89,J86)</f>
        <v>2042</v>
      </c>
      <c r="K90" s="25">
        <f>SUM(K89,K86)</f>
        <v>0</v>
      </c>
      <c r="L90" s="25">
        <f>SUM(L89,L86)</f>
        <v>2499574</v>
      </c>
      <c r="M90" s="25">
        <f t="shared" si="13"/>
        <v>2512076</v>
      </c>
      <c r="N90" s="30">
        <f t="shared" si="3"/>
        <v>0.30871883103316905</v>
      </c>
      <c r="O90" s="78"/>
    </row>
    <row r="91" spans="1:15" ht="29.25">
      <c r="A91" s="117" t="s">
        <v>103</v>
      </c>
      <c r="B91" s="124" t="s">
        <v>30</v>
      </c>
      <c r="C91" s="17" t="s">
        <v>138</v>
      </c>
      <c r="D91" s="4">
        <v>1000000</v>
      </c>
      <c r="E91" s="4"/>
      <c r="F91" s="4"/>
      <c r="G91" s="4"/>
      <c r="H91" s="7">
        <f t="shared" si="7"/>
        <v>1000000</v>
      </c>
      <c r="I91" s="7">
        <v>220383</v>
      </c>
      <c r="J91" s="9"/>
      <c r="K91" s="9"/>
      <c r="L91" s="9"/>
      <c r="M91" s="7">
        <f t="shared" si="13"/>
        <v>220383</v>
      </c>
      <c r="N91" s="5">
        <f t="shared" si="3"/>
        <v>0.220383</v>
      </c>
      <c r="O91" s="78"/>
    </row>
    <row r="92" spans="1:15" ht="19.5">
      <c r="A92" s="117"/>
      <c r="B92" s="124"/>
      <c r="C92" s="22" t="s">
        <v>86</v>
      </c>
      <c r="D92" s="4">
        <v>60000</v>
      </c>
      <c r="E92" s="4"/>
      <c r="F92" s="4"/>
      <c r="G92" s="4"/>
      <c r="H92" s="7">
        <f t="shared" si="7"/>
        <v>60000</v>
      </c>
      <c r="I92" s="7">
        <v>7484</v>
      </c>
      <c r="J92" s="7"/>
      <c r="K92" s="7"/>
      <c r="L92" s="7"/>
      <c r="M92" s="7">
        <f t="shared" si="13"/>
        <v>7484</v>
      </c>
      <c r="N92" s="5">
        <f t="shared" si="3"/>
        <v>0.12473333333333333</v>
      </c>
      <c r="O92" s="78"/>
    </row>
    <row r="93" spans="1:15" ht="9.75">
      <c r="A93" s="117"/>
      <c r="B93" s="33" t="s">
        <v>139</v>
      </c>
      <c r="C93" s="29"/>
      <c r="D93" s="6">
        <f>SUM(D91:D92)</f>
        <v>1060000</v>
      </c>
      <c r="E93" s="6">
        <f>SUM(E91:E92)</f>
        <v>0</v>
      </c>
      <c r="F93" s="6">
        <f>SUM(F91:F92)</f>
        <v>0</v>
      </c>
      <c r="G93" s="6">
        <f>SUM(G91:G92)</f>
        <v>0</v>
      </c>
      <c r="H93" s="6">
        <f>SUM(D93:G93)</f>
        <v>1060000</v>
      </c>
      <c r="I93" s="6">
        <f>SUM(I91:I92)</f>
        <v>227867</v>
      </c>
      <c r="J93" s="6">
        <f>SUM(J91:J92)</f>
        <v>0</v>
      </c>
      <c r="K93" s="6">
        <f>SUM(K91:K92)</f>
        <v>0</v>
      </c>
      <c r="L93" s="6">
        <f>SUM(L91:L92)</f>
        <v>0</v>
      </c>
      <c r="M93" s="6">
        <f t="shared" si="13"/>
        <v>227867</v>
      </c>
      <c r="N93" s="28">
        <f t="shared" si="3"/>
        <v>0.2149688679245283</v>
      </c>
      <c r="O93" s="78"/>
    </row>
    <row r="94" spans="1:15" ht="9.75">
      <c r="A94" s="117"/>
      <c r="B94" s="124" t="s">
        <v>140</v>
      </c>
      <c r="C94" s="17" t="s">
        <v>87</v>
      </c>
      <c r="D94" s="4">
        <v>75600000</v>
      </c>
      <c r="E94" s="4"/>
      <c r="F94" s="4"/>
      <c r="G94" s="4"/>
      <c r="H94" s="7">
        <f t="shared" si="7"/>
        <v>75600000</v>
      </c>
      <c r="I94" s="7">
        <v>19649313</v>
      </c>
      <c r="J94" s="7"/>
      <c r="K94" s="7"/>
      <c r="L94" s="7"/>
      <c r="M94" s="7">
        <f aca="true" t="shared" si="14" ref="M94:M99">SUM(I94:L94)</f>
        <v>19649313</v>
      </c>
      <c r="N94" s="5">
        <f t="shared" si="3"/>
        <v>0.2599115476190476</v>
      </c>
      <c r="O94" s="78"/>
    </row>
    <row r="95" spans="1:15" ht="9.75">
      <c r="A95" s="117"/>
      <c r="B95" s="124"/>
      <c r="C95" s="18" t="s">
        <v>88</v>
      </c>
      <c r="D95" s="4">
        <v>400</v>
      </c>
      <c r="E95" s="4"/>
      <c r="F95" s="4"/>
      <c r="G95" s="4"/>
      <c r="H95" s="7">
        <f t="shared" si="7"/>
        <v>400</v>
      </c>
      <c r="I95" s="7">
        <v>386</v>
      </c>
      <c r="J95" s="9"/>
      <c r="K95" s="9"/>
      <c r="L95" s="9"/>
      <c r="M95" s="7">
        <f t="shared" si="14"/>
        <v>386</v>
      </c>
      <c r="N95" s="5">
        <f aca="true" t="shared" si="15" ref="N95:N222">M95/H95</f>
        <v>0.965</v>
      </c>
      <c r="O95" s="78"/>
    </row>
    <row r="96" spans="1:15" ht="9.75">
      <c r="A96" s="117"/>
      <c r="B96" s="124"/>
      <c r="C96" s="18" t="s">
        <v>89</v>
      </c>
      <c r="D96" s="4">
        <v>64800</v>
      </c>
      <c r="E96" s="4"/>
      <c r="F96" s="4"/>
      <c r="G96" s="4"/>
      <c r="H96" s="7">
        <f t="shared" si="7"/>
        <v>64800</v>
      </c>
      <c r="I96" s="7">
        <v>16924</v>
      </c>
      <c r="J96" s="7"/>
      <c r="K96" s="7"/>
      <c r="L96" s="7"/>
      <c r="M96" s="7">
        <f t="shared" si="14"/>
        <v>16924</v>
      </c>
      <c r="N96" s="5">
        <f t="shared" si="15"/>
        <v>0.2611728395061728</v>
      </c>
      <c r="O96" s="78"/>
    </row>
    <row r="97" spans="1:15" ht="9.75">
      <c r="A97" s="117"/>
      <c r="B97" s="124"/>
      <c r="C97" s="18" t="s">
        <v>90</v>
      </c>
      <c r="D97" s="4">
        <v>2800000</v>
      </c>
      <c r="E97" s="4"/>
      <c r="F97" s="4"/>
      <c r="G97" s="4"/>
      <c r="H97" s="7">
        <f t="shared" si="7"/>
        <v>2800000</v>
      </c>
      <c r="I97" s="7">
        <v>1660520</v>
      </c>
      <c r="J97" s="7"/>
      <c r="K97" s="7"/>
      <c r="L97" s="7"/>
      <c r="M97" s="7">
        <f t="shared" si="14"/>
        <v>1660520</v>
      </c>
      <c r="N97" s="5">
        <f t="shared" si="15"/>
        <v>0.5930428571428571</v>
      </c>
      <c r="O97" s="78"/>
    </row>
    <row r="98" spans="1:15" ht="24" customHeight="1">
      <c r="A98" s="117"/>
      <c r="B98" s="124"/>
      <c r="C98" s="18" t="s">
        <v>91</v>
      </c>
      <c r="D98" s="4">
        <v>3100000</v>
      </c>
      <c r="E98" s="4"/>
      <c r="F98" s="4"/>
      <c r="G98" s="4"/>
      <c r="H98" s="7">
        <f t="shared" si="7"/>
        <v>3100000</v>
      </c>
      <c r="I98" s="7">
        <v>935567</v>
      </c>
      <c r="J98" s="9"/>
      <c r="K98" s="9"/>
      <c r="L98" s="9"/>
      <c r="M98" s="7">
        <f t="shared" si="14"/>
        <v>935567</v>
      </c>
      <c r="N98" s="5">
        <f t="shared" si="15"/>
        <v>0.3017958064516129</v>
      </c>
      <c r="O98" s="78"/>
    </row>
    <row r="99" spans="1:15" ht="19.5">
      <c r="A99" s="123"/>
      <c r="B99" s="124"/>
      <c r="C99" s="22" t="s">
        <v>86</v>
      </c>
      <c r="D99" s="4">
        <v>1000000</v>
      </c>
      <c r="E99" s="4"/>
      <c r="F99" s="4"/>
      <c r="G99" s="4"/>
      <c r="H99" s="7">
        <f t="shared" si="7"/>
        <v>1000000</v>
      </c>
      <c r="I99" s="7">
        <v>310415</v>
      </c>
      <c r="J99" s="13"/>
      <c r="K99" s="13"/>
      <c r="L99" s="13"/>
      <c r="M99" s="7">
        <f t="shared" si="14"/>
        <v>310415</v>
      </c>
      <c r="N99" s="5">
        <f t="shared" si="15"/>
        <v>0.310415</v>
      </c>
      <c r="O99" s="78"/>
    </row>
    <row r="100" spans="1:15" ht="9.75">
      <c r="A100" s="68"/>
      <c r="B100" s="33" t="s">
        <v>141</v>
      </c>
      <c r="C100" s="29"/>
      <c r="D100" s="6">
        <f>SUM(D94:D99)</f>
        <v>82565200</v>
      </c>
      <c r="E100" s="6">
        <f>SUM(E94:E99)</f>
        <v>0</v>
      </c>
      <c r="F100" s="6">
        <f>SUM(F94:F99)</f>
        <v>0</v>
      </c>
      <c r="G100" s="6">
        <f>SUM(G94:G99)</f>
        <v>0</v>
      </c>
      <c r="H100" s="6">
        <f>SUM(D100:G100)</f>
        <v>82565200</v>
      </c>
      <c r="I100" s="6">
        <f>SUM(I94:I99)</f>
        <v>22573125</v>
      </c>
      <c r="J100" s="6">
        <f>SUM(J94:J99)</f>
        <v>0</v>
      </c>
      <c r="K100" s="6">
        <f>SUM(K94:K99)</f>
        <v>0</v>
      </c>
      <c r="L100" s="6">
        <f>SUM(L94:L99)</f>
        <v>0</v>
      </c>
      <c r="M100" s="6">
        <f>SUM(I100:L100)</f>
        <v>22573125</v>
      </c>
      <c r="N100" s="28">
        <f t="shared" si="15"/>
        <v>0.2733975694360336</v>
      </c>
      <c r="O100" s="78"/>
    </row>
    <row r="101" spans="1:15" ht="9.75">
      <c r="A101" s="68"/>
      <c r="B101" s="124" t="s">
        <v>142</v>
      </c>
      <c r="C101" s="17" t="s">
        <v>87</v>
      </c>
      <c r="D101" s="4">
        <v>11900000</v>
      </c>
      <c r="E101" s="4"/>
      <c r="F101" s="4"/>
      <c r="G101" s="4"/>
      <c r="H101" s="7">
        <f t="shared" si="7"/>
        <v>11900000</v>
      </c>
      <c r="I101" s="7">
        <v>1773476</v>
      </c>
      <c r="J101" s="7"/>
      <c r="K101" s="7"/>
      <c r="L101" s="7"/>
      <c r="M101" s="7">
        <f aca="true" t="shared" si="16" ref="M101:M112">SUM(I101:L101)</f>
        <v>1773476</v>
      </c>
      <c r="N101" s="5">
        <f t="shared" si="15"/>
        <v>0.14903159663865545</v>
      </c>
      <c r="O101" s="78"/>
    </row>
    <row r="102" spans="1:15" ht="9.75">
      <c r="A102" s="68"/>
      <c r="B102" s="124"/>
      <c r="C102" s="18" t="s">
        <v>88</v>
      </c>
      <c r="D102" s="4">
        <v>27600</v>
      </c>
      <c r="E102" s="4"/>
      <c r="F102" s="4"/>
      <c r="G102" s="4"/>
      <c r="H102" s="7">
        <f t="shared" si="7"/>
        <v>27600</v>
      </c>
      <c r="I102" s="7">
        <v>1296</v>
      </c>
      <c r="J102" s="7"/>
      <c r="K102" s="7"/>
      <c r="L102" s="7"/>
      <c r="M102" s="7">
        <f t="shared" si="16"/>
        <v>1296</v>
      </c>
      <c r="N102" s="5">
        <f t="shared" si="15"/>
        <v>0.04695652173913043</v>
      </c>
      <c r="O102" s="78"/>
    </row>
    <row r="103" spans="1:15" ht="9.75">
      <c r="A103" s="68"/>
      <c r="B103" s="124"/>
      <c r="C103" s="18" t="s">
        <v>89</v>
      </c>
      <c r="D103" s="4">
        <v>3200</v>
      </c>
      <c r="E103" s="4"/>
      <c r="F103" s="4"/>
      <c r="G103" s="4"/>
      <c r="H103" s="7">
        <f t="shared" si="7"/>
        <v>3200</v>
      </c>
      <c r="I103" s="7">
        <v>85</v>
      </c>
      <c r="J103" s="9"/>
      <c r="K103" s="9"/>
      <c r="L103" s="9"/>
      <c r="M103" s="7">
        <f t="shared" si="16"/>
        <v>85</v>
      </c>
      <c r="N103" s="5">
        <f t="shared" si="15"/>
        <v>0.0265625</v>
      </c>
      <c r="O103" s="78"/>
    </row>
    <row r="104" spans="1:15" ht="9.75">
      <c r="A104" s="68"/>
      <c r="B104" s="124"/>
      <c r="C104" s="18" t="s">
        <v>90</v>
      </c>
      <c r="D104" s="4">
        <v>1700000</v>
      </c>
      <c r="E104" s="4"/>
      <c r="F104" s="4"/>
      <c r="G104" s="4"/>
      <c r="H104" s="7">
        <f t="shared" si="7"/>
        <v>1700000</v>
      </c>
      <c r="I104" s="7">
        <v>641619</v>
      </c>
      <c r="J104" s="7"/>
      <c r="K104" s="7"/>
      <c r="L104" s="7"/>
      <c r="M104" s="7">
        <f t="shared" si="16"/>
        <v>641619</v>
      </c>
      <c r="N104" s="5">
        <f t="shared" si="15"/>
        <v>0.37742294117647057</v>
      </c>
      <c r="O104" s="78"/>
    </row>
    <row r="105" spans="1:15" ht="9.75">
      <c r="A105" s="68"/>
      <c r="B105" s="124"/>
      <c r="C105" s="18" t="s">
        <v>93</v>
      </c>
      <c r="D105" s="4">
        <v>3400000</v>
      </c>
      <c r="E105" s="4"/>
      <c r="F105" s="4"/>
      <c r="G105" s="4"/>
      <c r="H105" s="7">
        <f t="shared" si="7"/>
        <v>3400000</v>
      </c>
      <c r="I105" s="7">
        <v>601231</v>
      </c>
      <c r="J105" s="7"/>
      <c r="K105" s="7"/>
      <c r="L105" s="7"/>
      <c r="M105" s="7">
        <f t="shared" si="16"/>
        <v>601231</v>
      </c>
      <c r="N105" s="5">
        <f t="shared" si="15"/>
        <v>0.17683264705882354</v>
      </c>
      <c r="O105" s="78"/>
    </row>
    <row r="106" spans="1:15" ht="9.75">
      <c r="A106" s="68"/>
      <c r="B106" s="124"/>
      <c r="C106" s="18" t="s">
        <v>94</v>
      </c>
      <c r="D106" s="4">
        <v>100000</v>
      </c>
      <c r="E106" s="4"/>
      <c r="F106" s="4"/>
      <c r="G106" s="4"/>
      <c r="H106" s="7">
        <f>SUM(D106:G106)</f>
        <v>100000</v>
      </c>
      <c r="I106" s="7">
        <v>32047</v>
      </c>
      <c r="J106" s="7"/>
      <c r="K106" s="7"/>
      <c r="L106" s="7"/>
      <c r="M106" s="7">
        <f t="shared" si="16"/>
        <v>32047</v>
      </c>
      <c r="N106" s="5">
        <f t="shared" si="15"/>
        <v>0.32047</v>
      </c>
      <c r="O106" s="78"/>
    </row>
    <row r="107" spans="1:15" ht="9.75">
      <c r="A107" s="68"/>
      <c r="B107" s="124"/>
      <c r="C107" s="18" t="s">
        <v>95</v>
      </c>
      <c r="D107" s="4">
        <v>1450000</v>
      </c>
      <c r="E107" s="4"/>
      <c r="F107" s="4"/>
      <c r="G107" s="4"/>
      <c r="H107" s="7">
        <f>SUM(D107:G107)</f>
        <v>1450000</v>
      </c>
      <c r="I107" s="7">
        <v>156702</v>
      </c>
      <c r="J107" s="7"/>
      <c r="K107" s="7"/>
      <c r="L107" s="7"/>
      <c r="M107" s="7">
        <f t="shared" si="16"/>
        <v>156702</v>
      </c>
      <c r="N107" s="5">
        <f t="shared" si="15"/>
        <v>0.1080703448275862</v>
      </c>
      <c r="O107" s="78"/>
    </row>
    <row r="108" spans="1:15" ht="9.75">
      <c r="A108" s="68"/>
      <c r="B108" s="124"/>
      <c r="C108" s="18" t="s">
        <v>96</v>
      </c>
      <c r="D108" s="4">
        <v>125200</v>
      </c>
      <c r="E108" s="4"/>
      <c r="F108" s="4"/>
      <c r="G108" s="4"/>
      <c r="H108" s="7">
        <f>SUM(D108:G108)</f>
        <v>125200</v>
      </c>
      <c r="I108" s="7">
        <v>45141</v>
      </c>
      <c r="J108" s="7"/>
      <c r="K108" s="7"/>
      <c r="L108" s="7"/>
      <c r="M108" s="7">
        <f t="shared" si="16"/>
        <v>45141</v>
      </c>
      <c r="N108" s="5">
        <f t="shared" si="15"/>
        <v>0.3605511182108626</v>
      </c>
      <c r="O108" s="78"/>
    </row>
    <row r="109" spans="1:15" ht="19.5">
      <c r="A109" s="68"/>
      <c r="B109" s="124"/>
      <c r="C109" s="18" t="s">
        <v>97</v>
      </c>
      <c r="D109" s="4">
        <v>6000</v>
      </c>
      <c r="E109" s="4"/>
      <c r="F109" s="4"/>
      <c r="G109" s="4"/>
      <c r="H109" s="7">
        <f>SUM(D109:G109)</f>
        <v>6000</v>
      </c>
      <c r="I109" s="7">
        <v>1473</v>
      </c>
      <c r="J109" s="7"/>
      <c r="K109" s="7"/>
      <c r="L109" s="7"/>
      <c r="M109" s="7">
        <f t="shared" si="16"/>
        <v>1473</v>
      </c>
      <c r="N109" s="5">
        <f t="shared" si="15"/>
        <v>0.2455</v>
      </c>
      <c r="O109" s="78"/>
    </row>
    <row r="110" spans="1:15" ht="22.5" customHeight="1">
      <c r="A110" s="68"/>
      <c r="B110" s="124"/>
      <c r="C110" s="18" t="s">
        <v>91</v>
      </c>
      <c r="D110" s="4">
        <v>10900000</v>
      </c>
      <c r="E110" s="4"/>
      <c r="F110" s="4"/>
      <c r="G110" s="4"/>
      <c r="H110" s="7">
        <f>SUM(D110:G110)</f>
        <v>10900000</v>
      </c>
      <c r="I110" s="7">
        <f>3542396+10104</f>
        <v>3552500</v>
      </c>
      <c r="J110" s="7"/>
      <c r="K110" s="7"/>
      <c r="L110" s="7"/>
      <c r="M110" s="7">
        <f t="shared" si="16"/>
        <v>3552500</v>
      </c>
      <c r="N110" s="5">
        <f t="shared" si="15"/>
        <v>0.32591743119266053</v>
      </c>
      <c r="O110" s="78"/>
    </row>
    <row r="111" spans="1:15" ht="9.75">
      <c r="A111" s="68"/>
      <c r="B111" s="124"/>
      <c r="C111" s="18" t="s">
        <v>92</v>
      </c>
      <c r="D111" s="4">
        <v>2000</v>
      </c>
      <c r="E111" s="4"/>
      <c r="F111" s="4"/>
      <c r="G111" s="4"/>
      <c r="H111" s="7">
        <f aca="true" t="shared" si="17" ref="H111:H129">SUM(D111:G111)</f>
        <v>2000</v>
      </c>
      <c r="I111" s="7">
        <v>99</v>
      </c>
      <c r="J111" s="7"/>
      <c r="K111" s="7"/>
      <c r="L111" s="7"/>
      <c r="M111" s="7">
        <f t="shared" si="16"/>
        <v>99</v>
      </c>
      <c r="N111" s="5">
        <f t="shared" si="15"/>
        <v>0.0495</v>
      </c>
      <c r="O111" s="78"/>
    </row>
    <row r="112" spans="1:15" ht="19.5">
      <c r="A112" s="68"/>
      <c r="B112" s="124"/>
      <c r="C112" s="22" t="s">
        <v>86</v>
      </c>
      <c r="D112" s="4">
        <v>500000</v>
      </c>
      <c r="E112" s="4"/>
      <c r="F112" s="4"/>
      <c r="G112" s="4"/>
      <c r="H112" s="7">
        <f t="shared" si="17"/>
        <v>500000</v>
      </c>
      <c r="I112" s="7">
        <v>86274</v>
      </c>
      <c r="J112" s="7"/>
      <c r="K112" s="7"/>
      <c r="L112" s="7"/>
      <c r="M112" s="7">
        <f t="shared" si="16"/>
        <v>86274</v>
      </c>
      <c r="N112" s="5">
        <f t="shared" si="15"/>
        <v>0.172548</v>
      </c>
      <c r="O112" s="78"/>
    </row>
    <row r="113" spans="1:15" ht="9.75">
      <c r="A113" s="68"/>
      <c r="B113" s="33" t="s">
        <v>143</v>
      </c>
      <c r="C113" s="29"/>
      <c r="D113" s="6">
        <f>SUM(D101:D112)</f>
        <v>30114000</v>
      </c>
      <c r="E113" s="6">
        <f>SUM(E101:E112)</f>
        <v>0</v>
      </c>
      <c r="F113" s="6">
        <f>SUM(F101:F112)</f>
        <v>0</v>
      </c>
      <c r="G113" s="6">
        <f>SUM(G101:G112)</f>
        <v>0</v>
      </c>
      <c r="H113" s="6">
        <f t="shared" si="17"/>
        <v>30114000</v>
      </c>
      <c r="I113" s="6">
        <f>SUM(I101:I112)</f>
        <v>6891943</v>
      </c>
      <c r="J113" s="6">
        <f>SUM(J101:J112)</f>
        <v>0</v>
      </c>
      <c r="K113" s="6">
        <f>SUM(K101:K112)</f>
        <v>0</v>
      </c>
      <c r="L113" s="6">
        <f>SUM(L101:L112)</f>
        <v>0</v>
      </c>
      <c r="M113" s="6">
        <f aca="true" t="shared" si="18" ref="M113:M136">SUM(I113:L113)</f>
        <v>6891943</v>
      </c>
      <c r="N113" s="28">
        <f t="shared" si="15"/>
        <v>0.22886175865046157</v>
      </c>
      <c r="O113" s="82"/>
    </row>
    <row r="114" spans="1:15" ht="9.75">
      <c r="A114" s="68"/>
      <c r="B114" s="124" t="s">
        <v>68</v>
      </c>
      <c r="C114" s="17" t="s">
        <v>98</v>
      </c>
      <c r="D114" s="4">
        <v>4738000</v>
      </c>
      <c r="E114" s="4"/>
      <c r="F114" s="4"/>
      <c r="G114" s="4"/>
      <c r="H114" s="7">
        <f t="shared" si="17"/>
        <v>4738000</v>
      </c>
      <c r="I114" s="7">
        <v>1003547</v>
      </c>
      <c r="J114" s="7"/>
      <c r="K114" s="7"/>
      <c r="L114" s="7"/>
      <c r="M114" s="7">
        <f t="shared" si="18"/>
        <v>1003547</v>
      </c>
      <c r="N114" s="5">
        <f t="shared" si="15"/>
        <v>0.21180814689742508</v>
      </c>
      <c r="O114" s="78"/>
    </row>
    <row r="115" spans="1:15" ht="9.75">
      <c r="A115" s="68"/>
      <c r="B115" s="124"/>
      <c r="C115" s="18" t="s">
        <v>81</v>
      </c>
      <c r="D115" s="4"/>
      <c r="E115" s="4">
        <v>4200000</v>
      </c>
      <c r="F115" s="4"/>
      <c r="G115" s="4"/>
      <c r="H115" s="7">
        <f t="shared" si="17"/>
        <v>4200000</v>
      </c>
      <c r="I115" s="7"/>
      <c r="J115" s="7">
        <v>1469879</v>
      </c>
      <c r="K115" s="7"/>
      <c r="L115" s="7"/>
      <c r="M115" s="7">
        <f t="shared" si="18"/>
        <v>1469879</v>
      </c>
      <c r="N115" s="5">
        <f t="shared" si="15"/>
        <v>0.34997119047619046</v>
      </c>
      <c r="O115" s="78"/>
    </row>
    <row r="116" spans="1:15" ht="19.5">
      <c r="A116" s="68"/>
      <c r="B116" s="124"/>
      <c r="C116" s="18" t="s">
        <v>84</v>
      </c>
      <c r="D116" s="4">
        <v>3800000</v>
      </c>
      <c r="E116" s="4"/>
      <c r="F116" s="4"/>
      <c r="G116" s="4"/>
      <c r="H116" s="7">
        <f t="shared" si="17"/>
        <v>3800000</v>
      </c>
      <c r="I116" s="7">
        <v>2040699</v>
      </c>
      <c r="J116" s="7"/>
      <c r="K116" s="7"/>
      <c r="L116" s="7"/>
      <c r="M116" s="7">
        <f t="shared" si="18"/>
        <v>2040699</v>
      </c>
      <c r="N116" s="5">
        <f t="shared" si="15"/>
        <v>0.537026052631579</v>
      </c>
      <c r="O116" s="78"/>
    </row>
    <row r="117" spans="1:15" ht="22.5" customHeight="1">
      <c r="A117" s="68"/>
      <c r="B117" s="124"/>
      <c r="C117" s="22" t="s">
        <v>86</v>
      </c>
      <c r="D117" s="4">
        <v>40000</v>
      </c>
      <c r="E117" s="4"/>
      <c r="F117" s="4"/>
      <c r="G117" s="4"/>
      <c r="H117" s="7">
        <f t="shared" si="17"/>
        <v>40000</v>
      </c>
      <c r="I117" s="7">
        <v>6052</v>
      </c>
      <c r="J117" s="9"/>
      <c r="K117" s="9"/>
      <c r="L117" s="9"/>
      <c r="M117" s="7">
        <f t="shared" si="18"/>
        <v>6052</v>
      </c>
      <c r="N117" s="5">
        <f t="shared" si="15"/>
        <v>0.1513</v>
      </c>
      <c r="O117" s="78"/>
    </row>
    <row r="118" spans="1:15" ht="16.5" customHeight="1">
      <c r="A118" s="68"/>
      <c r="B118" s="33" t="s">
        <v>144</v>
      </c>
      <c r="C118" s="29"/>
      <c r="D118" s="6">
        <f>SUM(D114:D117)</f>
        <v>8578000</v>
      </c>
      <c r="E118" s="6">
        <f>SUM(E114:E117)</f>
        <v>4200000</v>
      </c>
      <c r="F118" s="6">
        <f>SUM(F114:F117)</f>
        <v>0</v>
      </c>
      <c r="G118" s="6">
        <f>SUM(G114:G117)</f>
        <v>0</v>
      </c>
      <c r="H118" s="6">
        <f t="shared" si="17"/>
        <v>12778000</v>
      </c>
      <c r="I118" s="6">
        <f>SUM(I114:I117)</f>
        <v>3050298</v>
      </c>
      <c r="J118" s="6">
        <f>SUM(J114:J117)</f>
        <v>1469879</v>
      </c>
      <c r="K118" s="6">
        <f>SUM(K114:K117)</f>
        <v>0</v>
      </c>
      <c r="L118" s="6">
        <f>SUM(L114:L117)</f>
        <v>0</v>
      </c>
      <c r="M118" s="6">
        <f t="shared" si="18"/>
        <v>4520177</v>
      </c>
      <c r="N118" s="28">
        <f t="shared" si="15"/>
        <v>0.3537468304899045</v>
      </c>
      <c r="O118" s="78"/>
    </row>
    <row r="119" spans="1:15" ht="21.75" customHeight="1">
      <c r="A119" s="68"/>
      <c r="B119" s="124" t="s">
        <v>31</v>
      </c>
      <c r="C119" s="17" t="s">
        <v>99</v>
      </c>
      <c r="D119" s="4">
        <f>137843412+923116</f>
        <v>138766528</v>
      </c>
      <c r="E119" s="4"/>
      <c r="F119" s="4"/>
      <c r="G119" s="4"/>
      <c r="H119" s="7">
        <f t="shared" si="17"/>
        <v>138766528</v>
      </c>
      <c r="I119" s="7">
        <v>28876047</v>
      </c>
      <c r="J119" s="9"/>
      <c r="K119" s="9"/>
      <c r="L119" s="9"/>
      <c r="M119" s="7">
        <f t="shared" si="18"/>
        <v>28876047</v>
      </c>
      <c r="N119" s="5">
        <f t="shared" si="15"/>
        <v>0.20809086612010644</v>
      </c>
      <c r="O119" s="78"/>
    </row>
    <row r="120" spans="1:15" ht="19.5">
      <c r="A120" s="68"/>
      <c r="B120" s="124"/>
      <c r="C120" s="22" t="s">
        <v>100</v>
      </c>
      <c r="D120" s="4">
        <v>10772284</v>
      </c>
      <c r="E120" s="4"/>
      <c r="F120" s="4"/>
      <c r="G120" s="4"/>
      <c r="H120" s="7">
        <f t="shared" si="17"/>
        <v>10772284</v>
      </c>
      <c r="I120" s="7">
        <v>2882129</v>
      </c>
      <c r="J120" s="7"/>
      <c r="K120" s="7"/>
      <c r="L120" s="7"/>
      <c r="M120" s="7">
        <f t="shared" si="18"/>
        <v>2882129</v>
      </c>
      <c r="N120" s="5">
        <f t="shared" si="15"/>
        <v>0.2675504099223526</v>
      </c>
      <c r="O120" s="78"/>
    </row>
    <row r="121" spans="1:15" ht="13.5" customHeight="1">
      <c r="A121" s="68"/>
      <c r="B121" s="33" t="s">
        <v>145</v>
      </c>
      <c r="C121" s="29"/>
      <c r="D121" s="6">
        <f>SUM(D119:D120)</f>
        <v>149538812</v>
      </c>
      <c r="E121" s="6">
        <f>SUM(E119:E120)</f>
        <v>0</v>
      </c>
      <c r="F121" s="6">
        <f>SUM(F119:F120)</f>
        <v>0</v>
      </c>
      <c r="G121" s="6">
        <f>SUM(G119:G120)</f>
        <v>0</v>
      </c>
      <c r="H121" s="6">
        <f t="shared" si="17"/>
        <v>149538812</v>
      </c>
      <c r="I121" s="6">
        <f>SUM(I119:I120)</f>
        <v>31758176</v>
      </c>
      <c r="J121" s="6">
        <f>SUM(J119:J120)</f>
        <v>0</v>
      </c>
      <c r="K121" s="6">
        <f>SUM(K119:K120)</f>
        <v>0</v>
      </c>
      <c r="L121" s="6">
        <f>SUM(L119:L120)</f>
        <v>0</v>
      </c>
      <c r="M121" s="6">
        <f t="shared" si="18"/>
        <v>31758176</v>
      </c>
      <c r="N121" s="28">
        <f t="shared" si="15"/>
        <v>0.21237413602028615</v>
      </c>
      <c r="O121" s="78"/>
    </row>
    <row r="122" spans="1:15" ht="19.5">
      <c r="A122" s="68"/>
      <c r="B122" s="124" t="s">
        <v>32</v>
      </c>
      <c r="C122" s="17" t="s">
        <v>99</v>
      </c>
      <c r="D122" s="4"/>
      <c r="E122" s="4">
        <f>39676916+265710</f>
        <v>39942626</v>
      </c>
      <c r="F122" s="4"/>
      <c r="G122" s="4"/>
      <c r="H122" s="7">
        <f t="shared" si="17"/>
        <v>39942626</v>
      </c>
      <c r="I122" s="7"/>
      <c r="J122" s="7">
        <v>8311800</v>
      </c>
      <c r="K122" s="7"/>
      <c r="L122" s="7"/>
      <c r="M122" s="7">
        <f t="shared" si="18"/>
        <v>8311800</v>
      </c>
      <c r="N122" s="5">
        <f t="shared" si="15"/>
        <v>0.2080934788814336</v>
      </c>
      <c r="O122" s="78"/>
    </row>
    <row r="123" spans="1:15" ht="19.5">
      <c r="A123" s="68"/>
      <c r="B123" s="124"/>
      <c r="C123" s="22" t="s">
        <v>100</v>
      </c>
      <c r="D123" s="4"/>
      <c r="E123" s="4">
        <v>2630600</v>
      </c>
      <c r="F123" s="4"/>
      <c r="G123" s="4"/>
      <c r="H123" s="7">
        <f t="shared" si="17"/>
        <v>2630600</v>
      </c>
      <c r="I123" s="7"/>
      <c r="J123" s="7">
        <v>541237</v>
      </c>
      <c r="K123" s="7"/>
      <c r="L123" s="7"/>
      <c r="M123" s="7">
        <f t="shared" si="18"/>
        <v>541237</v>
      </c>
      <c r="N123" s="5">
        <f t="shared" si="15"/>
        <v>0.2057465977343572</v>
      </c>
      <c r="O123" s="78"/>
    </row>
    <row r="124" spans="1:15" ht="9.75">
      <c r="A124" s="68"/>
      <c r="B124" s="37" t="s">
        <v>146</v>
      </c>
      <c r="C124" s="34"/>
      <c r="D124" s="6">
        <f>SUM(D122:D123)</f>
        <v>0</v>
      </c>
      <c r="E124" s="6">
        <f>SUM(E122:E123)</f>
        <v>42573226</v>
      </c>
      <c r="F124" s="6">
        <f>SUM(F122:F123)</f>
        <v>0</v>
      </c>
      <c r="G124" s="6">
        <f>SUM(G122:G123)</f>
        <v>0</v>
      </c>
      <c r="H124" s="6">
        <f t="shared" si="17"/>
        <v>42573226</v>
      </c>
      <c r="I124" s="6">
        <f>SUM(I122:I123)</f>
        <v>0</v>
      </c>
      <c r="J124" s="6">
        <f>SUM(J122:J123)</f>
        <v>8853037</v>
      </c>
      <c r="K124" s="6">
        <f>SUM(K122:K123)</f>
        <v>0</v>
      </c>
      <c r="L124" s="6">
        <f>SUM(L122:L123)</f>
        <v>0</v>
      </c>
      <c r="M124" s="6">
        <f t="shared" si="18"/>
        <v>8853037</v>
      </c>
      <c r="N124" s="28">
        <f t="shared" si="15"/>
        <v>0.20794846507520948</v>
      </c>
      <c r="O124" s="78"/>
    </row>
    <row r="125" spans="1:15" ht="15" customHeight="1">
      <c r="A125" s="53" t="s">
        <v>147</v>
      </c>
      <c r="B125" s="38"/>
      <c r="C125" s="24"/>
      <c r="D125" s="25">
        <f>SUM(D124,D121,D118,D113,D100,D93)</f>
        <v>271856012</v>
      </c>
      <c r="E125" s="25">
        <f>SUM(E124,E121,E118,E113,E100,E93)</f>
        <v>46773226</v>
      </c>
      <c r="F125" s="25">
        <f>SUM(F124,F121,F118,F113,F100,F93)</f>
        <v>0</v>
      </c>
      <c r="G125" s="25">
        <f>SUM(G124,G121,G118,G113,G100,G93)</f>
        <v>0</v>
      </c>
      <c r="H125" s="25">
        <f t="shared" si="17"/>
        <v>318629238</v>
      </c>
      <c r="I125" s="25">
        <f>SUM(I124,I121,I118,I113,I100,I93)</f>
        <v>64501409</v>
      </c>
      <c r="J125" s="25">
        <f>SUM(J124,J121,J118,J113,J100,J93)</f>
        <v>10322916</v>
      </c>
      <c r="K125" s="25">
        <f>SUM(K124,K121,K118,K113,K100,K93)</f>
        <v>0</v>
      </c>
      <c r="L125" s="25">
        <f>SUM(L124,L121,L118,L113,L100,L93)</f>
        <v>0</v>
      </c>
      <c r="M125" s="25">
        <f t="shared" si="18"/>
        <v>74824325</v>
      </c>
      <c r="N125" s="30">
        <f t="shared" si="15"/>
        <v>0.23483194910066602</v>
      </c>
      <c r="O125" s="78"/>
    </row>
    <row r="126" spans="1:15" ht="43.5" customHeight="1">
      <c r="A126" s="54" t="s">
        <v>33</v>
      </c>
      <c r="B126" s="23" t="s">
        <v>34</v>
      </c>
      <c r="C126" s="27" t="s">
        <v>148</v>
      </c>
      <c r="D126" s="4">
        <f>70446038-2286984</f>
        <v>68159054</v>
      </c>
      <c r="E126" s="4">
        <f>61525907-1221568</f>
        <v>60304339</v>
      </c>
      <c r="F126" s="4"/>
      <c r="G126" s="4"/>
      <c r="H126" s="7">
        <f t="shared" si="17"/>
        <v>128463393</v>
      </c>
      <c r="I126" s="7">
        <v>26215020</v>
      </c>
      <c r="J126" s="7">
        <v>23193977</v>
      </c>
      <c r="K126" s="9"/>
      <c r="L126" s="9"/>
      <c r="M126" s="7">
        <f t="shared" si="18"/>
        <v>49408997</v>
      </c>
      <c r="N126" s="5">
        <f t="shared" si="15"/>
        <v>0.38461538222020963</v>
      </c>
      <c r="O126" s="78"/>
    </row>
    <row r="127" spans="1:15" ht="9.75">
      <c r="A127" s="68"/>
      <c r="B127" s="33" t="s">
        <v>149</v>
      </c>
      <c r="C127" s="29"/>
      <c r="D127" s="6">
        <f>SUM(D126)</f>
        <v>68159054</v>
      </c>
      <c r="E127" s="6">
        <f>SUM(E126)</f>
        <v>60304339</v>
      </c>
      <c r="F127" s="6">
        <f>SUM(F126)</f>
        <v>0</v>
      </c>
      <c r="G127" s="6">
        <f>SUM(G126)</f>
        <v>0</v>
      </c>
      <c r="H127" s="6">
        <f t="shared" si="17"/>
        <v>128463393</v>
      </c>
      <c r="I127" s="6">
        <f>SUM(I126)</f>
        <v>26215020</v>
      </c>
      <c r="J127" s="6">
        <f>SUM(J126)</f>
        <v>23193977</v>
      </c>
      <c r="K127" s="6">
        <f>SUM(K126)</f>
        <v>0</v>
      </c>
      <c r="L127" s="6">
        <f>SUM(L126)</f>
        <v>0</v>
      </c>
      <c r="M127" s="6">
        <f t="shared" si="18"/>
        <v>49408997</v>
      </c>
      <c r="N127" s="28">
        <f t="shared" si="15"/>
        <v>0.38461538222020963</v>
      </c>
      <c r="O127" s="78"/>
    </row>
    <row r="128" spans="1:15" ht="19.5">
      <c r="A128" s="68"/>
      <c r="B128" s="23" t="s">
        <v>35</v>
      </c>
      <c r="C128" s="27" t="s">
        <v>72</v>
      </c>
      <c r="D128" s="4">
        <v>700000</v>
      </c>
      <c r="E128" s="4"/>
      <c r="F128" s="4"/>
      <c r="G128" s="4"/>
      <c r="H128" s="7">
        <f t="shared" si="17"/>
        <v>700000</v>
      </c>
      <c r="I128" s="7">
        <v>633442</v>
      </c>
      <c r="J128" s="7">
        <v>102</v>
      </c>
      <c r="K128" s="7"/>
      <c r="L128" s="7"/>
      <c r="M128" s="7">
        <f t="shared" si="18"/>
        <v>633544</v>
      </c>
      <c r="N128" s="5">
        <f>M128/H128</f>
        <v>0.9050628571428572</v>
      </c>
      <c r="O128" s="78"/>
    </row>
    <row r="129" spans="1:15" ht="9.75">
      <c r="A129" s="68"/>
      <c r="B129" s="33" t="s">
        <v>150</v>
      </c>
      <c r="C129" s="29"/>
      <c r="D129" s="6">
        <f>SUM(D128)</f>
        <v>700000</v>
      </c>
      <c r="E129" s="6">
        <f>SUM(E128)</f>
        <v>0</v>
      </c>
      <c r="F129" s="6">
        <f>SUM(F128)</f>
        <v>0</v>
      </c>
      <c r="G129" s="6">
        <f>SUM(G128)</f>
        <v>0</v>
      </c>
      <c r="H129" s="6">
        <f t="shared" si="17"/>
        <v>700000</v>
      </c>
      <c r="I129" s="6">
        <f>SUM(I128)</f>
        <v>633442</v>
      </c>
      <c r="J129" s="6">
        <f>SUM(J128)</f>
        <v>102</v>
      </c>
      <c r="K129" s="6">
        <f>SUM(K128)</f>
        <v>0</v>
      </c>
      <c r="L129" s="6">
        <f>SUM(L128)</f>
        <v>0</v>
      </c>
      <c r="M129" s="6">
        <f t="shared" si="18"/>
        <v>633544</v>
      </c>
      <c r="N129" s="28">
        <f>M129/H129</f>
        <v>0.9050628571428572</v>
      </c>
      <c r="O129" s="78"/>
    </row>
    <row r="130" spans="1:15" s="10" customFormat="1" ht="9.75">
      <c r="A130" s="69"/>
      <c r="B130" s="119" t="s">
        <v>205</v>
      </c>
      <c r="C130" s="50" t="s">
        <v>71</v>
      </c>
      <c r="D130" s="13"/>
      <c r="E130" s="13"/>
      <c r="F130" s="13"/>
      <c r="G130" s="13"/>
      <c r="H130" s="7"/>
      <c r="I130" s="7">
        <v>108607</v>
      </c>
      <c r="J130" s="13"/>
      <c r="K130" s="13"/>
      <c r="L130" s="13"/>
      <c r="M130" s="7">
        <f t="shared" si="18"/>
        <v>108607</v>
      </c>
      <c r="N130" s="5"/>
      <c r="O130" s="80"/>
    </row>
    <row r="131" spans="1:15" s="10" customFormat="1" ht="9.75">
      <c r="A131" s="69"/>
      <c r="B131" s="119"/>
      <c r="C131" s="18" t="s">
        <v>72</v>
      </c>
      <c r="D131" s="13"/>
      <c r="E131" s="13"/>
      <c r="F131" s="13"/>
      <c r="G131" s="13"/>
      <c r="H131" s="7"/>
      <c r="I131" s="7">
        <v>6380</v>
      </c>
      <c r="J131" s="13"/>
      <c r="K131" s="13"/>
      <c r="L131" s="13"/>
      <c r="M131" s="7">
        <f t="shared" si="18"/>
        <v>6380</v>
      </c>
      <c r="N131" s="5"/>
      <c r="O131" s="80"/>
    </row>
    <row r="132" spans="1:15" ht="9.75">
      <c r="A132" s="68"/>
      <c r="B132" s="119"/>
      <c r="C132" s="16" t="s">
        <v>207</v>
      </c>
      <c r="D132" s="4">
        <v>700000</v>
      </c>
      <c r="E132" s="4"/>
      <c r="F132" s="4"/>
      <c r="G132" s="4"/>
      <c r="H132" s="7">
        <f aca="true" t="shared" si="19" ref="H132:H138">SUM(D132:G132)</f>
        <v>700000</v>
      </c>
      <c r="I132" s="7">
        <v>69696</v>
      </c>
      <c r="J132" s="7"/>
      <c r="K132" s="7"/>
      <c r="L132" s="7"/>
      <c r="M132" s="7">
        <f t="shared" si="18"/>
        <v>69696</v>
      </c>
      <c r="N132" s="5">
        <f t="shared" si="15"/>
        <v>0.09956571428571429</v>
      </c>
      <c r="O132" s="78"/>
    </row>
    <row r="133" spans="1:15" ht="9.75">
      <c r="A133" s="68"/>
      <c r="B133" s="33" t="s">
        <v>206</v>
      </c>
      <c r="C133" s="29"/>
      <c r="D133" s="6">
        <f>SUM(D132)</f>
        <v>700000</v>
      </c>
      <c r="E133" s="6">
        <f>SUM(E132)</f>
        <v>0</v>
      </c>
      <c r="F133" s="6">
        <f>SUM(F132)</f>
        <v>0</v>
      </c>
      <c r="G133" s="6">
        <f>SUM(G132)</f>
        <v>0</v>
      </c>
      <c r="H133" s="6">
        <f t="shared" si="19"/>
        <v>700000</v>
      </c>
      <c r="I133" s="6">
        <f>SUM(I130:I132)</f>
        <v>184683</v>
      </c>
      <c r="J133" s="6">
        <f>SUM(J130:J132)</f>
        <v>0</v>
      </c>
      <c r="K133" s="6">
        <f>SUM(K130:K132)</f>
        <v>0</v>
      </c>
      <c r="L133" s="6">
        <f>SUM(L130:L132)</f>
        <v>0</v>
      </c>
      <c r="M133" s="6">
        <f t="shared" si="18"/>
        <v>184683</v>
      </c>
      <c r="N133" s="28">
        <f t="shared" si="15"/>
        <v>0.26383285714285715</v>
      </c>
      <c r="O133" s="78"/>
    </row>
    <row r="134" spans="1:15" ht="29.25">
      <c r="A134" s="68"/>
      <c r="B134" s="23" t="s">
        <v>151</v>
      </c>
      <c r="C134" s="27" t="s">
        <v>148</v>
      </c>
      <c r="D134" s="4"/>
      <c r="E134" s="4">
        <v>604865</v>
      </c>
      <c r="F134" s="4"/>
      <c r="G134" s="4"/>
      <c r="H134" s="7">
        <f t="shared" si="19"/>
        <v>604865</v>
      </c>
      <c r="I134" s="7"/>
      <c r="J134" s="7">
        <v>151216</v>
      </c>
      <c r="K134" s="7"/>
      <c r="L134" s="7"/>
      <c r="M134" s="7">
        <f t="shared" si="18"/>
        <v>151216</v>
      </c>
      <c r="N134" s="5">
        <f t="shared" si="15"/>
        <v>0.2499995866846321</v>
      </c>
      <c r="O134" s="78"/>
    </row>
    <row r="135" spans="1:15" ht="9.75">
      <c r="A135" s="68"/>
      <c r="B135" s="37" t="s">
        <v>152</v>
      </c>
      <c r="C135" s="34"/>
      <c r="D135" s="6">
        <f>SUM(D134)</f>
        <v>0</v>
      </c>
      <c r="E135" s="6">
        <f>SUM(E134)</f>
        <v>604865</v>
      </c>
      <c r="F135" s="6">
        <f>SUM(F134)</f>
        <v>0</v>
      </c>
      <c r="G135" s="6">
        <f>SUM(G134)</f>
        <v>0</v>
      </c>
      <c r="H135" s="6">
        <f t="shared" si="19"/>
        <v>604865</v>
      </c>
      <c r="I135" s="6">
        <f>SUM(I134)</f>
        <v>0</v>
      </c>
      <c r="J135" s="6">
        <f>SUM(J134)</f>
        <v>151216</v>
      </c>
      <c r="K135" s="6">
        <f>SUM(K134)</f>
        <v>0</v>
      </c>
      <c r="L135" s="6">
        <f>SUM(L134)</f>
        <v>0</v>
      </c>
      <c r="M135" s="6">
        <f t="shared" si="18"/>
        <v>151216</v>
      </c>
      <c r="N135" s="28">
        <f t="shared" si="15"/>
        <v>0.2499995866846321</v>
      </c>
      <c r="O135" s="78"/>
    </row>
    <row r="136" spans="1:15" ht="11.25">
      <c r="A136" s="56" t="s">
        <v>36</v>
      </c>
      <c r="B136" s="36"/>
      <c r="C136" s="24"/>
      <c r="D136" s="25">
        <f>SUM(D135,D133,D127)</f>
        <v>68859054</v>
      </c>
      <c r="E136" s="25">
        <f>SUM(E135,E133,E127)</f>
        <v>60909204</v>
      </c>
      <c r="F136" s="25">
        <f>SUM(F135,F133,F127)</f>
        <v>0</v>
      </c>
      <c r="G136" s="25">
        <f>SUM(G135,G133,G127)</f>
        <v>0</v>
      </c>
      <c r="H136" s="25">
        <f t="shared" si="19"/>
        <v>129768258</v>
      </c>
      <c r="I136" s="25">
        <f>SUM(I135,I133,I129,I127)</f>
        <v>27033145</v>
      </c>
      <c r="J136" s="25">
        <f>SUM(J135,J133,J129,J127)</f>
        <v>23345295</v>
      </c>
      <c r="K136" s="25">
        <f>SUM(K135,K133,K129,K127)</f>
        <v>0</v>
      </c>
      <c r="L136" s="25">
        <f>SUM(L135,L133,L129,L127)</f>
        <v>0</v>
      </c>
      <c r="M136" s="25">
        <f t="shared" si="18"/>
        <v>50378440</v>
      </c>
      <c r="N136" s="30">
        <f t="shared" si="15"/>
        <v>0.38821851180278616</v>
      </c>
      <c r="O136" s="78"/>
    </row>
    <row r="137" spans="1:15" ht="48.75">
      <c r="A137" s="54" t="s">
        <v>37</v>
      </c>
      <c r="B137" s="120" t="s">
        <v>38</v>
      </c>
      <c r="C137" s="18" t="s">
        <v>104</v>
      </c>
      <c r="D137" s="4">
        <v>1035741</v>
      </c>
      <c r="E137" s="4"/>
      <c r="F137" s="4"/>
      <c r="G137" s="4"/>
      <c r="H137" s="7">
        <f t="shared" si="19"/>
        <v>1035741</v>
      </c>
      <c r="I137" s="7">
        <v>310789</v>
      </c>
      <c r="J137" s="7"/>
      <c r="K137" s="7"/>
      <c r="L137" s="7"/>
      <c r="M137" s="7">
        <f aca="true" t="shared" si="20" ref="M137:M182">SUM(I137:L137)</f>
        <v>310789</v>
      </c>
      <c r="N137" s="8">
        <f t="shared" si="15"/>
        <v>0.300064398338967</v>
      </c>
      <c r="O137" s="78"/>
    </row>
    <row r="138" spans="1:15" ht="9.75">
      <c r="A138" s="54"/>
      <c r="B138" s="121"/>
      <c r="C138" s="18" t="s">
        <v>193</v>
      </c>
      <c r="D138" s="4">
        <v>389871</v>
      </c>
      <c r="E138" s="4"/>
      <c r="F138" s="4"/>
      <c r="G138" s="4"/>
      <c r="H138" s="7">
        <f t="shared" si="19"/>
        <v>389871</v>
      </c>
      <c r="I138" s="7">
        <v>129782</v>
      </c>
      <c r="J138" s="7"/>
      <c r="K138" s="7"/>
      <c r="L138" s="7"/>
      <c r="M138" s="7">
        <f t="shared" si="20"/>
        <v>129782</v>
      </c>
      <c r="N138" s="8">
        <f t="shared" si="15"/>
        <v>0.33288446691341494</v>
      </c>
      <c r="O138" s="78"/>
    </row>
    <row r="139" spans="1:15" ht="9.75">
      <c r="A139" s="54"/>
      <c r="B139" s="121"/>
      <c r="C139" s="18" t="s">
        <v>72</v>
      </c>
      <c r="D139" s="4"/>
      <c r="E139" s="4"/>
      <c r="F139" s="4"/>
      <c r="G139" s="4"/>
      <c r="H139" s="7"/>
      <c r="I139" s="7">
        <v>20788</v>
      </c>
      <c r="J139" s="7"/>
      <c r="K139" s="7"/>
      <c r="L139" s="7"/>
      <c r="M139" s="7">
        <f t="shared" si="20"/>
        <v>20788</v>
      </c>
      <c r="N139" s="8"/>
      <c r="O139" s="78"/>
    </row>
    <row r="140" spans="1:15" ht="19.5">
      <c r="A140" s="54"/>
      <c r="B140" s="121"/>
      <c r="C140" s="18" t="s">
        <v>208</v>
      </c>
      <c r="D140" s="4"/>
      <c r="E140" s="4"/>
      <c r="F140" s="4"/>
      <c r="G140" s="4"/>
      <c r="H140" s="7"/>
      <c r="I140" s="7">
        <v>72863</v>
      </c>
      <c r="J140" s="7"/>
      <c r="K140" s="7"/>
      <c r="L140" s="7"/>
      <c r="M140" s="7">
        <f t="shared" si="20"/>
        <v>72863</v>
      </c>
      <c r="N140" s="8"/>
      <c r="O140" s="78"/>
    </row>
    <row r="141" spans="1:15" ht="9.75">
      <c r="A141" s="54"/>
      <c r="B141" s="121"/>
      <c r="C141" s="18" t="s">
        <v>74</v>
      </c>
      <c r="D141" s="4"/>
      <c r="E141" s="4"/>
      <c r="F141" s="4"/>
      <c r="G141" s="4"/>
      <c r="H141" s="7"/>
      <c r="I141" s="7">
        <v>7157</v>
      </c>
      <c r="J141" s="7"/>
      <c r="K141" s="7"/>
      <c r="L141" s="7"/>
      <c r="M141" s="7">
        <f t="shared" si="20"/>
        <v>7157</v>
      </c>
      <c r="N141" s="8"/>
      <c r="O141" s="78"/>
    </row>
    <row r="142" spans="1:15" ht="19.5">
      <c r="A142" s="54"/>
      <c r="B142" s="122"/>
      <c r="C142" s="18" t="s">
        <v>204</v>
      </c>
      <c r="D142" s="4"/>
      <c r="E142" s="4"/>
      <c r="F142" s="4"/>
      <c r="G142" s="4"/>
      <c r="H142" s="7"/>
      <c r="I142" s="7">
        <v>284979</v>
      </c>
      <c r="J142" s="7"/>
      <c r="K142" s="7"/>
      <c r="L142" s="7"/>
      <c r="M142" s="7">
        <f t="shared" si="20"/>
        <v>284979</v>
      </c>
      <c r="N142" s="8"/>
      <c r="O142" s="78"/>
    </row>
    <row r="143" spans="1:15" ht="9.75">
      <c r="A143" s="68"/>
      <c r="B143" s="33" t="s">
        <v>153</v>
      </c>
      <c r="C143" s="29"/>
      <c r="D143" s="6">
        <f>SUM(D137:D138)</f>
        <v>1425612</v>
      </c>
      <c r="E143" s="6">
        <f>SUM(E137:E138)</f>
        <v>0</v>
      </c>
      <c r="F143" s="6">
        <f>SUM(F137:F138)</f>
        <v>0</v>
      </c>
      <c r="G143" s="6">
        <f>SUM(G137:G138)</f>
        <v>0</v>
      </c>
      <c r="H143" s="6">
        <f>SUM(D143:G143)</f>
        <v>1425612</v>
      </c>
      <c r="I143" s="6">
        <f>SUM(I137:I142)</f>
        <v>826358</v>
      </c>
      <c r="J143" s="6">
        <f>SUM(J137:J142)</f>
        <v>0</v>
      </c>
      <c r="K143" s="6">
        <f>SUM(K137:K142)</f>
        <v>0</v>
      </c>
      <c r="L143" s="6">
        <f>SUM(L137:L142)</f>
        <v>0</v>
      </c>
      <c r="M143" s="6">
        <f aca="true" t="shared" si="21" ref="M143:M148">SUM(I143:L143)</f>
        <v>826358</v>
      </c>
      <c r="N143" s="28">
        <f t="shared" si="15"/>
        <v>0.5796514058523637</v>
      </c>
      <c r="O143" s="78"/>
    </row>
    <row r="144" spans="1:15" ht="48.75">
      <c r="A144" s="68"/>
      <c r="B144" s="120" t="s">
        <v>39</v>
      </c>
      <c r="C144" s="18" t="s">
        <v>104</v>
      </c>
      <c r="D144" s="4"/>
      <c r="E144" s="4">
        <v>35000</v>
      </c>
      <c r="F144" s="4"/>
      <c r="G144" s="4"/>
      <c r="H144" s="7">
        <f>SUM(D144:G144)</f>
        <v>35000</v>
      </c>
      <c r="I144" s="13"/>
      <c r="J144" s="7">
        <v>8398</v>
      </c>
      <c r="K144" s="13"/>
      <c r="L144" s="13"/>
      <c r="M144" s="7">
        <f t="shared" si="21"/>
        <v>8398</v>
      </c>
      <c r="N144" s="5">
        <f>M144/H144</f>
        <v>0.23994285714285715</v>
      </c>
      <c r="O144" s="78"/>
    </row>
    <row r="145" spans="1:15" ht="9.75">
      <c r="A145" s="68"/>
      <c r="B145" s="121"/>
      <c r="C145" s="18" t="s">
        <v>193</v>
      </c>
      <c r="D145" s="4"/>
      <c r="E145" s="4">
        <v>100</v>
      </c>
      <c r="F145" s="4"/>
      <c r="G145" s="4"/>
      <c r="H145" s="7">
        <f>SUM(D145:G145)</f>
        <v>100</v>
      </c>
      <c r="I145" s="13"/>
      <c r="J145" s="13"/>
      <c r="K145" s="13"/>
      <c r="L145" s="13"/>
      <c r="M145" s="7">
        <f t="shared" si="21"/>
        <v>0</v>
      </c>
      <c r="N145" s="5">
        <f>M145/H145</f>
        <v>0</v>
      </c>
      <c r="O145" s="78"/>
    </row>
    <row r="146" spans="1:15" ht="9.75">
      <c r="A146" s="68"/>
      <c r="B146" s="121"/>
      <c r="C146" s="18" t="s">
        <v>72</v>
      </c>
      <c r="D146" s="4"/>
      <c r="E146" s="4"/>
      <c r="F146" s="4"/>
      <c r="G146" s="4"/>
      <c r="H146" s="7"/>
      <c r="I146" s="13"/>
      <c r="J146" s="7">
        <v>745</v>
      </c>
      <c r="K146" s="13"/>
      <c r="L146" s="13"/>
      <c r="M146" s="7">
        <f t="shared" si="21"/>
        <v>745</v>
      </c>
      <c r="N146" s="5"/>
      <c r="O146" s="78"/>
    </row>
    <row r="147" spans="1:15" ht="19.5">
      <c r="A147" s="68"/>
      <c r="B147" s="122"/>
      <c r="C147" s="18" t="s">
        <v>204</v>
      </c>
      <c r="D147" s="4"/>
      <c r="E147" s="4"/>
      <c r="F147" s="4"/>
      <c r="G147" s="4"/>
      <c r="H147" s="7"/>
      <c r="I147" s="13"/>
      <c r="J147" s="7">
        <v>7062</v>
      </c>
      <c r="K147" s="13"/>
      <c r="L147" s="13"/>
      <c r="M147" s="7">
        <f t="shared" si="21"/>
        <v>7062</v>
      </c>
      <c r="N147" s="5"/>
      <c r="O147" s="78"/>
    </row>
    <row r="148" spans="1:15" ht="9.75">
      <c r="A148" s="68"/>
      <c r="B148" s="33" t="s">
        <v>154</v>
      </c>
      <c r="C148" s="29"/>
      <c r="D148" s="6">
        <f>SUM(D144:D145)</f>
        <v>0</v>
      </c>
      <c r="E148" s="6">
        <f>SUM(E144:E145)</f>
        <v>35100</v>
      </c>
      <c r="F148" s="6">
        <f>SUM(F144:F145)</f>
        <v>0</v>
      </c>
      <c r="G148" s="6">
        <f>SUM(G144:G145)</f>
        <v>0</v>
      </c>
      <c r="H148" s="6">
        <f>SUM(D148:G148)</f>
        <v>35100</v>
      </c>
      <c r="I148" s="6">
        <f>SUM(I144:I147)</f>
        <v>0</v>
      </c>
      <c r="J148" s="6">
        <f>SUM(J144:J147)</f>
        <v>16205</v>
      </c>
      <c r="K148" s="6">
        <f>SUM(K144:K147)</f>
        <v>0</v>
      </c>
      <c r="L148" s="6">
        <f>SUM(L144:L147)</f>
        <v>0</v>
      </c>
      <c r="M148" s="6">
        <f t="shared" si="21"/>
        <v>16205</v>
      </c>
      <c r="N148" s="28">
        <f>M148/H148</f>
        <v>0.4616809116809117</v>
      </c>
      <c r="O148" s="78"/>
    </row>
    <row r="149" spans="1:15" ht="48.75">
      <c r="A149" s="68"/>
      <c r="B149" s="120" t="s">
        <v>209</v>
      </c>
      <c r="C149" s="18" t="s">
        <v>104</v>
      </c>
      <c r="D149" s="4"/>
      <c r="E149" s="4"/>
      <c r="F149" s="4"/>
      <c r="G149" s="4"/>
      <c r="H149" s="7">
        <f>SUM(D149:G149)</f>
        <v>0</v>
      </c>
      <c r="I149" s="7">
        <v>19270</v>
      </c>
      <c r="J149" s="13"/>
      <c r="K149" s="13"/>
      <c r="L149" s="13"/>
      <c r="M149" s="7">
        <f t="shared" si="20"/>
        <v>19270</v>
      </c>
      <c r="N149" s="5" t="e">
        <f t="shared" si="15"/>
        <v>#DIV/0!</v>
      </c>
      <c r="O149" s="78"/>
    </row>
    <row r="150" spans="1:15" ht="9.75">
      <c r="A150" s="68"/>
      <c r="B150" s="121"/>
      <c r="C150" s="18" t="s">
        <v>72</v>
      </c>
      <c r="D150" s="4"/>
      <c r="E150" s="4"/>
      <c r="F150" s="4"/>
      <c r="G150" s="4"/>
      <c r="H150" s="7">
        <f>SUM(D150:G150)</f>
        <v>0</v>
      </c>
      <c r="I150" s="7">
        <v>3878</v>
      </c>
      <c r="J150" s="13"/>
      <c r="K150" s="13"/>
      <c r="L150" s="13"/>
      <c r="M150" s="7">
        <f t="shared" si="20"/>
        <v>3878</v>
      </c>
      <c r="N150" s="5" t="e">
        <f t="shared" si="15"/>
        <v>#DIV/0!</v>
      </c>
      <c r="O150" s="78"/>
    </row>
    <row r="151" spans="1:15" ht="39">
      <c r="A151" s="68"/>
      <c r="B151" s="121"/>
      <c r="C151" s="18" t="s">
        <v>83</v>
      </c>
      <c r="D151" s="4"/>
      <c r="E151" s="4"/>
      <c r="F151" s="4"/>
      <c r="G151" s="4"/>
      <c r="H151" s="7"/>
      <c r="I151" s="7"/>
      <c r="J151" s="7">
        <v>5850</v>
      </c>
      <c r="K151" s="13"/>
      <c r="L151" s="13"/>
      <c r="M151" s="7">
        <f t="shared" si="20"/>
        <v>5850</v>
      </c>
      <c r="N151" s="5"/>
      <c r="O151" s="78"/>
    </row>
    <row r="152" spans="1:15" ht="19.5">
      <c r="A152" s="68"/>
      <c r="B152" s="122"/>
      <c r="C152" s="18" t="s">
        <v>211</v>
      </c>
      <c r="D152" s="4"/>
      <c r="E152" s="4"/>
      <c r="F152" s="4"/>
      <c r="G152" s="4"/>
      <c r="H152" s="7"/>
      <c r="I152" s="7">
        <v>111461</v>
      </c>
      <c r="J152" s="13"/>
      <c r="K152" s="13"/>
      <c r="L152" s="13"/>
      <c r="M152" s="7">
        <f t="shared" si="20"/>
        <v>111461</v>
      </c>
      <c r="N152" s="5"/>
      <c r="O152" s="78"/>
    </row>
    <row r="153" spans="1:15" ht="9.75">
      <c r="A153" s="68"/>
      <c r="B153" s="33" t="s">
        <v>210</v>
      </c>
      <c r="C153" s="29"/>
      <c r="D153" s="6">
        <f>SUM(D149:D150)</f>
        <v>0</v>
      </c>
      <c r="E153" s="6">
        <f>SUM(E149:E150)</f>
        <v>0</v>
      </c>
      <c r="F153" s="6">
        <f>SUM(F149:F150)</f>
        <v>0</v>
      </c>
      <c r="G153" s="6">
        <f>SUM(G149:G150)</f>
        <v>0</v>
      </c>
      <c r="H153" s="6">
        <f>SUM(D153:G153)</f>
        <v>0</v>
      </c>
      <c r="I153" s="6">
        <f>SUM(I149:I152)</f>
        <v>134609</v>
      </c>
      <c r="J153" s="6">
        <f>SUM(J149:J152)</f>
        <v>5850</v>
      </c>
      <c r="K153" s="6">
        <f>SUM(K149:K152)</f>
        <v>0</v>
      </c>
      <c r="L153" s="6">
        <f>SUM(L149:L152)</f>
        <v>0</v>
      </c>
      <c r="M153" s="6">
        <f>SUM(I153:L153)</f>
        <v>140459</v>
      </c>
      <c r="N153" s="28"/>
      <c r="O153" s="78"/>
    </row>
    <row r="154" spans="1:15" ht="48.75">
      <c r="A154" s="68"/>
      <c r="B154" s="120" t="s">
        <v>40</v>
      </c>
      <c r="C154" s="27" t="s">
        <v>104</v>
      </c>
      <c r="D154" s="4">
        <v>271286</v>
      </c>
      <c r="E154" s="4"/>
      <c r="F154" s="4"/>
      <c r="G154" s="4"/>
      <c r="H154" s="7">
        <f>SUM(D154:G154)</f>
        <v>271286</v>
      </c>
      <c r="I154" s="7">
        <v>75189</v>
      </c>
      <c r="J154" s="7"/>
      <c r="K154" s="7"/>
      <c r="L154" s="7"/>
      <c r="M154" s="7">
        <f t="shared" si="20"/>
        <v>75189</v>
      </c>
      <c r="N154" s="5">
        <f t="shared" si="15"/>
        <v>0.27715768598453294</v>
      </c>
      <c r="O154" s="78"/>
    </row>
    <row r="155" spans="1:15" ht="9.75">
      <c r="A155" s="68"/>
      <c r="B155" s="121"/>
      <c r="C155" s="18" t="s">
        <v>193</v>
      </c>
      <c r="D155" s="4">
        <v>44865</v>
      </c>
      <c r="E155" s="4"/>
      <c r="F155" s="4"/>
      <c r="G155" s="4"/>
      <c r="H155" s="7">
        <f>SUM(D155:G155)</f>
        <v>44865</v>
      </c>
      <c r="I155" s="7">
        <v>7535</v>
      </c>
      <c r="J155" s="7"/>
      <c r="K155" s="7"/>
      <c r="L155" s="7"/>
      <c r="M155" s="7">
        <f t="shared" si="20"/>
        <v>7535</v>
      </c>
      <c r="N155" s="5">
        <f t="shared" si="15"/>
        <v>0.1679482893123816</v>
      </c>
      <c r="O155" s="78"/>
    </row>
    <row r="156" spans="1:15" ht="9.75">
      <c r="A156" s="68"/>
      <c r="B156" s="121"/>
      <c r="C156" s="18" t="s">
        <v>72</v>
      </c>
      <c r="D156" s="4"/>
      <c r="E156" s="4"/>
      <c r="F156" s="4"/>
      <c r="G156" s="4"/>
      <c r="H156" s="7"/>
      <c r="I156" s="7">
        <v>4038</v>
      </c>
      <c r="J156" s="7"/>
      <c r="K156" s="7"/>
      <c r="L156" s="7"/>
      <c r="M156" s="7">
        <f t="shared" si="20"/>
        <v>4038</v>
      </c>
      <c r="N156" s="5"/>
      <c r="O156" s="78"/>
    </row>
    <row r="157" spans="1:15" ht="19.5">
      <c r="A157" s="68"/>
      <c r="B157" s="121"/>
      <c r="C157" s="18" t="s">
        <v>208</v>
      </c>
      <c r="D157" s="4"/>
      <c r="E157" s="4"/>
      <c r="F157" s="4"/>
      <c r="G157" s="4"/>
      <c r="H157" s="7"/>
      <c r="I157" s="7">
        <v>19944</v>
      </c>
      <c r="J157" s="7"/>
      <c r="K157" s="7"/>
      <c r="L157" s="7"/>
      <c r="M157" s="7">
        <f t="shared" si="20"/>
        <v>19944</v>
      </c>
      <c r="N157" s="5"/>
      <c r="O157" s="78"/>
    </row>
    <row r="158" spans="1:15" ht="9.75">
      <c r="A158" s="68"/>
      <c r="B158" s="121"/>
      <c r="C158" s="18" t="s">
        <v>74</v>
      </c>
      <c r="D158" s="4"/>
      <c r="E158" s="4"/>
      <c r="F158" s="4"/>
      <c r="G158" s="4"/>
      <c r="H158" s="7"/>
      <c r="I158" s="7">
        <v>7614</v>
      </c>
      <c r="J158" s="7"/>
      <c r="K158" s="7"/>
      <c r="L158" s="7"/>
      <c r="M158" s="7">
        <f t="shared" si="20"/>
        <v>7614</v>
      </c>
      <c r="N158" s="5"/>
      <c r="O158" s="78"/>
    </row>
    <row r="159" spans="1:15" ht="19.5">
      <c r="A159" s="68"/>
      <c r="B159" s="122"/>
      <c r="C159" s="18" t="s">
        <v>204</v>
      </c>
      <c r="D159" s="4"/>
      <c r="E159" s="4"/>
      <c r="F159" s="4"/>
      <c r="G159" s="4"/>
      <c r="H159" s="7"/>
      <c r="I159" s="7">
        <v>58730</v>
      </c>
      <c r="J159" s="7"/>
      <c r="K159" s="7"/>
      <c r="L159" s="7"/>
      <c r="M159" s="7">
        <f t="shared" si="20"/>
        <v>58730</v>
      </c>
      <c r="N159" s="5"/>
      <c r="O159" s="78"/>
    </row>
    <row r="160" spans="1:15" ht="9.75">
      <c r="A160" s="68"/>
      <c r="B160" s="33" t="s">
        <v>155</v>
      </c>
      <c r="C160" s="29"/>
      <c r="D160" s="6">
        <f>SUM(D154:D155)</f>
        <v>316151</v>
      </c>
      <c r="E160" s="6">
        <f>SUM(E154:E155)</f>
        <v>0</v>
      </c>
      <c r="F160" s="6">
        <f>SUM(F154:F155)</f>
        <v>0</v>
      </c>
      <c r="G160" s="6">
        <f>SUM(G154:G155)</f>
        <v>0</v>
      </c>
      <c r="H160" s="6">
        <f>SUM(D160:G160)</f>
        <v>316151</v>
      </c>
      <c r="I160" s="6">
        <f>SUM(I154:I159)</f>
        <v>173050</v>
      </c>
      <c r="J160" s="6">
        <f>SUM(J154:J159)</f>
        <v>0</v>
      </c>
      <c r="K160" s="6">
        <f>SUM(K154:K159)</f>
        <v>0</v>
      </c>
      <c r="L160" s="6">
        <f>SUM(L154:L159)</f>
        <v>0</v>
      </c>
      <c r="M160" s="6">
        <f>SUM(I160:L160)</f>
        <v>173050</v>
      </c>
      <c r="N160" s="28">
        <f t="shared" si="15"/>
        <v>0.5473650249406138</v>
      </c>
      <c r="O160" s="78"/>
    </row>
    <row r="161" spans="1:15" ht="48.75">
      <c r="A161" s="68"/>
      <c r="B161" s="120" t="s">
        <v>41</v>
      </c>
      <c r="C161" s="18" t="s">
        <v>104</v>
      </c>
      <c r="D161" s="4"/>
      <c r="E161" s="4">
        <v>178500</v>
      </c>
      <c r="F161" s="4"/>
      <c r="G161" s="4"/>
      <c r="H161" s="7">
        <f>SUM(D161:G161)</f>
        <v>178500</v>
      </c>
      <c r="I161" s="7"/>
      <c r="J161" s="7">
        <f>62121+1022+11233</f>
        <v>74376</v>
      </c>
      <c r="K161" s="7"/>
      <c r="L161" s="7"/>
      <c r="M161" s="7">
        <f t="shared" si="20"/>
        <v>74376</v>
      </c>
      <c r="N161" s="5">
        <f t="shared" si="15"/>
        <v>0.41667226890756304</v>
      </c>
      <c r="O161" s="78"/>
    </row>
    <row r="162" spans="1:15" ht="9.75">
      <c r="A162" s="68"/>
      <c r="B162" s="121"/>
      <c r="C162" s="18" t="s">
        <v>193</v>
      </c>
      <c r="D162" s="4"/>
      <c r="E162" s="4">
        <v>4578</v>
      </c>
      <c r="F162" s="4"/>
      <c r="G162" s="4"/>
      <c r="H162" s="7">
        <f>SUM(D162:G162)</f>
        <v>4578</v>
      </c>
      <c r="I162" s="7"/>
      <c r="J162" s="7"/>
      <c r="K162" s="7"/>
      <c r="L162" s="7"/>
      <c r="M162" s="7">
        <f t="shared" si="20"/>
        <v>0</v>
      </c>
      <c r="N162" s="5">
        <f t="shared" si="15"/>
        <v>0</v>
      </c>
      <c r="O162" s="78"/>
    </row>
    <row r="163" spans="1:15" ht="9.75">
      <c r="A163" s="68"/>
      <c r="B163" s="121"/>
      <c r="C163" s="18" t="s">
        <v>72</v>
      </c>
      <c r="D163" s="4"/>
      <c r="E163" s="4"/>
      <c r="F163" s="4"/>
      <c r="G163" s="4"/>
      <c r="H163" s="7"/>
      <c r="I163" s="7"/>
      <c r="J163" s="7">
        <v>6866</v>
      </c>
      <c r="K163" s="7"/>
      <c r="L163" s="7"/>
      <c r="M163" s="7">
        <f t="shared" si="20"/>
        <v>6866</v>
      </c>
      <c r="N163" s="5"/>
      <c r="O163" s="78"/>
    </row>
    <row r="164" spans="1:15" ht="19.5">
      <c r="A164" s="68"/>
      <c r="B164" s="121"/>
      <c r="C164" s="18" t="s">
        <v>208</v>
      </c>
      <c r="D164" s="4"/>
      <c r="E164" s="4"/>
      <c r="F164" s="4"/>
      <c r="G164" s="4"/>
      <c r="H164" s="7"/>
      <c r="I164" s="7"/>
      <c r="J164" s="7">
        <v>112414</v>
      </c>
      <c r="K164" s="7"/>
      <c r="L164" s="7"/>
      <c r="M164" s="7">
        <f t="shared" si="20"/>
        <v>112414</v>
      </c>
      <c r="N164" s="5"/>
      <c r="O164" s="78"/>
    </row>
    <row r="165" spans="1:15" ht="9.75">
      <c r="A165" s="68"/>
      <c r="B165" s="121"/>
      <c r="C165" s="18" t="s">
        <v>74</v>
      </c>
      <c r="D165" s="4"/>
      <c r="E165" s="4"/>
      <c r="F165" s="4"/>
      <c r="G165" s="4"/>
      <c r="H165" s="7"/>
      <c r="I165" s="7"/>
      <c r="J165" s="7">
        <v>4964</v>
      </c>
      <c r="K165" s="7"/>
      <c r="L165" s="7"/>
      <c r="M165" s="7">
        <f t="shared" si="20"/>
        <v>4964</v>
      </c>
      <c r="N165" s="5"/>
      <c r="O165" s="78"/>
    </row>
    <row r="166" spans="1:15" ht="19.5">
      <c r="A166" s="68"/>
      <c r="B166" s="122"/>
      <c r="C166" s="18" t="s">
        <v>204</v>
      </c>
      <c r="D166" s="4"/>
      <c r="E166" s="4"/>
      <c r="F166" s="4"/>
      <c r="G166" s="4"/>
      <c r="H166" s="7"/>
      <c r="I166" s="7"/>
      <c r="J166" s="7">
        <v>406206</v>
      </c>
      <c r="K166" s="7"/>
      <c r="L166" s="7"/>
      <c r="M166" s="7">
        <f t="shared" si="20"/>
        <v>406206</v>
      </c>
      <c r="N166" s="5"/>
      <c r="O166" s="78"/>
    </row>
    <row r="167" spans="1:15" ht="9.75">
      <c r="A167" s="68"/>
      <c r="B167" s="33" t="s">
        <v>156</v>
      </c>
      <c r="C167" s="29"/>
      <c r="D167" s="6">
        <f>SUM(D161:D162)</f>
        <v>0</v>
      </c>
      <c r="E167" s="6">
        <f>SUM(E161:E162)</f>
        <v>183078</v>
      </c>
      <c r="F167" s="6">
        <f>SUM(F161:F162)</f>
        <v>0</v>
      </c>
      <c r="G167" s="6">
        <f>SUM(G161:G162)</f>
        <v>0</v>
      </c>
      <c r="H167" s="6">
        <f>SUM(D167:G167)</f>
        <v>183078</v>
      </c>
      <c r="I167" s="6">
        <f>SUM(I161:I166)</f>
        <v>0</v>
      </c>
      <c r="J167" s="6">
        <f>SUM(J161:J166)</f>
        <v>604826</v>
      </c>
      <c r="K167" s="6">
        <f>SUM(K161:K166)</f>
        <v>0</v>
      </c>
      <c r="L167" s="6">
        <f>SUM(L161:L166)</f>
        <v>0</v>
      </c>
      <c r="M167" s="6">
        <f>SUM(I167:L167)</f>
        <v>604826</v>
      </c>
      <c r="N167" s="28">
        <f t="shared" si="15"/>
        <v>3.3036519953243975</v>
      </c>
      <c r="O167" s="78"/>
    </row>
    <row r="168" spans="1:15" ht="48.75">
      <c r="A168" s="68"/>
      <c r="B168" s="120" t="s">
        <v>157</v>
      </c>
      <c r="C168" s="27" t="s">
        <v>104</v>
      </c>
      <c r="D168" s="7"/>
      <c r="E168" s="4">
        <v>156001</v>
      </c>
      <c r="F168" s="4"/>
      <c r="G168" s="4"/>
      <c r="H168" s="7">
        <f>SUM(D168:G168)</f>
        <v>156001</v>
      </c>
      <c r="I168" s="7"/>
      <c r="J168" s="7">
        <v>36434</v>
      </c>
      <c r="K168" s="7"/>
      <c r="L168" s="7"/>
      <c r="M168" s="7">
        <f t="shared" si="20"/>
        <v>36434</v>
      </c>
      <c r="N168" s="5">
        <f t="shared" si="15"/>
        <v>0.23354978493727604</v>
      </c>
      <c r="O168" s="78"/>
    </row>
    <row r="169" spans="1:15" ht="9.75">
      <c r="A169" s="68"/>
      <c r="B169" s="121"/>
      <c r="C169" s="18" t="s">
        <v>193</v>
      </c>
      <c r="D169" s="4"/>
      <c r="E169" s="4">
        <v>30658</v>
      </c>
      <c r="F169" s="4"/>
      <c r="G169" s="4"/>
      <c r="H169" s="7">
        <f>SUM(D169:G169)</f>
        <v>30658</v>
      </c>
      <c r="I169" s="7"/>
      <c r="J169" s="7">
        <v>42225</v>
      </c>
      <c r="K169" s="7"/>
      <c r="L169" s="7"/>
      <c r="M169" s="7">
        <f t="shared" si="20"/>
        <v>42225</v>
      </c>
      <c r="N169" s="5">
        <f t="shared" si="15"/>
        <v>1.377291408441516</v>
      </c>
      <c r="O169" s="78"/>
    </row>
    <row r="170" spans="1:15" ht="9.75">
      <c r="A170" s="68"/>
      <c r="B170" s="121"/>
      <c r="C170" s="18" t="s">
        <v>237</v>
      </c>
      <c r="D170" s="4"/>
      <c r="E170" s="4">
        <v>26000</v>
      </c>
      <c r="F170" s="4"/>
      <c r="G170" s="4"/>
      <c r="H170" s="7">
        <f>SUM(D170:G170)</f>
        <v>26000</v>
      </c>
      <c r="I170" s="7"/>
      <c r="J170" s="7">
        <v>15650</v>
      </c>
      <c r="K170" s="7"/>
      <c r="L170" s="7"/>
      <c r="M170" s="7">
        <f t="shared" si="20"/>
        <v>15650</v>
      </c>
      <c r="N170" s="5">
        <f t="shared" si="15"/>
        <v>0.6019230769230769</v>
      </c>
      <c r="O170" s="78"/>
    </row>
    <row r="171" spans="1:15" ht="19.5">
      <c r="A171" s="68"/>
      <c r="B171" s="121"/>
      <c r="C171" s="18" t="s">
        <v>161</v>
      </c>
      <c r="D171" s="4"/>
      <c r="E171" s="4"/>
      <c r="F171" s="4"/>
      <c r="G171" s="4"/>
      <c r="H171" s="7"/>
      <c r="I171" s="7"/>
      <c r="J171" s="7">
        <v>156</v>
      </c>
      <c r="K171" s="7"/>
      <c r="L171" s="7"/>
      <c r="M171" s="7">
        <f t="shared" si="20"/>
        <v>156</v>
      </c>
      <c r="N171" s="5"/>
      <c r="O171" s="78"/>
    </row>
    <row r="172" spans="1:15" ht="9.75">
      <c r="A172" s="68"/>
      <c r="B172" s="121"/>
      <c r="C172" s="18" t="s">
        <v>72</v>
      </c>
      <c r="D172" s="4"/>
      <c r="E172" s="4"/>
      <c r="F172" s="4"/>
      <c r="G172" s="4"/>
      <c r="H172" s="7"/>
      <c r="I172" s="7"/>
      <c r="J172" s="7">
        <v>6585</v>
      </c>
      <c r="K172" s="7"/>
      <c r="L172" s="7"/>
      <c r="M172" s="7">
        <f t="shared" si="20"/>
        <v>6585</v>
      </c>
      <c r="N172" s="5"/>
      <c r="O172" s="78"/>
    </row>
    <row r="173" spans="1:15" ht="19.5">
      <c r="A173" s="68"/>
      <c r="B173" s="121"/>
      <c r="C173" s="18" t="s">
        <v>208</v>
      </c>
      <c r="D173" s="4"/>
      <c r="E173" s="4"/>
      <c r="F173" s="4"/>
      <c r="G173" s="4"/>
      <c r="H173" s="7"/>
      <c r="I173" s="7"/>
      <c r="J173" s="7">
        <v>3284</v>
      </c>
      <c r="K173" s="7"/>
      <c r="L173" s="7"/>
      <c r="M173" s="7">
        <f t="shared" si="20"/>
        <v>3284</v>
      </c>
      <c r="N173" s="5"/>
      <c r="O173" s="78"/>
    </row>
    <row r="174" spans="1:15" ht="9.75">
      <c r="A174" s="68"/>
      <c r="B174" s="121"/>
      <c r="C174" s="18" t="s">
        <v>74</v>
      </c>
      <c r="D174" s="4"/>
      <c r="E174" s="4"/>
      <c r="F174" s="4"/>
      <c r="G174" s="4"/>
      <c r="H174" s="7"/>
      <c r="I174" s="7"/>
      <c r="J174" s="7">
        <v>5031</v>
      </c>
      <c r="K174" s="7"/>
      <c r="L174" s="7"/>
      <c r="M174" s="7">
        <f t="shared" si="20"/>
        <v>5031</v>
      </c>
      <c r="N174" s="5"/>
      <c r="O174" s="78"/>
    </row>
    <row r="175" spans="1:15" ht="19.5">
      <c r="A175" s="68"/>
      <c r="B175" s="122"/>
      <c r="C175" s="18" t="s">
        <v>204</v>
      </c>
      <c r="D175" s="4"/>
      <c r="E175" s="4"/>
      <c r="F175" s="4"/>
      <c r="G175" s="4"/>
      <c r="H175" s="7"/>
      <c r="I175" s="7"/>
      <c r="J175" s="7">
        <v>118912</v>
      </c>
      <c r="K175" s="7"/>
      <c r="L175" s="7"/>
      <c r="M175" s="7">
        <f t="shared" si="20"/>
        <v>118912</v>
      </c>
      <c r="N175" s="5"/>
      <c r="O175" s="78"/>
    </row>
    <row r="176" spans="1:15" ht="9.75">
      <c r="A176" s="68"/>
      <c r="B176" s="33" t="s">
        <v>158</v>
      </c>
      <c r="C176" s="29"/>
      <c r="D176" s="6">
        <f>SUM(D168:D170)</f>
        <v>0</v>
      </c>
      <c r="E176" s="6">
        <f>SUM(E168:E170)</f>
        <v>212659</v>
      </c>
      <c r="F176" s="6">
        <f>SUM(F168:F170)</f>
        <v>0</v>
      </c>
      <c r="G176" s="6">
        <f>SUM(G168:G170)</f>
        <v>0</v>
      </c>
      <c r="H176" s="6">
        <f>SUM(D176:G176)</f>
        <v>212659</v>
      </c>
      <c r="I176" s="6">
        <f>SUM(I168:I175)</f>
        <v>0</v>
      </c>
      <c r="J176" s="6">
        <f>SUM(J168:J175)</f>
        <v>228277</v>
      </c>
      <c r="K176" s="6">
        <f>SUM(K168:K175)</f>
        <v>0</v>
      </c>
      <c r="L176" s="6">
        <f>SUM(L168:L175)</f>
        <v>0</v>
      </c>
      <c r="M176" s="6">
        <f>SUM(I176:L176)</f>
        <v>228277</v>
      </c>
      <c r="N176" s="28">
        <f t="shared" si="15"/>
        <v>1.0734415190516273</v>
      </c>
      <c r="O176" s="78"/>
    </row>
    <row r="177" spans="1:15" ht="48.75">
      <c r="A177" s="68"/>
      <c r="B177" s="120" t="s">
        <v>42</v>
      </c>
      <c r="C177" s="27" t="s">
        <v>104</v>
      </c>
      <c r="D177" s="4"/>
      <c r="E177" s="4">
        <v>28000</v>
      </c>
      <c r="F177" s="4"/>
      <c r="G177" s="4"/>
      <c r="H177" s="7">
        <f>SUM(D177:G177)</f>
        <v>28000</v>
      </c>
      <c r="I177" s="9"/>
      <c r="J177" s="7">
        <v>9515</v>
      </c>
      <c r="K177" s="9"/>
      <c r="L177" s="9"/>
      <c r="M177" s="7">
        <f t="shared" si="20"/>
        <v>9515</v>
      </c>
      <c r="N177" s="5">
        <f t="shared" si="15"/>
        <v>0.33982142857142855</v>
      </c>
      <c r="O177" s="78"/>
    </row>
    <row r="178" spans="1:15" ht="9.75">
      <c r="A178" s="68"/>
      <c r="B178" s="121"/>
      <c r="C178" s="18" t="s">
        <v>193</v>
      </c>
      <c r="D178" s="4"/>
      <c r="E178" s="4">
        <v>150</v>
      </c>
      <c r="F178" s="4"/>
      <c r="G178" s="4"/>
      <c r="H178" s="7">
        <f>SUM(D178:G178)</f>
        <v>150</v>
      </c>
      <c r="I178" s="7"/>
      <c r="J178" s="7"/>
      <c r="K178" s="7"/>
      <c r="L178" s="7"/>
      <c r="M178" s="7">
        <f t="shared" si="20"/>
        <v>0</v>
      </c>
      <c r="N178" s="5">
        <f t="shared" si="15"/>
        <v>0</v>
      </c>
      <c r="O178" s="78"/>
    </row>
    <row r="179" spans="1:15" ht="9.75">
      <c r="A179" s="68"/>
      <c r="B179" s="121"/>
      <c r="C179" s="18" t="s">
        <v>72</v>
      </c>
      <c r="D179" s="4"/>
      <c r="E179" s="4"/>
      <c r="F179" s="4"/>
      <c r="G179" s="4"/>
      <c r="H179" s="7"/>
      <c r="I179" s="7"/>
      <c r="J179" s="7">
        <v>420</v>
      </c>
      <c r="K179" s="7"/>
      <c r="L179" s="7"/>
      <c r="M179" s="7">
        <f t="shared" si="20"/>
        <v>420</v>
      </c>
      <c r="N179" s="5"/>
      <c r="O179" s="78"/>
    </row>
    <row r="180" spans="1:15" ht="9.75">
      <c r="A180" s="68"/>
      <c r="B180" s="122"/>
      <c r="C180" s="18" t="s">
        <v>74</v>
      </c>
      <c r="D180" s="4"/>
      <c r="E180" s="4"/>
      <c r="F180" s="4"/>
      <c r="G180" s="4"/>
      <c r="H180" s="7"/>
      <c r="I180" s="7"/>
      <c r="J180" s="7">
        <v>100</v>
      </c>
      <c r="K180" s="7"/>
      <c r="L180" s="7"/>
      <c r="M180" s="7">
        <f t="shared" si="20"/>
        <v>100</v>
      </c>
      <c r="N180" s="5"/>
      <c r="O180" s="78"/>
    </row>
    <row r="181" spans="1:15" ht="13.5" customHeight="1">
      <c r="A181" s="68"/>
      <c r="B181" s="33" t="s">
        <v>159</v>
      </c>
      <c r="C181" s="29"/>
      <c r="D181" s="6">
        <f>SUM(D177:D178)</f>
        <v>0</v>
      </c>
      <c r="E181" s="6">
        <f>SUM(E177:E178)</f>
        <v>28150</v>
      </c>
      <c r="F181" s="6">
        <f>SUM(F177:F178)</f>
        <v>0</v>
      </c>
      <c r="G181" s="6">
        <f>SUM(G177:G178)</f>
        <v>0</v>
      </c>
      <c r="H181" s="6">
        <f>SUM(D181:G181)</f>
        <v>28150</v>
      </c>
      <c r="I181" s="6">
        <f>SUM(I177:I180)</f>
        <v>0</v>
      </c>
      <c r="J181" s="6">
        <f>SUM(J177:J180)</f>
        <v>10035</v>
      </c>
      <c r="K181" s="6">
        <f>SUM(K177:K180)</f>
        <v>0</v>
      </c>
      <c r="L181" s="6">
        <f>SUM(L177:L180)</f>
        <v>0</v>
      </c>
      <c r="M181" s="6">
        <f>SUM(I181:L181)</f>
        <v>10035</v>
      </c>
      <c r="N181" s="28">
        <f t="shared" si="15"/>
        <v>0.35648312611012434</v>
      </c>
      <c r="O181" s="78"/>
    </row>
    <row r="182" spans="1:15" ht="40.5" customHeight="1">
      <c r="A182" s="68"/>
      <c r="B182" s="23" t="s">
        <v>43</v>
      </c>
      <c r="C182" s="27" t="s">
        <v>83</v>
      </c>
      <c r="D182" s="4"/>
      <c r="E182" s="4">
        <v>500000</v>
      </c>
      <c r="F182" s="4"/>
      <c r="G182" s="4"/>
      <c r="H182" s="7">
        <f>SUM(D182:G182)</f>
        <v>500000</v>
      </c>
      <c r="I182" s="7"/>
      <c r="J182" s="7">
        <v>5737</v>
      </c>
      <c r="K182" s="7"/>
      <c r="L182" s="7"/>
      <c r="M182" s="7">
        <f t="shared" si="20"/>
        <v>5737</v>
      </c>
      <c r="N182" s="5">
        <f t="shared" si="15"/>
        <v>0.011474</v>
      </c>
      <c r="O182" s="78"/>
    </row>
    <row r="183" spans="1:15" ht="12.75" customHeight="1">
      <c r="A183" s="68"/>
      <c r="B183" s="33" t="s">
        <v>160</v>
      </c>
      <c r="C183" s="29"/>
      <c r="D183" s="6">
        <f>SUM(D182)</f>
        <v>0</v>
      </c>
      <c r="E183" s="6">
        <f>SUM(E182)</f>
        <v>500000</v>
      </c>
      <c r="F183" s="6">
        <f>SUM(F182)</f>
        <v>0</v>
      </c>
      <c r="G183" s="6">
        <f>SUM(G182)</f>
        <v>0</v>
      </c>
      <c r="H183" s="6">
        <f>SUM(D183:G183)</f>
        <v>500000</v>
      </c>
      <c r="I183" s="6">
        <f>SUM(I182)</f>
        <v>0</v>
      </c>
      <c r="J183" s="6">
        <f>SUM(J182)</f>
        <v>5737</v>
      </c>
      <c r="K183" s="6">
        <f>SUM(K182)</f>
        <v>0</v>
      </c>
      <c r="L183" s="6">
        <f>SUM(L182)</f>
        <v>0</v>
      </c>
      <c r="M183" s="6">
        <f aca="true" t="shared" si="22" ref="M183:M214">SUM(I183:L183)</f>
        <v>5737</v>
      </c>
      <c r="N183" s="28">
        <f t="shared" si="15"/>
        <v>0.011474</v>
      </c>
      <c r="O183" s="78"/>
    </row>
    <row r="184" spans="1:15" ht="9.75">
      <c r="A184" s="68"/>
      <c r="B184" s="120" t="s">
        <v>195</v>
      </c>
      <c r="C184" s="18" t="s">
        <v>193</v>
      </c>
      <c r="D184" s="4"/>
      <c r="E184" s="4">
        <v>16250</v>
      </c>
      <c r="F184" s="4"/>
      <c r="G184" s="4"/>
      <c r="H184" s="7">
        <f>SUM(D184:G184)</f>
        <v>16250</v>
      </c>
      <c r="I184" s="7"/>
      <c r="J184" s="7">
        <v>12875</v>
      </c>
      <c r="K184" s="7"/>
      <c r="L184" s="7"/>
      <c r="M184" s="7">
        <f t="shared" si="22"/>
        <v>12875</v>
      </c>
      <c r="N184" s="5">
        <f>M184/H184</f>
        <v>0.7923076923076923</v>
      </c>
      <c r="O184" s="78"/>
    </row>
    <row r="185" spans="1:15" ht="9.75">
      <c r="A185" s="68"/>
      <c r="B185" s="121"/>
      <c r="C185" s="18" t="s">
        <v>72</v>
      </c>
      <c r="D185" s="4"/>
      <c r="E185" s="4"/>
      <c r="F185" s="4"/>
      <c r="G185" s="4"/>
      <c r="H185" s="7"/>
      <c r="I185" s="7"/>
      <c r="J185" s="7">
        <v>432</v>
      </c>
      <c r="K185" s="7"/>
      <c r="L185" s="7"/>
      <c r="M185" s="7">
        <f t="shared" si="22"/>
        <v>432</v>
      </c>
      <c r="N185" s="5"/>
      <c r="O185" s="78"/>
    </row>
    <row r="186" spans="1:15" ht="9.75">
      <c r="A186" s="68"/>
      <c r="B186" s="121"/>
      <c r="C186" s="18" t="s">
        <v>74</v>
      </c>
      <c r="D186" s="4"/>
      <c r="E186" s="4"/>
      <c r="F186" s="4"/>
      <c r="G186" s="4"/>
      <c r="H186" s="7"/>
      <c r="I186" s="7"/>
      <c r="J186" s="7">
        <v>22</v>
      </c>
      <c r="K186" s="7"/>
      <c r="L186" s="7"/>
      <c r="M186" s="7">
        <f t="shared" si="22"/>
        <v>22</v>
      </c>
      <c r="N186" s="5"/>
      <c r="O186" s="78"/>
    </row>
    <row r="187" spans="1:15" ht="19.5">
      <c r="A187" s="68"/>
      <c r="B187" s="122"/>
      <c r="C187" s="18" t="s">
        <v>204</v>
      </c>
      <c r="D187" s="4"/>
      <c r="E187" s="4"/>
      <c r="F187" s="4"/>
      <c r="G187" s="4"/>
      <c r="H187" s="7"/>
      <c r="I187" s="7"/>
      <c r="J187" s="7">
        <v>38671</v>
      </c>
      <c r="K187" s="7"/>
      <c r="L187" s="7"/>
      <c r="M187" s="7">
        <f t="shared" si="22"/>
        <v>38671</v>
      </c>
      <c r="N187" s="5"/>
      <c r="O187" s="78"/>
    </row>
    <row r="188" spans="1:15" ht="12.75" customHeight="1">
      <c r="A188" s="68"/>
      <c r="B188" s="33" t="s">
        <v>195</v>
      </c>
      <c r="C188" s="29"/>
      <c r="D188" s="6">
        <f>SUM(D184)</f>
        <v>0</v>
      </c>
      <c r="E188" s="6">
        <f>SUM(E184)</f>
        <v>16250</v>
      </c>
      <c r="F188" s="6">
        <f>SUM(F184)</f>
        <v>0</v>
      </c>
      <c r="G188" s="6">
        <f>SUM(G184)</f>
        <v>0</v>
      </c>
      <c r="H188" s="6">
        <f aca="true" t="shared" si="23" ref="H188:H194">SUM(D188:G188)</f>
        <v>16250</v>
      </c>
      <c r="I188" s="6">
        <f>SUM(I184:I187)</f>
        <v>0</v>
      </c>
      <c r="J188" s="6">
        <f>SUM(J184:J187)</f>
        <v>52000</v>
      </c>
      <c r="K188" s="6">
        <f>SUM(K184:K187)</f>
        <v>0</v>
      </c>
      <c r="L188" s="6">
        <f>SUM(L184:L187)</f>
        <v>0</v>
      </c>
      <c r="M188" s="6">
        <f t="shared" si="22"/>
        <v>52000</v>
      </c>
      <c r="N188" s="28">
        <f>M188/H188</f>
        <v>3.2</v>
      </c>
      <c r="O188" s="78"/>
    </row>
    <row r="189" spans="1:15" ht="19.5">
      <c r="A189" s="68"/>
      <c r="B189" s="23" t="s">
        <v>212</v>
      </c>
      <c r="C189" s="18" t="s">
        <v>74</v>
      </c>
      <c r="D189" s="4"/>
      <c r="E189" s="4"/>
      <c r="F189" s="4"/>
      <c r="G189" s="4"/>
      <c r="H189" s="7">
        <f t="shared" si="23"/>
        <v>0</v>
      </c>
      <c r="I189" s="7">
        <v>80</v>
      </c>
      <c r="J189" s="7"/>
      <c r="K189" s="7"/>
      <c r="L189" s="7"/>
      <c r="M189" s="7">
        <f t="shared" si="22"/>
        <v>80</v>
      </c>
      <c r="N189" s="5"/>
      <c r="O189" s="78"/>
    </row>
    <row r="190" spans="1:15" ht="12" customHeight="1">
      <c r="A190" s="68"/>
      <c r="B190" s="33" t="s">
        <v>213</v>
      </c>
      <c r="C190" s="29"/>
      <c r="D190" s="6">
        <f>SUM(D189)</f>
        <v>0</v>
      </c>
      <c r="E190" s="6">
        <f>SUM(E189)</f>
        <v>0</v>
      </c>
      <c r="F190" s="6">
        <f>SUM(F189)</f>
        <v>0</v>
      </c>
      <c r="G190" s="6">
        <f>SUM(G189)</f>
        <v>0</v>
      </c>
      <c r="H190" s="6">
        <f t="shared" si="23"/>
        <v>0</v>
      </c>
      <c r="I190" s="6">
        <f>SUM(I189)</f>
        <v>80</v>
      </c>
      <c r="J190" s="6">
        <f>SUM(J189)</f>
        <v>0</v>
      </c>
      <c r="K190" s="6">
        <f>SUM(K189)</f>
        <v>0</v>
      </c>
      <c r="L190" s="6">
        <f>SUM(L189)</f>
        <v>0</v>
      </c>
      <c r="M190" s="6">
        <f t="shared" si="22"/>
        <v>80</v>
      </c>
      <c r="N190" s="28"/>
      <c r="O190" s="78"/>
    </row>
    <row r="191" spans="1:15" ht="39">
      <c r="A191" s="68"/>
      <c r="B191" s="23" t="s">
        <v>214</v>
      </c>
      <c r="C191" s="18" t="s">
        <v>216</v>
      </c>
      <c r="D191" s="4"/>
      <c r="E191" s="4"/>
      <c r="F191" s="4"/>
      <c r="G191" s="4"/>
      <c r="H191" s="7">
        <f t="shared" si="23"/>
        <v>0</v>
      </c>
      <c r="I191" s="7">
        <v>908</v>
      </c>
      <c r="J191" s="7"/>
      <c r="K191" s="7"/>
      <c r="L191" s="7"/>
      <c r="M191" s="7">
        <f t="shared" si="22"/>
        <v>908</v>
      </c>
      <c r="N191" s="5"/>
      <c r="O191" s="78"/>
    </row>
    <row r="192" spans="1:15" ht="9.75">
      <c r="A192" s="68"/>
      <c r="B192" s="33" t="s">
        <v>215</v>
      </c>
      <c r="C192" s="29"/>
      <c r="D192" s="6">
        <f>SUM(D191)</f>
        <v>0</v>
      </c>
      <c r="E192" s="6">
        <f>SUM(E191)</f>
        <v>0</v>
      </c>
      <c r="F192" s="6">
        <f>SUM(F191)</f>
        <v>0</v>
      </c>
      <c r="G192" s="6">
        <f>SUM(G191)</f>
        <v>0</v>
      </c>
      <c r="H192" s="6">
        <f t="shared" si="23"/>
        <v>0</v>
      </c>
      <c r="I192" s="6">
        <f>SUM(I191)</f>
        <v>908</v>
      </c>
      <c r="J192" s="6">
        <f>SUM(J191)</f>
        <v>0</v>
      </c>
      <c r="K192" s="6">
        <f>SUM(K191)</f>
        <v>0</v>
      </c>
      <c r="L192" s="6">
        <f>SUM(L191)</f>
        <v>0</v>
      </c>
      <c r="M192" s="6">
        <f t="shared" si="22"/>
        <v>908</v>
      </c>
      <c r="N192" s="28"/>
      <c r="O192" s="78"/>
    </row>
    <row r="193" spans="1:15" ht="11.25">
      <c r="A193" s="53" t="s">
        <v>44</v>
      </c>
      <c r="B193" s="38"/>
      <c r="C193" s="24"/>
      <c r="D193" s="25">
        <f aca="true" t="shared" si="24" ref="D193:M193">SUM(D192,D190,D188,D183,D181,D176,D167,D160,D153,D148,D143)</f>
        <v>1741763</v>
      </c>
      <c r="E193" s="25">
        <f t="shared" si="24"/>
        <v>975237</v>
      </c>
      <c r="F193" s="25">
        <f t="shared" si="24"/>
        <v>0</v>
      </c>
      <c r="G193" s="25">
        <f t="shared" si="24"/>
        <v>0</v>
      </c>
      <c r="H193" s="25">
        <f t="shared" si="24"/>
        <v>2717000</v>
      </c>
      <c r="I193" s="25">
        <f t="shared" si="24"/>
        <v>1135005</v>
      </c>
      <c r="J193" s="25">
        <f t="shared" si="24"/>
        <v>922930</v>
      </c>
      <c r="K193" s="25">
        <f t="shared" si="24"/>
        <v>0</v>
      </c>
      <c r="L193" s="25">
        <f t="shared" si="24"/>
        <v>0</v>
      </c>
      <c r="M193" s="25">
        <f t="shared" si="24"/>
        <v>2057935</v>
      </c>
      <c r="N193" s="30">
        <f t="shared" si="15"/>
        <v>0.7574291497975708</v>
      </c>
      <c r="O193" s="78"/>
    </row>
    <row r="194" spans="1:15" ht="19.5">
      <c r="A194" s="54" t="s">
        <v>45</v>
      </c>
      <c r="B194" s="120" t="s">
        <v>63</v>
      </c>
      <c r="C194" s="18" t="s">
        <v>161</v>
      </c>
      <c r="D194" s="4">
        <v>230000</v>
      </c>
      <c r="E194" s="4"/>
      <c r="F194" s="4"/>
      <c r="G194" s="4"/>
      <c r="H194" s="7">
        <f t="shared" si="23"/>
        <v>230000</v>
      </c>
      <c r="I194" s="13">
        <v>0</v>
      </c>
      <c r="J194" s="13"/>
      <c r="K194" s="13"/>
      <c r="L194" s="13"/>
      <c r="M194" s="7">
        <f t="shared" si="22"/>
        <v>0</v>
      </c>
      <c r="N194" s="5">
        <f t="shared" si="15"/>
        <v>0</v>
      </c>
      <c r="O194" s="78"/>
    </row>
    <row r="195" spans="1:15" ht="9.75">
      <c r="A195" s="54"/>
      <c r="B195" s="122"/>
      <c r="C195" s="18" t="s">
        <v>74</v>
      </c>
      <c r="D195" s="4"/>
      <c r="E195" s="4"/>
      <c r="F195" s="4"/>
      <c r="G195" s="4"/>
      <c r="H195" s="7"/>
      <c r="I195" s="13">
        <v>179634</v>
      </c>
      <c r="J195" s="13"/>
      <c r="K195" s="13"/>
      <c r="L195" s="13"/>
      <c r="M195" s="7">
        <f t="shared" si="22"/>
        <v>179634</v>
      </c>
      <c r="N195" s="5"/>
      <c r="O195" s="78"/>
    </row>
    <row r="196" spans="1:15" ht="9.75">
      <c r="A196" s="68"/>
      <c r="B196" s="33" t="s">
        <v>162</v>
      </c>
      <c r="C196" s="29"/>
      <c r="D196" s="6">
        <f>SUM(D194)</f>
        <v>230000</v>
      </c>
      <c r="E196" s="6">
        <f>SUM(E194)</f>
        <v>0</v>
      </c>
      <c r="F196" s="6">
        <f>SUM(F194)</f>
        <v>0</v>
      </c>
      <c r="G196" s="6">
        <f>SUM(G194)</f>
        <v>0</v>
      </c>
      <c r="H196" s="31">
        <f>SUM(D196:G196)</f>
        <v>230000</v>
      </c>
      <c r="I196" s="6">
        <f>SUM(I194:I195)</f>
        <v>179634</v>
      </c>
      <c r="J196" s="6">
        <f>SUM(J194:J195)</f>
        <v>0</v>
      </c>
      <c r="K196" s="6">
        <f>SUM(K194:K195)</f>
        <v>0</v>
      </c>
      <c r="L196" s="6">
        <f>SUM(L194:L195)</f>
        <v>0</v>
      </c>
      <c r="M196" s="6">
        <f t="shared" si="22"/>
        <v>179634</v>
      </c>
      <c r="N196" s="28">
        <f t="shared" si="15"/>
        <v>0.7810173913043478</v>
      </c>
      <c r="O196" s="78"/>
    </row>
    <row r="197" spans="1:15" ht="39">
      <c r="A197" s="68"/>
      <c r="B197" s="23" t="s">
        <v>217</v>
      </c>
      <c r="C197" s="18" t="s">
        <v>216</v>
      </c>
      <c r="D197" s="4"/>
      <c r="E197" s="4"/>
      <c r="F197" s="4"/>
      <c r="G197" s="4"/>
      <c r="H197" s="7">
        <f>SUM(D197:G197)</f>
        <v>0</v>
      </c>
      <c r="I197" s="7">
        <v>326</v>
      </c>
      <c r="J197" s="7"/>
      <c r="K197" s="7"/>
      <c r="L197" s="7"/>
      <c r="M197" s="7">
        <f t="shared" si="22"/>
        <v>326</v>
      </c>
      <c r="N197" s="5"/>
      <c r="O197" s="78"/>
    </row>
    <row r="198" spans="1:15" ht="9.75">
      <c r="A198" s="68"/>
      <c r="B198" s="33" t="s">
        <v>218</v>
      </c>
      <c r="C198" s="29"/>
      <c r="D198" s="6">
        <f>SUM(D197)</f>
        <v>0</v>
      </c>
      <c r="E198" s="6">
        <f>SUM(E197)</f>
        <v>0</v>
      </c>
      <c r="F198" s="6">
        <f>SUM(F197)</f>
        <v>0</v>
      </c>
      <c r="G198" s="6">
        <f>SUM(G197)</f>
        <v>0</v>
      </c>
      <c r="H198" s="6">
        <f>SUM(D198:G198)</f>
        <v>0</v>
      </c>
      <c r="I198" s="6">
        <f>SUM(I197)</f>
        <v>326</v>
      </c>
      <c r="J198" s="6">
        <f>SUM(J197)</f>
        <v>0</v>
      </c>
      <c r="K198" s="6">
        <f>SUM(K197)</f>
        <v>0</v>
      </c>
      <c r="L198" s="6">
        <f>SUM(L197)</f>
        <v>0</v>
      </c>
      <c r="M198" s="6">
        <f t="shared" si="22"/>
        <v>326</v>
      </c>
      <c r="N198" s="28"/>
      <c r="O198" s="78"/>
    </row>
    <row r="199" spans="1:15" s="10" customFormat="1" ht="9.75">
      <c r="A199" s="69"/>
      <c r="B199" s="130" t="s">
        <v>219</v>
      </c>
      <c r="C199" s="18" t="s">
        <v>72</v>
      </c>
      <c r="D199" s="13"/>
      <c r="E199" s="13"/>
      <c r="F199" s="13"/>
      <c r="G199" s="13"/>
      <c r="H199" s="7"/>
      <c r="I199" s="7">
        <v>44</v>
      </c>
      <c r="J199" s="13"/>
      <c r="K199" s="13"/>
      <c r="L199" s="13"/>
      <c r="M199" s="7">
        <f t="shared" si="22"/>
        <v>44</v>
      </c>
      <c r="N199" s="5"/>
      <c r="O199" s="80"/>
    </row>
    <row r="200" spans="1:15" ht="39">
      <c r="A200" s="68"/>
      <c r="B200" s="131"/>
      <c r="C200" s="18" t="s">
        <v>216</v>
      </c>
      <c r="D200" s="4"/>
      <c r="E200" s="4"/>
      <c r="F200" s="4"/>
      <c r="G200" s="4"/>
      <c r="H200" s="7">
        <f>SUM(D200:G200)</f>
        <v>0</v>
      </c>
      <c r="I200" s="7">
        <v>26967</v>
      </c>
      <c r="J200" s="7"/>
      <c r="K200" s="7"/>
      <c r="L200" s="7"/>
      <c r="M200" s="7">
        <f t="shared" si="22"/>
        <v>26967</v>
      </c>
      <c r="N200" s="5"/>
      <c r="O200" s="78"/>
    </row>
    <row r="201" spans="1:15" ht="9.75">
      <c r="A201" s="68"/>
      <c r="B201" s="33" t="s">
        <v>220</v>
      </c>
      <c r="C201" s="29"/>
      <c r="D201" s="6">
        <f>SUM(D200)</f>
        <v>0</v>
      </c>
      <c r="E201" s="6">
        <f>SUM(E200)</f>
        <v>0</v>
      </c>
      <c r="F201" s="6">
        <f>SUM(F200)</f>
        <v>0</v>
      </c>
      <c r="G201" s="6">
        <f>SUM(G200)</f>
        <v>0</v>
      </c>
      <c r="H201" s="6">
        <f>SUM(D201:G201)</f>
        <v>0</v>
      </c>
      <c r="I201" s="6">
        <f>SUM(I199:I200)</f>
        <v>27011</v>
      </c>
      <c r="J201" s="6">
        <f>SUM(J199:J200)</f>
        <v>0</v>
      </c>
      <c r="K201" s="6">
        <f>SUM(K199:K200)</f>
        <v>0</v>
      </c>
      <c r="L201" s="6">
        <f>SUM(L199:L200)</f>
        <v>0</v>
      </c>
      <c r="M201" s="6">
        <f t="shared" si="22"/>
        <v>27011</v>
      </c>
      <c r="N201" s="28"/>
      <c r="O201" s="78"/>
    </row>
    <row r="202" spans="1:15" ht="48.75">
      <c r="A202" s="68"/>
      <c r="B202" s="23" t="s">
        <v>163</v>
      </c>
      <c r="C202" s="27" t="s">
        <v>69</v>
      </c>
      <c r="D202" s="4"/>
      <c r="E202" s="4"/>
      <c r="F202" s="4"/>
      <c r="G202" s="4">
        <v>1576000</v>
      </c>
      <c r="H202" s="7">
        <f>SUM(D202:G202)</f>
        <v>1576000</v>
      </c>
      <c r="I202" s="7"/>
      <c r="J202" s="7"/>
      <c r="K202" s="7"/>
      <c r="L202" s="7">
        <v>527010</v>
      </c>
      <c r="M202" s="7">
        <f t="shared" si="22"/>
        <v>527010</v>
      </c>
      <c r="N202" s="5">
        <f t="shared" si="15"/>
        <v>0.33439720812182744</v>
      </c>
      <c r="O202" s="78"/>
    </row>
    <row r="203" spans="1:15" ht="9.75">
      <c r="A203" s="68"/>
      <c r="B203" s="33" t="s">
        <v>164</v>
      </c>
      <c r="C203" s="29"/>
      <c r="D203" s="6">
        <f>SUM(D202)</f>
        <v>0</v>
      </c>
      <c r="E203" s="6">
        <f>SUM(E202)</f>
        <v>0</v>
      </c>
      <c r="F203" s="6">
        <f>SUM(F202)</f>
        <v>0</v>
      </c>
      <c r="G203" s="6">
        <f>SUM(G202)</f>
        <v>1576000</v>
      </c>
      <c r="H203" s="6">
        <f>SUM(D203:G203)</f>
        <v>1576000</v>
      </c>
      <c r="I203" s="6">
        <f>SUM(I202)</f>
        <v>0</v>
      </c>
      <c r="J203" s="6">
        <f>SUM(J202)</f>
        <v>0</v>
      </c>
      <c r="K203" s="6">
        <f>SUM(K202)</f>
        <v>0</v>
      </c>
      <c r="L203" s="6">
        <f>SUM(L202)</f>
        <v>527010</v>
      </c>
      <c r="M203" s="6">
        <f t="shared" si="22"/>
        <v>527010</v>
      </c>
      <c r="N203" s="28">
        <f t="shared" si="15"/>
        <v>0.33439720812182744</v>
      </c>
      <c r="O203" s="78"/>
    </row>
    <row r="204" spans="1:15" ht="9.75">
      <c r="A204" s="68"/>
      <c r="B204" s="120" t="s">
        <v>221</v>
      </c>
      <c r="C204" s="50" t="s">
        <v>71</v>
      </c>
      <c r="D204" s="4"/>
      <c r="E204" s="4"/>
      <c r="F204" s="4"/>
      <c r="G204" s="4"/>
      <c r="H204" s="7">
        <f>SUM(D204:G204)</f>
        <v>0</v>
      </c>
      <c r="I204" s="7">
        <v>557</v>
      </c>
      <c r="J204" s="7"/>
      <c r="K204" s="7"/>
      <c r="L204" s="7"/>
      <c r="M204" s="7">
        <f t="shared" si="22"/>
        <v>557</v>
      </c>
      <c r="N204" s="5"/>
      <c r="O204" s="78"/>
    </row>
    <row r="205" spans="1:15" ht="9.75">
      <c r="A205" s="68"/>
      <c r="B205" s="122"/>
      <c r="C205" s="18" t="s">
        <v>193</v>
      </c>
      <c r="D205" s="4"/>
      <c r="E205" s="4"/>
      <c r="F205" s="4"/>
      <c r="G205" s="4"/>
      <c r="H205" s="7"/>
      <c r="I205" s="7">
        <v>19026</v>
      </c>
      <c r="J205" s="7"/>
      <c r="K205" s="7"/>
      <c r="L205" s="7"/>
      <c r="M205" s="7">
        <f t="shared" si="22"/>
        <v>19026</v>
      </c>
      <c r="N205" s="5"/>
      <c r="O205" s="78"/>
    </row>
    <row r="206" spans="1:15" ht="9.75">
      <c r="A206" s="68"/>
      <c r="B206" s="33" t="s">
        <v>222</v>
      </c>
      <c r="C206" s="29"/>
      <c r="D206" s="6">
        <f>SUM(D204)</f>
        <v>0</v>
      </c>
      <c r="E206" s="6">
        <f>SUM(E204)</f>
        <v>0</v>
      </c>
      <c r="F206" s="6">
        <f>SUM(F204)</f>
        <v>0</v>
      </c>
      <c r="G206" s="6">
        <f>SUM(G204)</f>
        <v>0</v>
      </c>
      <c r="H206" s="6">
        <f>SUM(D206:G206)</f>
        <v>0</v>
      </c>
      <c r="I206" s="6">
        <f>SUM(I204:I205)</f>
        <v>19583</v>
      </c>
      <c r="J206" s="6">
        <f>SUM(J204:J205)</f>
        <v>0</v>
      </c>
      <c r="K206" s="6">
        <f>SUM(K204:K205)</f>
        <v>0</v>
      </c>
      <c r="L206" s="6">
        <f>SUM(L204:L205)</f>
        <v>0</v>
      </c>
      <c r="M206" s="6">
        <f t="shared" si="22"/>
        <v>19583</v>
      </c>
      <c r="N206" s="28"/>
      <c r="O206" s="78"/>
    </row>
    <row r="207" spans="1:15" ht="39">
      <c r="A207" s="68"/>
      <c r="B207" s="22" t="s">
        <v>223</v>
      </c>
      <c r="C207" s="18" t="s">
        <v>216</v>
      </c>
      <c r="D207" s="4"/>
      <c r="E207" s="4"/>
      <c r="F207" s="4"/>
      <c r="G207" s="4"/>
      <c r="H207" s="7">
        <f>SUM(D207:G207)</f>
        <v>0</v>
      </c>
      <c r="I207" s="7">
        <v>1225</v>
      </c>
      <c r="J207" s="7"/>
      <c r="K207" s="7"/>
      <c r="L207" s="7"/>
      <c r="M207" s="7">
        <f t="shared" si="22"/>
        <v>1225</v>
      </c>
      <c r="N207" s="5"/>
      <c r="O207" s="78"/>
    </row>
    <row r="208" spans="1:15" ht="9.75">
      <c r="A208" s="68"/>
      <c r="B208" s="33" t="s">
        <v>223</v>
      </c>
      <c r="C208" s="29"/>
      <c r="D208" s="6">
        <f>SUM(D207)</f>
        <v>0</v>
      </c>
      <c r="E208" s="6">
        <f>SUM(E207)</f>
        <v>0</v>
      </c>
      <c r="F208" s="6">
        <f>SUM(F207)</f>
        <v>0</v>
      </c>
      <c r="G208" s="6">
        <f>SUM(G207)</f>
        <v>0</v>
      </c>
      <c r="H208" s="6">
        <f>SUM(D208:G208)</f>
        <v>0</v>
      </c>
      <c r="I208" s="6">
        <f>SUM(I207:I207)</f>
        <v>1225</v>
      </c>
      <c r="J208" s="6">
        <f>SUM(J207:J207)</f>
        <v>0</v>
      </c>
      <c r="K208" s="6">
        <f>SUM(K207:K207)</f>
        <v>0</v>
      </c>
      <c r="L208" s="6">
        <f>SUM(L207:L207)</f>
        <v>0</v>
      </c>
      <c r="M208" s="6">
        <f t="shared" si="22"/>
        <v>1225</v>
      </c>
      <c r="N208" s="28"/>
      <c r="O208" s="78"/>
    </row>
    <row r="209" spans="1:15" ht="11.25">
      <c r="A209" s="56" t="s">
        <v>46</v>
      </c>
      <c r="B209" s="35"/>
      <c r="C209" s="24"/>
      <c r="D209" s="25">
        <f aca="true" t="shared" si="25" ref="D209:M209">SUM(D208,D206,D203,D201,D198,D196)</f>
        <v>230000</v>
      </c>
      <c r="E209" s="25">
        <f t="shared" si="25"/>
        <v>0</v>
      </c>
      <c r="F209" s="25">
        <f t="shared" si="25"/>
        <v>0</v>
      </c>
      <c r="G209" s="25">
        <f t="shared" si="25"/>
        <v>1576000</v>
      </c>
      <c r="H209" s="25">
        <f t="shared" si="25"/>
        <v>1806000</v>
      </c>
      <c r="I209" s="25">
        <f t="shared" si="25"/>
        <v>227779</v>
      </c>
      <c r="J209" s="25">
        <f t="shared" si="25"/>
        <v>0</v>
      </c>
      <c r="K209" s="25">
        <f t="shared" si="25"/>
        <v>0</v>
      </c>
      <c r="L209" s="25">
        <f t="shared" si="25"/>
        <v>527010</v>
      </c>
      <c r="M209" s="25">
        <f t="shared" si="25"/>
        <v>754789</v>
      </c>
      <c r="N209" s="30">
        <f t="shared" si="15"/>
        <v>0.4179341085271318</v>
      </c>
      <c r="O209" s="78"/>
    </row>
    <row r="210" spans="1:15" s="10" customFormat="1" ht="49.5" customHeight="1">
      <c r="A210" s="114" t="s">
        <v>106</v>
      </c>
      <c r="B210" s="120" t="s">
        <v>107</v>
      </c>
      <c r="C210" s="18" t="s">
        <v>104</v>
      </c>
      <c r="D210" s="47"/>
      <c r="E210" s="47"/>
      <c r="F210" s="47"/>
      <c r="G210" s="47"/>
      <c r="H210" s="7"/>
      <c r="I210" s="47"/>
      <c r="J210" s="7">
        <v>1051</v>
      </c>
      <c r="K210" s="47"/>
      <c r="L210" s="47"/>
      <c r="M210" s="7">
        <f t="shared" si="22"/>
        <v>1051</v>
      </c>
      <c r="N210" s="5"/>
      <c r="O210" s="80"/>
    </row>
    <row r="211" spans="1:15" s="10" customFormat="1" ht="11.25">
      <c r="A211" s="115"/>
      <c r="B211" s="121"/>
      <c r="C211" s="18" t="s">
        <v>193</v>
      </c>
      <c r="D211" s="47"/>
      <c r="E211" s="47"/>
      <c r="F211" s="47"/>
      <c r="G211" s="47"/>
      <c r="H211" s="7"/>
      <c r="I211" s="47"/>
      <c r="J211" s="7">
        <v>302</v>
      </c>
      <c r="K211" s="47"/>
      <c r="L211" s="47"/>
      <c r="M211" s="7">
        <f t="shared" si="22"/>
        <v>302</v>
      </c>
      <c r="N211" s="5"/>
      <c r="O211" s="80"/>
    </row>
    <row r="212" spans="1:15" s="10" customFormat="1" ht="11.25">
      <c r="A212" s="115"/>
      <c r="B212" s="49"/>
      <c r="C212" s="18" t="s">
        <v>72</v>
      </c>
      <c r="D212" s="47"/>
      <c r="E212" s="47"/>
      <c r="F212" s="47"/>
      <c r="G212" s="47"/>
      <c r="H212" s="7"/>
      <c r="I212" s="47"/>
      <c r="J212" s="7">
        <v>764</v>
      </c>
      <c r="K212" s="47"/>
      <c r="L212" s="47"/>
      <c r="M212" s="7">
        <f t="shared" si="22"/>
        <v>764</v>
      </c>
      <c r="N212" s="5"/>
      <c r="O212" s="80"/>
    </row>
    <row r="213" spans="1:15" ht="32.25" customHeight="1">
      <c r="A213" s="115"/>
      <c r="B213" s="51"/>
      <c r="C213" s="18" t="s">
        <v>83</v>
      </c>
      <c r="D213" s="4"/>
      <c r="E213" s="4">
        <v>100000</v>
      </c>
      <c r="F213" s="4"/>
      <c r="G213" s="4"/>
      <c r="H213" s="7">
        <f>SUM(D213:G213)</f>
        <v>100000</v>
      </c>
      <c r="I213" s="7"/>
      <c r="J213" s="7">
        <v>0</v>
      </c>
      <c r="K213" s="7"/>
      <c r="L213" s="7"/>
      <c r="M213" s="7">
        <f t="shared" si="22"/>
        <v>0</v>
      </c>
      <c r="N213" s="5">
        <f t="shared" si="15"/>
        <v>0</v>
      </c>
      <c r="O213" s="78"/>
    </row>
    <row r="214" spans="1:15" ht="9.75">
      <c r="A214" s="55"/>
      <c r="B214" s="33" t="s">
        <v>165</v>
      </c>
      <c r="C214" s="29"/>
      <c r="D214" s="6">
        <f>SUM(D213)</f>
        <v>0</v>
      </c>
      <c r="E214" s="6">
        <f>SUM(E213)</f>
        <v>100000</v>
      </c>
      <c r="F214" s="6">
        <f>SUM(F213)</f>
        <v>0</v>
      </c>
      <c r="G214" s="6">
        <f>SUM(G213)</f>
        <v>0</v>
      </c>
      <c r="H214" s="6">
        <f>SUM(D214:G214)</f>
        <v>100000</v>
      </c>
      <c r="I214" s="6">
        <f>SUM(I210:I213)</f>
        <v>0</v>
      </c>
      <c r="J214" s="6">
        <f>SUM(J210:J213)</f>
        <v>2117</v>
      </c>
      <c r="K214" s="6">
        <f>SUM(K210:K213)</f>
        <v>0</v>
      </c>
      <c r="L214" s="6">
        <f>SUM(L210:L213)</f>
        <v>0</v>
      </c>
      <c r="M214" s="6">
        <f t="shared" si="22"/>
        <v>2117</v>
      </c>
      <c r="N214" s="28">
        <f t="shared" si="15"/>
        <v>0.02117</v>
      </c>
      <c r="O214" s="78"/>
    </row>
    <row r="215" spans="1:15" s="10" customFormat="1" ht="9.75">
      <c r="A215" s="69"/>
      <c r="B215" s="120" t="s">
        <v>108</v>
      </c>
      <c r="C215" s="50" t="s">
        <v>71</v>
      </c>
      <c r="D215" s="13"/>
      <c r="E215" s="13"/>
      <c r="F215" s="13"/>
      <c r="G215" s="13"/>
      <c r="H215" s="7"/>
      <c r="I215" s="7">
        <v>338</v>
      </c>
      <c r="J215" s="13"/>
      <c r="K215" s="13"/>
      <c r="L215" s="13"/>
      <c r="M215" s="7">
        <f aca="true" t="shared" si="26" ref="M215:M232">SUM(I215:L215)</f>
        <v>338</v>
      </c>
      <c r="N215" s="5"/>
      <c r="O215" s="80"/>
    </row>
    <row r="216" spans="1:15" ht="9.75">
      <c r="A216" s="68"/>
      <c r="B216" s="121"/>
      <c r="C216" s="17" t="s">
        <v>76</v>
      </c>
      <c r="D216" s="4"/>
      <c r="E216" s="4">
        <v>420000</v>
      </c>
      <c r="F216" s="4"/>
      <c r="G216" s="4"/>
      <c r="H216" s="7">
        <f>SUM(D216:G216)</f>
        <v>420000</v>
      </c>
      <c r="I216" s="7"/>
      <c r="J216" s="7">
        <v>95130</v>
      </c>
      <c r="K216" s="7"/>
      <c r="L216" s="7"/>
      <c r="M216" s="7">
        <f t="shared" si="26"/>
        <v>95130</v>
      </c>
      <c r="N216" s="5">
        <f t="shared" si="15"/>
        <v>0.2265</v>
      </c>
      <c r="O216" s="78"/>
    </row>
    <row r="217" spans="1:15" ht="9.75">
      <c r="A217" s="68"/>
      <c r="B217" s="121"/>
      <c r="C217" s="18" t="s">
        <v>72</v>
      </c>
      <c r="D217" s="4"/>
      <c r="E217" s="4"/>
      <c r="F217" s="4"/>
      <c r="G217" s="4"/>
      <c r="H217" s="7"/>
      <c r="I217" s="7"/>
      <c r="J217" s="7">
        <v>331</v>
      </c>
      <c r="K217" s="7"/>
      <c r="L217" s="7"/>
      <c r="M217" s="7">
        <f t="shared" si="26"/>
        <v>331</v>
      </c>
      <c r="N217" s="5"/>
      <c r="O217" s="78"/>
    </row>
    <row r="218" spans="1:15" ht="9.75">
      <c r="A218" s="68"/>
      <c r="B218" s="121"/>
      <c r="C218" s="18" t="s">
        <v>74</v>
      </c>
      <c r="D218" s="4"/>
      <c r="E218" s="4"/>
      <c r="F218" s="4"/>
      <c r="G218" s="4"/>
      <c r="H218" s="7"/>
      <c r="I218" s="7"/>
      <c r="J218" s="7">
        <v>523</v>
      </c>
      <c r="K218" s="7"/>
      <c r="L218" s="7"/>
      <c r="M218" s="7">
        <f t="shared" si="26"/>
        <v>523</v>
      </c>
      <c r="N218" s="5"/>
      <c r="O218" s="78"/>
    </row>
    <row r="219" spans="1:15" ht="29.25">
      <c r="A219" s="68"/>
      <c r="B219" s="122"/>
      <c r="C219" s="22" t="s">
        <v>73</v>
      </c>
      <c r="D219" s="4"/>
      <c r="E219" s="4">
        <v>1397760</v>
      </c>
      <c r="F219" s="4"/>
      <c r="G219" s="4"/>
      <c r="H219" s="7">
        <f aca="true" t="shared" si="27" ref="H219:H224">SUM(D219:G219)</f>
        <v>1397760</v>
      </c>
      <c r="I219" s="7"/>
      <c r="J219" s="7">
        <v>424300</v>
      </c>
      <c r="K219" s="7"/>
      <c r="L219" s="7"/>
      <c r="M219" s="7">
        <f t="shared" si="26"/>
        <v>424300</v>
      </c>
      <c r="N219" s="5">
        <f t="shared" si="15"/>
        <v>0.30355711996337</v>
      </c>
      <c r="O219" s="78"/>
    </row>
    <row r="220" spans="1:15" ht="9.75">
      <c r="A220" s="68"/>
      <c r="B220" s="33" t="s">
        <v>166</v>
      </c>
      <c r="C220" s="29"/>
      <c r="D220" s="6">
        <f>SUM(D216:D219)</f>
        <v>0</v>
      </c>
      <c r="E220" s="6">
        <f>SUM(E216:E219)</f>
        <v>1817760</v>
      </c>
      <c r="F220" s="6">
        <f>SUM(F216:F219)</f>
        <v>0</v>
      </c>
      <c r="G220" s="6">
        <f>SUM(G216:G219)</f>
        <v>0</v>
      </c>
      <c r="H220" s="6">
        <f t="shared" si="27"/>
        <v>1817760</v>
      </c>
      <c r="I220" s="6">
        <f>SUM(I215:I219)</f>
        <v>338</v>
      </c>
      <c r="J220" s="6">
        <f>SUM(J215:J219)</f>
        <v>520284</v>
      </c>
      <c r="K220" s="6">
        <f>SUM(K215:K219)</f>
        <v>0</v>
      </c>
      <c r="L220" s="6">
        <f>SUM(L215:L219)</f>
        <v>0</v>
      </c>
      <c r="M220" s="6">
        <f t="shared" si="26"/>
        <v>520622</v>
      </c>
      <c r="N220" s="28">
        <f t="shared" si="15"/>
        <v>0.2864085467828536</v>
      </c>
      <c r="O220" s="78"/>
    </row>
    <row r="221" spans="1:15" ht="9.75">
      <c r="A221" s="68"/>
      <c r="B221" s="124" t="s">
        <v>109</v>
      </c>
      <c r="C221" s="17" t="s">
        <v>76</v>
      </c>
      <c r="D221" s="4">
        <v>355000</v>
      </c>
      <c r="E221" s="4"/>
      <c r="F221" s="4"/>
      <c r="G221" s="4"/>
      <c r="H221" s="7">
        <f t="shared" si="27"/>
        <v>355000</v>
      </c>
      <c r="I221" s="7">
        <v>78585</v>
      </c>
      <c r="J221" s="7"/>
      <c r="K221" s="7"/>
      <c r="L221" s="7"/>
      <c r="M221" s="7">
        <f t="shared" si="26"/>
        <v>78585</v>
      </c>
      <c r="N221" s="5">
        <f t="shared" si="15"/>
        <v>0.22136619718309858</v>
      </c>
      <c r="O221" s="78"/>
    </row>
    <row r="222" spans="1:15" ht="48.75">
      <c r="A222" s="68"/>
      <c r="B222" s="124"/>
      <c r="C222" s="18" t="s">
        <v>129</v>
      </c>
      <c r="D222" s="4"/>
      <c r="E222" s="4"/>
      <c r="F222" s="4">
        <f>556360-89080</f>
        <v>467280</v>
      </c>
      <c r="G222" s="4"/>
      <c r="H222" s="7">
        <f t="shared" si="27"/>
        <v>467280</v>
      </c>
      <c r="I222" s="7"/>
      <c r="J222" s="7"/>
      <c r="K222" s="7">
        <v>134030</v>
      </c>
      <c r="L222" s="7"/>
      <c r="M222" s="7">
        <f t="shared" si="26"/>
        <v>134030</v>
      </c>
      <c r="N222" s="5">
        <f t="shared" si="15"/>
        <v>0.2868301660674542</v>
      </c>
      <c r="O222" s="78"/>
    </row>
    <row r="223" spans="1:15" ht="29.25">
      <c r="A223" s="68"/>
      <c r="B223" s="124"/>
      <c r="C223" s="22" t="s">
        <v>77</v>
      </c>
      <c r="D223" s="4">
        <v>350</v>
      </c>
      <c r="E223" s="4"/>
      <c r="F223" s="4"/>
      <c r="G223" s="4"/>
      <c r="H223" s="7">
        <f t="shared" si="27"/>
        <v>350</v>
      </c>
      <c r="I223" s="7">
        <v>21</v>
      </c>
      <c r="J223" s="7"/>
      <c r="K223" s="7"/>
      <c r="L223" s="7"/>
      <c r="M223" s="7">
        <f t="shared" si="26"/>
        <v>21</v>
      </c>
      <c r="N223" s="5">
        <f>M223/H223</f>
        <v>0.06</v>
      </c>
      <c r="O223" s="78"/>
    </row>
    <row r="224" spans="1:15" ht="9.75">
      <c r="A224" s="68"/>
      <c r="B224" s="33" t="s">
        <v>167</v>
      </c>
      <c r="C224" s="29"/>
      <c r="D224" s="6">
        <f>SUM(D221:D223)</f>
        <v>355350</v>
      </c>
      <c r="E224" s="6">
        <f>SUM(E221:E223)</f>
        <v>0</v>
      </c>
      <c r="F224" s="6">
        <f>SUM(F221:F223)</f>
        <v>467280</v>
      </c>
      <c r="G224" s="6">
        <f>SUM(G221:G223)</f>
        <v>0</v>
      </c>
      <c r="H224" s="6">
        <f t="shared" si="27"/>
        <v>822630</v>
      </c>
      <c r="I224" s="6">
        <f>SUM(I221:I223)</f>
        <v>78606</v>
      </c>
      <c r="J224" s="6">
        <f>SUM(J221:J223)</f>
        <v>0</v>
      </c>
      <c r="K224" s="6">
        <f>SUM(K221:K223)</f>
        <v>134030</v>
      </c>
      <c r="L224" s="6">
        <f>SUM(L221:L223)</f>
        <v>0</v>
      </c>
      <c r="M224" s="6">
        <f t="shared" si="26"/>
        <v>212636</v>
      </c>
      <c r="N224" s="28">
        <f>M224/H224</f>
        <v>0.25848315767720603</v>
      </c>
      <c r="O224" s="78"/>
    </row>
    <row r="225" spans="1:15" s="10" customFormat="1" ht="9.75">
      <c r="A225" s="69"/>
      <c r="B225" s="119" t="s">
        <v>196</v>
      </c>
      <c r="C225" s="18" t="s">
        <v>74</v>
      </c>
      <c r="D225" s="13"/>
      <c r="E225" s="13"/>
      <c r="F225" s="13"/>
      <c r="G225" s="13"/>
      <c r="H225" s="7"/>
      <c r="I225" s="13"/>
      <c r="J225" s="7">
        <v>274</v>
      </c>
      <c r="K225" s="13"/>
      <c r="L225" s="13"/>
      <c r="M225" s="7">
        <f t="shared" si="26"/>
        <v>274</v>
      </c>
      <c r="N225" s="5"/>
      <c r="O225" s="80"/>
    </row>
    <row r="226" spans="1:15" ht="39">
      <c r="A226" s="68"/>
      <c r="B226" s="119"/>
      <c r="C226" s="18" t="s">
        <v>83</v>
      </c>
      <c r="D226" s="4"/>
      <c r="E226" s="4">
        <v>46700</v>
      </c>
      <c r="F226" s="4"/>
      <c r="G226" s="4"/>
      <c r="H226" s="7">
        <f>SUM(D226:G226)</f>
        <v>46700</v>
      </c>
      <c r="I226" s="7"/>
      <c r="J226" s="7">
        <v>14121</v>
      </c>
      <c r="K226" s="7"/>
      <c r="L226" s="7"/>
      <c r="M226" s="7">
        <f t="shared" si="26"/>
        <v>14121</v>
      </c>
      <c r="N226" s="5">
        <f>M226/H226</f>
        <v>0.3023768736616702</v>
      </c>
      <c r="O226" s="78"/>
    </row>
    <row r="227" spans="1:15" ht="9.75">
      <c r="A227" s="68"/>
      <c r="B227" s="33" t="s">
        <v>197</v>
      </c>
      <c r="C227" s="29"/>
      <c r="D227" s="6">
        <f>SUM(D226)</f>
        <v>0</v>
      </c>
      <c r="E227" s="6">
        <f>SUM(E226)</f>
        <v>46700</v>
      </c>
      <c r="F227" s="6">
        <f>SUM(F226)</f>
        <v>0</v>
      </c>
      <c r="G227" s="6">
        <f>SUM(G226)</f>
        <v>0</v>
      </c>
      <c r="H227" s="6">
        <f>SUM(D227:G227)</f>
        <v>46700</v>
      </c>
      <c r="I227" s="6">
        <f>SUM(I225:I226)</f>
        <v>0</v>
      </c>
      <c r="J227" s="6">
        <f>SUM(J225:J226)</f>
        <v>14395</v>
      </c>
      <c r="K227" s="6">
        <f>SUM(K225:K226)</f>
        <v>0</v>
      </c>
      <c r="L227" s="6">
        <f>SUM(L225:L226)</f>
        <v>0</v>
      </c>
      <c r="M227" s="6">
        <f t="shared" si="26"/>
        <v>14395</v>
      </c>
      <c r="N227" s="28">
        <f>M227/H227</f>
        <v>0.3082441113490364</v>
      </c>
      <c r="O227" s="78"/>
    </row>
    <row r="228" spans="1:15" s="10" customFormat="1" ht="9.75">
      <c r="A228" s="69"/>
      <c r="B228" s="120" t="s">
        <v>168</v>
      </c>
      <c r="C228" s="18" t="s">
        <v>72</v>
      </c>
      <c r="D228" s="13"/>
      <c r="E228" s="13"/>
      <c r="F228" s="13"/>
      <c r="G228" s="13"/>
      <c r="H228" s="7"/>
      <c r="I228" s="7">
        <v>10616</v>
      </c>
      <c r="J228" s="13"/>
      <c r="K228" s="13"/>
      <c r="L228" s="13"/>
      <c r="M228" s="7">
        <f t="shared" si="26"/>
        <v>10616</v>
      </c>
      <c r="N228" s="5"/>
      <c r="O228" s="80"/>
    </row>
    <row r="229" spans="1:15" ht="48.75">
      <c r="A229" s="68"/>
      <c r="B229" s="121"/>
      <c r="C229" s="17" t="s">
        <v>129</v>
      </c>
      <c r="D229" s="4"/>
      <c r="E229" s="4"/>
      <c r="F229" s="4">
        <v>32400310</v>
      </c>
      <c r="G229" s="4"/>
      <c r="H229" s="7">
        <f>SUM(D229:G229)</f>
        <v>32400310</v>
      </c>
      <c r="I229" s="7"/>
      <c r="J229" s="7"/>
      <c r="K229" s="7">
        <v>7800000</v>
      </c>
      <c r="L229" s="7"/>
      <c r="M229" s="7">
        <f t="shared" si="26"/>
        <v>7800000</v>
      </c>
      <c r="N229" s="5">
        <f>M229/H229</f>
        <v>0.24073843737914855</v>
      </c>
      <c r="O229" s="78"/>
    </row>
    <row r="230" spans="1:15" ht="39">
      <c r="A230" s="68"/>
      <c r="B230" s="122"/>
      <c r="C230" s="22" t="s">
        <v>69</v>
      </c>
      <c r="D230" s="4"/>
      <c r="E230" s="4"/>
      <c r="F230" s="4"/>
      <c r="G230" s="4">
        <v>41800</v>
      </c>
      <c r="H230" s="7">
        <f>SUM(D230:G230)</f>
        <v>41800</v>
      </c>
      <c r="I230" s="7"/>
      <c r="J230" s="7"/>
      <c r="K230" s="7"/>
      <c r="L230" s="7">
        <v>15600</v>
      </c>
      <c r="M230" s="7">
        <f t="shared" si="26"/>
        <v>15600</v>
      </c>
      <c r="N230" s="5">
        <f>M230/H230</f>
        <v>0.37320574162679426</v>
      </c>
      <c r="O230" s="78"/>
    </row>
    <row r="231" spans="1:15" ht="9.75">
      <c r="A231" s="68"/>
      <c r="B231" s="33" t="s">
        <v>169</v>
      </c>
      <c r="C231" s="29"/>
      <c r="D231" s="6">
        <f>SUM(D229:D230)</f>
        <v>0</v>
      </c>
      <c r="E231" s="6">
        <f>SUM(E229:E230)</f>
        <v>0</v>
      </c>
      <c r="F231" s="6">
        <f>SUM(F229:F230)</f>
        <v>32400310</v>
      </c>
      <c r="G231" s="6">
        <f>SUM(G229:G230)</f>
        <v>41800</v>
      </c>
      <c r="H231" s="6">
        <f>SUM(D231:G231)</f>
        <v>32442110</v>
      </c>
      <c r="I231" s="6">
        <f>SUM(I228:I230)</f>
        <v>10616</v>
      </c>
      <c r="J231" s="6">
        <f>SUM(J228:J230)</f>
        <v>0</v>
      </c>
      <c r="K231" s="6">
        <f>SUM(K228:K230)</f>
        <v>7800000</v>
      </c>
      <c r="L231" s="6">
        <f>SUM(L228:L230)</f>
        <v>15600</v>
      </c>
      <c r="M231" s="6">
        <f t="shared" si="26"/>
        <v>7826216</v>
      </c>
      <c r="N231" s="28">
        <f>M231/H231</f>
        <v>0.24123634375199393</v>
      </c>
      <c r="O231" s="78"/>
    </row>
    <row r="232" spans="1:15" ht="68.25">
      <c r="A232" s="68"/>
      <c r="B232" s="23" t="s">
        <v>170</v>
      </c>
      <c r="C232" s="27" t="s">
        <v>129</v>
      </c>
      <c r="D232" s="4"/>
      <c r="E232" s="4"/>
      <c r="F232" s="4">
        <v>428490</v>
      </c>
      <c r="G232" s="4"/>
      <c r="H232" s="7">
        <f>SUM(D232:G232)</f>
        <v>428490</v>
      </c>
      <c r="I232" s="7"/>
      <c r="J232" s="7"/>
      <c r="K232" s="7">
        <v>111250</v>
      </c>
      <c r="L232" s="7"/>
      <c r="M232" s="7">
        <f t="shared" si="26"/>
        <v>111250</v>
      </c>
      <c r="N232" s="5">
        <f>M232/H232</f>
        <v>0.25963266353940584</v>
      </c>
      <c r="O232" s="78"/>
    </row>
    <row r="233" spans="1:15" ht="9.75">
      <c r="A233" s="68"/>
      <c r="B233" s="33" t="s">
        <v>171</v>
      </c>
      <c r="C233" s="29"/>
      <c r="D233" s="6">
        <f>SUM(D232)</f>
        <v>0</v>
      </c>
      <c r="E233" s="6">
        <f>SUM(E232)</f>
        <v>0</v>
      </c>
      <c r="F233" s="6">
        <f>SUM(F232)</f>
        <v>428490</v>
      </c>
      <c r="G233" s="6">
        <f>SUM(G232)</f>
        <v>0</v>
      </c>
      <c r="H233" s="6">
        <f>SUM(D233:G233)</f>
        <v>428490</v>
      </c>
      <c r="I233" s="6">
        <f>SUM(I232)</f>
        <v>0</v>
      </c>
      <c r="J233" s="6">
        <f>SUM(J232)</f>
        <v>0</v>
      </c>
      <c r="K233" s="6">
        <f>SUM(K232)</f>
        <v>111250</v>
      </c>
      <c r="L233" s="6">
        <f>SUM(L232)</f>
        <v>0</v>
      </c>
      <c r="M233" s="6">
        <f>SUM(M232)</f>
        <v>111250</v>
      </c>
      <c r="N233" s="28">
        <f>M233/H233</f>
        <v>0.25963266353940584</v>
      </c>
      <c r="O233" s="78"/>
    </row>
    <row r="234" spans="1:15" s="10" customFormat="1" ht="9.75">
      <c r="A234" s="69"/>
      <c r="B234" s="120" t="s">
        <v>172</v>
      </c>
      <c r="C234" s="18" t="s">
        <v>74</v>
      </c>
      <c r="D234" s="13"/>
      <c r="E234" s="13"/>
      <c r="F234" s="13"/>
      <c r="G234" s="13"/>
      <c r="H234" s="7"/>
      <c r="I234" s="7">
        <v>3927</v>
      </c>
      <c r="J234" s="13"/>
      <c r="K234" s="13"/>
      <c r="L234" s="13"/>
      <c r="M234" s="7">
        <f aca="true" t="shared" si="28" ref="M234:M256">SUM(I234:L234)</f>
        <v>3927</v>
      </c>
      <c r="N234" s="5"/>
      <c r="O234" s="80"/>
    </row>
    <row r="235" spans="1:15" ht="48.75">
      <c r="A235" s="68"/>
      <c r="B235" s="121"/>
      <c r="C235" s="17" t="s">
        <v>129</v>
      </c>
      <c r="D235" s="4"/>
      <c r="E235" s="4"/>
      <c r="F235" s="4">
        <v>5053200</v>
      </c>
      <c r="G235" s="4"/>
      <c r="H235" s="7">
        <f>SUM(D235:G235)</f>
        <v>5053200</v>
      </c>
      <c r="I235" s="7"/>
      <c r="J235" s="7"/>
      <c r="K235" s="7">
        <v>1275750</v>
      </c>
      <c r="L235" s="7"/>
      <c r="M235" s="7">
        <f t="shared" si="28"/>
        <v>1275750</v>
      </c>
      <c r="N235" s="5">
        <f>M235/H235</f>
        <v>0.25246378532415104</v>
      </c>
      <c r="O235" s="78"/>
    </row>
    <row r="236" spans="1:15" ht="29.25">
      <c r="A236" s="68"/>
      <c r="B236" s="122"/>
      <c r="C236" s="22" t="s">
        <v>101</v>
      </c>
      <c r="D236" s="4">
        <v>283500</v>
      </c>
      <c r="E236" s="4"/>
      <c r="F236" s="4"/>
      <c r="G236" s="4"/>
      <c r="H236" s="7">
        <f>SUM(D236:G236)</f>
        <v>283500</v>
      </c>
      <c r="I236" s="7">
        <v>70875</v>
      </c>
      <c r="J236" s="7"/>
      <c r="K236" s="7"/>
      <c r="L236" s="7"/>
      <c r="M236" s="7">
        <f t="shared" si="28"/>
        <v>70875</v>
      </c>
      <c r="N236" s="5">
        <f>M236/H236</f>
        <v>0.25</v>
      </c>
      <c r="O236" s="78"/>
    </row>
    <row r="237" spans="1:15" ht="9.75">
      <c r="A237" s="68"/>
      <c r="B237" s="33" t="s">
        <v>173</v>
      </c>
      <c r="C237" s="29"/>
      <c r="D237" s="6">
        <f>SUM(D235:D236)</f>
        <v>283500</v>
      </c>
      <c r="E237" s="6">
        <f>SUM(E235:E236)</f>
        <v>0</v>
      </c>
      <c r="F237" s="6">
        <f>SUM(F235:F236)</f>
        <v>5053200</v>
      </c>
      <c r="G237" s="6">
        <f>SUM(G235:G236)</f>
        <v>0</v>
      </c>
      <c r="H237" s="6">
        <f>SUM(D237:G237)</f>
        <v>5336700</v>
      </c>
      <c r="I237" s="6">
        <f>SUM(I234:I236)</f>
        <v>74802</v>
      </c>
      <c r="J237" s="6">
        <f>SUM(J235:J236)</f>
        <v>0</v>
      </c>
      <c r="K237" s="6">
        <f>SUM(K235:K236)</f>
        <v>1275750</v>
      </c>
      <c r="L237" s="6">
        <f>SUM(L235:L236)</f>
        <v>0</v>
      </c>
      <c r="M237" s="6">
        <f t="shared" si="28"/>
        <v>1350552</v>
      </c>
      <c r="N237" s="28">
        <f>M237/H237</f>
        <v>0.25306875035134074</v>
      </c>
      <c r="O237" s="78"/>
    </row>
    <row r="238" spans="1:15" s="10" customFormat="1" ht="9.75">
      <c r="A238" s="69"/>
      <c r="B238" s="120" t="s">
        <v>224</v>
      </c>
      <c r="C238" s="18" t="s">
        <v>72</v>
      </c>
      <c r="D238" s="13"/>
      <c r="E238" s="13"/>
      <c r="F238" s="13"/>
      <c r="G238" s="13"/>
      <c r="H238" s="7"/>
      <c r="I238" s="7">
        <v>73</v>
      </c>
      <c r="J238" s="13"/>
      <c r="K238" s="13"/>
      <c r="L238" s="13"/>
      <c r="M238" s="7">
        <f t="shared" si="28"/>
        <v>73</v>
      </c>
      <c r="N238" s="5"/>
      <c r="O238" s="80"/>
    </row>
    <row r="239" spans="1:15" ht="9.75">
      <c r="A239" s="68"/>
      <c r="B239" s="121"/>
      <c r="C239" s="18" t="s">
        <v>74</v>
      </c>
      <c r="D239" s="4"/>
      <c r="E239" s="4"/>
      <c r="F239" s="4">
        <v>5053200</v>
      </c>
      <c r="G239" s="4"/>
      <c r="H239" s="7">
        <f>SUM(D239:G239)</f>
        <v>5053200</v>
      </c>
      <c r="I239" s="7">
        <v>3030</v>
      </c>
      <c r="J239" s="7"/>
      <c r="K239" s="7"/>
      <c r="L239" s="7"/>
      <c r="M239" s="7">
        <f t="shared" si="28"/>
        <v>3030</v>
      </c>
      <c r="N239" s="5">
        <f>M239/H239</f>
        <v>0.0005996200427451912</v>
      </c>
      <c r="O239" s="78"/>
    </row>
    <row r="240" spans="1:15" ht="9.75">
      <c r="A240" s="68"/>
      <c r="B240" s="33" t="s">
        <v>225</v>
      </c>
      <c r="C240" s="29"/>
      <c r="D240" s="6">
        <f>SUM(D239:D239)</f>
        <v>0</v>
      </c>
      <c r="E240" s="6">
        <f>SUM(E239:E239)</f>
        <v>0</v>
      </c>
      <c r="F240" s="6">
        <f>SUM(F239:F239)</f>
        <v>5053200</v>
      </c>
      <c r="G240" s="6">
        <f>SUM(G239:G239)</f>
        <v>0</v>
      </c>
      <c r="H240" s="6">
        <f>SUM(D240:G240)</f>
        <v>5053200</v>
      </c>
      <c r="I240" s="6">
        <f>SUM(I238:I239)</f>
        <v>3103</v>
      </c>
      <c r="J240" s="6">
        <f>SUM(J238:J239)</f>
        <v>0</v>
      </c>
      <c r="K240" s="6">
        <f>SUM(K238:K239)</f>
        <v>0</v>
      </c>
      <c r="L240" s="6">
        <f>SUM(L238:L239)</f>
        <v>0</v>
      </c>
      <c r="M240" s="6">
        <f t="shared" si="28"/>
        <v>3103</v>
      </c>
      <c r="N240" s="28">
        <f>M240/H240</f>
        <v>0.0006140663342040687</v>
      </c>
      <c r="O240" s="78"/>
    </row>
    <row r="241" spans="1:15" s="10" customFormat="1" ht="9.75">
      <c r="A241" s="69"/>
      <c r="B241" s="119" t="s">
        <v>110</v>
      </c>
      <c r="C241" s="18" t="s">
        <v>74</v>
      </c>
      <c r="D241" s="13"/>
      <c r="E241" s="13"/>
      <c r="F241" s="13"/>
      <c r="G241" s="13"/>
      <c r="H241" s="7"/>
      <c r="I241" s="7">
        <v>503</v>
      </c>
      <c r="J241" s="13"/>
      <c r="K241" s="13"/>
      <c r="L241" s="13"/>
      <c r="M241" s="7">
        <f t="shared" si="28"/>
        <v>503</v>
      </c>
      <c r="N241" s="5"/>
      <c r="O241" s="80"/>
    </row>
    <row r="242" spans="1:15" ht="29.25">
      <c r="A242" s="68"/>
      <c r="B242" s="119"/>
      <c r="C242" s="18" t="s">
        <v>101</v>
      </c>
      <c r="D242" s="4">
        <v>1104210</v>
      </c>
      <c r="E242" s="4"/>
      <c r="F242" s="4"/>
      <c r="G242" s="4"/>
      <c r="H242" s="7">
        <f>SUM(D242:G242)</f>
        <v>1104210</v>
      </c>
      <c r="I242" s="7">
        <v>339760</v>
      </c>
      <c r="J242" s="7"/>
      <c r="K242" s="7"/>
      <c r="L242" s="7"/>
      <c r="M242" s="7">
        <f t="shared" si="28"/>
        <v>339760</v>
      </c>
      <c r="N242" s="5">
        <f>M242/H242</f>
        <v>0.30769509423026414</v>
      </c>
      <c r="O242" s="78"/>
    </row>
    <row r="243" spans="1:15" ht="9.75">
      <c r="A243" s="68"/>
      <c r="B243" s="33" t="s">
        <v>174</v>
      </c>
      <c r="C243" s="29"/>
      <c r="D243" s="6">
        <f>SUM(D242)</f>
        <v>1104210</v>
      </c>
      <c r="E243" s="6">
        <f>SUM(E242)</f>
        <v>0</v>
      </c>
      <c r="F243" s="6">
        <f>SUM(F242)</f>
        <v>0</v>
      </c>
      <c r="G243" s="6">
        <f>SUM(G242)</f>
        <v>0</v>
      </c>
      <c r="H243" s="6">
        <f>SUM(D243:G243)</f>
        <v>1104210</v>
      </c>
      <c r="I243" s="6">
        <f>SUM(I241:I242)</f>
        <v>340263</v>
      </c>
      <c r="J243" s="6">
        <f>SUM(J241:J242)</f>
        <v>0</v>
      </c>
      <c r="K243" s="6">
        <f>SUM(K241:K242)</f>
        <v>0</v>
      </c>
      <c r="L243" s="6">
        <f>SUM(L241:L242)</f>
        <v>0</v>
      </c>
      <c r="M243" s="6">
        <f t="shared" si="28"/>
        <v>340263</v>
      </c>
      <c r="N243" s="28">
        <f>M243/H243</f>
        <v>0.3081506235226995</v>
      </c>
      <c r="O243" s="78"/>
    </row>
    <row r="244" spans="1:15" ht="9.75">
      <c r="A244" s="68"/>
      <c r="B244" s="130" t="s">
        <v>175</v>
      </c>
      <c r="C244" s="17" t="s">
        <v>76</v>
      </c>
      <c r="D244" s="4">
        <v>360000</v>
      </c>
      <c r="E244" s="4"/>
      <c r="F244" s="7"/>
      <c r="G244" s="4"/>
      <c r="H244" s="7">
        <f>SUM(D244:G244)</f>
        <v>360000</v>
      </c>
      <c r="I244" s="7">
        <v>85370</v>
      </c>
      <c r="J244" s="9"/>
      <c r="K244" s="9"/>
      <c r="L244" s="9"/>
      <c r="M244" s="7">
        <f t="shared" si="28"/>
        <v>85370</v>
      </c>
      <c r="N244" s="5">
        <f>M244/H244</f>
        <v>0.2371388888888889</v>
      </c>
      <c r="O244" s="78"/>
    </row>
    <row r="245" spans="1:15" ht="9.75">
      <c r="A245" s="68"/>
      <c r="B245" s="124"/>
      <c r="C245" s="18" t="s">
        <v>72</v>
      </c>
      <c r="D245" s="4"/>
      <c r="E245" s="4"/>
      <c r="F245" s="7"/>
      <c r="G245" s="4"/>
      <c r="H245" s="7"/>
      <c r="I245" s="7">
        <v>5446</v>
      </c>
      <c r="J245" s="9"/>
      <c r="K245" s="9"/>
      <c r="L245" s="9"/>
      <c r="M245" s="7">
        <f t="shared" si="28"/>
        <v>5446</v>
      </c>
      <c r="N245" s="5"/>
      <c r="O245" s="78"/>
    </row>
    <row r="246" spans="1:15" ht="48.75">
      <c r="A246" s="68"/>
      <c r="B246" s="124"/>
      <c r="C246" s="18" t="s">
        <v>129</v>
      </c>
      <c r="D246" s="4"/>
      <c r="E246" s="4"/>
      <c r="F246" s="4">
        <v>248420</v>
      </c>
      <c r="G246" s="4"/>
      <c r="H246" s="7">
        <f>SUM(D246:G246)</f>
        <v>248420</v>
      </c>
      <c r="I246" s="7"/>
      <c r="J246" s="7"/>
      <c r="K246" s="7">
        <v>76440</v>
      </c>
      <c r="L246" s="7"/>
      <c r="M246" s="7">
        <f t="shared" si="28"/>
        <v>76440</v>
      </c>
      <c r="N246" s="5">
        <f>M246/H246</f>
        <v>0.3077046936639562</v>
      </c>
      <c r="O246" s="78"/>
    </row>
    <row r="247" spans="1:15" ht="29.25">
      <c r="A247" s="68"/>
      <c r="B247" s="131"/>
      <c r="C247" s="22" t="s">
        <v>77</v>
      </c>
      <c r="D247" s="4">
        <v>750</v>
      </c>
      <c r="E247" s="4"/>
      <c r="F247" s="4"/>
      <c r="G247" s="4"/>
      <c r="H247" s="7">
        <f>SUM(D247:G247)</f>
        <v>750</v>
      </c>
      <c r="I247" s="7">
        <v>174</v>
      </c>
      <c r="J247" s="7"/>
      <c r="K247" s="7"/>
      <c r="L247" s="7"/>
      <c r="M247" s="7">
        <f t="shared" si="28"/>
        <v>174</v>
      </c>
      <c r="N247" s="5">
        <f>M247/H247</f>
        <v>0.232</v>
      </c>
      <c r="O247" s="78"/>
    </row>
    <row r="248" spans="1:15" ht="9.75">
      <c r="A248" s="68"/>
      <c r="B248" s="33" t="s">
        <v>176</v>
      </c>
      <c r="C248" s="29"/>
      <c r="D248" s="6">
        <f>SUM(D244:D247)</f>
        <v>360750</v>
      </c>
      <c r="E248" s="6">
        <f>SUM(E244:E247)</f>
        <v>0</v>
      </c>
      <c r="F248" s="6">
        <f>SUM(F244:F247)</f>
        <v>248420</v>
      </c>
      <c r="G248" s="6">
        <f>SUM(G244:G247)</f>
        <v>0</v>
      </c>
      <c r="H248" s="6">
        <f>SUM(D248:G248)</f>
        <v>609170</v>
      </c>
      <c r="I248" s="6">
        <f>SUM(I244:I247)</f>
        <v>90990</v>
      </c>
      <c r="J248" s="6">
        <f>SUM(J244:J247)</f>
        <v>0</v>
      </c>
      <c r="K248" s="6">
        <f>SUM(K244:K247)</f>
        <v>76440</v>
      </c>
      <c r="L248" s="6">
        <f>SUM(L244:L247)</f>
        <v>0</v>
      </c>
      <c r="M248" s="6">
        <f t="shared" si="28"/>
        <v>167430</v>
      </c>
      <c r="N248" s="28">
        <f>M248/H248</f>
        <v>0.2748493852290822</v>
      </c>
      <c r="O248" s="78"/>
    </row>
    <row r="249" spans="1:15" ht="29.25">
      <c r="A249" s="68"/>
      <c r="B249" s="119" t="s">
        <v>190</v>
      </c>
      <c r="C249" s="18" t="s">
        <v>101</v>
      </c>
      <c r="D249" s="4">
        <v>197344</v>
      </c>
      <c r="E249" s="4"/>
      <c r="F249" s="4"/>
      <c r="G249" s="4"/>
      <c r="H249" s="7">
        <f>SUM(D249:G249)</f>
        <v>197344</v>
      </c>
      <c r="I249" s="7">
        <v>65800</v>
      </c>
      <c r="J249" s="9"/>
      <c r="K249" s="9"/>
      <c r="L249" s="9"/>
      <c r="M249" s="7">
        <f t="shared" si="28"/>
        <v>65800</v>
      </c>
      <c r="N249" s="5">
        <f>M249/H249</f>
        <v>0.33342792281498296</v>
      </c>
      <c r="O249" s="78"/>
    </row>
    <row r="250" spans="1:15" ht="39">
      <c r="A250" s="68"/>
      <c r="B250" s="119"/>
      <c r="C250" s="18" t="s">
        <v>216</v>
      </c>
      <c r="D250" s="4"/>
      <c r="E250" s="4"/>
      <c r="F250" s="4"/>
      <c r="G250" s="4"/>
      <c r="H250" s="7"/>
      <c r="I250" s="7">
        <v>110</v>
      </c>
      <c r="J250" s="9"/>
      <c r="K250" s="9"/>
      <c r="L250" s="9"/>
      <c r="M250" s="7">
        <f t="shared" si="28"/>
        <v>110</v>
      </c>
      <c r="N250" s="5"/>
      <c r="O250" s="78"/>
    </row>
    <row r="251" spans="1:15" ht="9.75">
      <c r="A251" s="68"/>
      <c r="B251" s="37" t="s">
        <v>191</v>
      </c>
      <c r="C251" s="34"/>
      <c r="D251" s="6">
        <f>SUM(D249)</f>
        <v>197344</v>
      </c>
      <c r="E251" s="6">
        <f>SUM(E249)</f>
        <v>0</v>
      </c>
      <c r="F251" s="6">
        <f>SUM(F249)</f>
        <v>0</v>
      </c>
      <c r="G251" s="6">
        <f>SUM(G249)</f>
        <v>0</v>
      </c>
      <c r="H251" s="6">
        <f>SUM(D251:G251)</f>
        <v>197344</v>
      </c>
      <c r="I251" s="6">
        <f>SUM(I249:I250)</f>
        <v>65910</v>
      </c>
      <c r="J251" s="6">
        <f>SUM(J249:J250)</f>
        <v>0</v>
      </c>
      <c r="K251" s="6">
        <f>SUM(K249:K250)</f>
        <v>0</v>
      </c>
      <c r="L251" s="6">
        <f>SUM(L249:L250)</f>
        <v>0</v>
      </c>
      <c r="M251" s="6">
        <f t="shared" si="28"/>
        <v>65910</v>
      </c>
      <c r="N251" s="28">
        <f>M251/H251</f>
        <v>0.33398532511756124</v>
      </c>
      <c r="O251" s="78"/>
    </row>
    <row r="252" spans="1:15" ht="11.25">
      <c r="A252" s="56" t="s">
        <v>105</v>
      </c>
      <c r="B252" s="36"/>
      <c r="C252" s="24"/>
      <c r="D252" s="25">
        <f>SUM(D251,D248,D243,D227,D237,D233,D231,D224,D220,D214)</f>
        <v>2301154</v>
      </c>
      <c r="E252" s="25">
        <f>SUM(E251,E248,E243,E227,E237,E233,E231,E224,E220,E214)</f>
        <v>1964460</v>
      </c>
      <c r="F252" s="25">
        <f>SUM(F251,F248,F243,F227,F237,F233,F231,F224,F220,F214)</f>
        <v>38597700</v>
      </c>
      <c r="G252" s="25">
        <f>SUM(G251,G248,G243,G227,G237,G233,G231,G224,G220,G214)</f>
        <v>41800</v>
      </c>
      <c r="H252" s="25">
        <f>SUM(D252:G252)</f>
        <v>42905114</v>
      </c>
      <c r="I252" s="25">
        <f>SUM(I251,I248,I243,I240,I237,I233,I231,I227,I224,I220,I214)</f>
        <v>664628</v>
      </c>
      <c r="J252" s="25">
        <f>SUM(J251,J248,J243,J240,J237,J233,J231,J227,J224,J220,J214)</f>
        <v>536796</v>
      </c>
      <c r="K252" s="25">
        <f>SUM(K251,K248,K243,K240,K237,K233,K231,K227,K224,K220,K214)</f>
        <v>9397470</v>
      </c>
      <c r="L252" s="25">
        <f>SUM(L251,L248,L243,L240,L237,L233,L231,L227,L224,L220,L214)</f>
        <v>15600</v>
      </c>
      <c r="M252" s="25">
        <f t="shared" si="28"/>
        <v>10614494</v>
      </c>
      <c r="N252" s="30">
        <f>M252/H252</f>
        <v>0.24739461128107013</v>
      </c>
      <c r="O252" s="78"/>
    </row>
    <row r="253" spans="1:15" s="10" customFormat="1" ht="11.25">
      <c r="A253" s="132" t="s">
        <v>111</v>
      </c>
      <c r="B253" s="120" t="s">
        <v>47</v>
      </c>
      <c r="C253" s="18" t="s">
        <v>76</v>
      </c>
      <c r="D253" s="47"/>
      <c r="E253" s="47"/>
      <c r="F253" s="47"/>
      <c r="G253" s="47"/>
      <c r="H253" s="7"/>
      <c r="I253" s="7">
        <v>41741</v>
      </c>
      <c r="J253" s="47"/>
      <c r="K253" s="47"/>
      <c r="L253" s="47"/>
      <c r="M253" s="7">
        <f t="shared" si="28"/>
        <v>41741</v>
      </c>
      <c r="N253" s="5"/>
      <c r="O253" s="80"/>
    </row>
    <row r="254" spans="1:15" ht="9.75">
      <c r="A254" s="132"/>
      <c r="B254" s="122"/>
      <c r="C254" s="18" t="s">
        <v>72</v>
      </c>
      <c r="D254" s="4">
        <v>165000</v>
      </c>
      <c r="E254" s="4"/>
      <c r="F254" s="4"/>
      <c r="G254" s="4"/>
      <c r="H254" s="7">
        <f>SUM(D254:G254)</f>
        <v>165000</v>
      </c>
      <c r="I254" s="11">
        <v>294</v>
      </c>
      <c r="J254" s="7"/>
      <c r="K254" s="7"/>
      <c r="L254" s="7"/>
      <c r="M254" s="7">
        <f t="shared" si="28"/>
        <v>294</v>
      </c>
      <c r="N254" s="5">
        <f>M254/H254</f>
        <v>0.0017818181818181817</v>
      </c>
      <c r="O254" s="78"/>
    </row>
    <row r="255" spans="1:15" ht="9.75">
      <c r="A255" s="132"/>
      <c r="B255" s="29" t="s">
        <v>177</v>
      </c>
      <c r="C255" s="29"/>
      <c r="D255" s="6">
        <f>SUM(D254)</f>
        <v>165000</v>
      </c>
      <c r="E255" s="6">
        <f>SUM(E254)</f>
        <v>0</v>
      </c>
      <c r="F255" s="6">
        <f>SUM(F254)</f>
        <v>0</v>
      </c>
      <c r="G255" s="6">
        <f>SUM(G254)</f>
        <v>0</v>
      </c>
      <c r="H255" s="6">
        <f>SUM(D255:G255)</f>
        <v>165000</v>
      </c>
      <c r="I255" s="6">
        <f>SUM(I253:I254)</f>
        <v>42035</v>
      </c>
      <c r="J255" s="6">
        <f>SUM(J253:J254)</f>
        <v>0</v>
      </c>
      <c r="K255" s="6">
        <f>SUM(K253:K254)</f>
        <v>0</v>
      </c>
      <c r="L255" s="6">
        <f>SUM(L253:L254)</f>
        <v>0</v>
      </c>
      <c r="M255" s="6">
        <f t="shared" si="28"/>
        <v>42035</v>
      </c>
      <c r="N255" s="28">
        <f>M255/H255</f>
        <v>0.25475757575757574</v>
      </c>
      <c r="O255" s="78"/>
    </row>
    <row r="256" spans="1:15" ht="39">
      <c r="A256" s="132"/>
      <c r="B256" s="45" t="s">
        <v>226</v>
      </c>
      <c r="C256" s="18" t="s">
        <v>216</v>
      </c>
      <c r="D256" s="4"/>
      <c r="E256" s="4"/>
      <c r="F256" s="4"/>
      <c r="G256" s="4"/>
      <c r="H256" s="7">
        <f>SUM(D256:G256)</f>
        <v>0</v>
      </c>
      <c r="I256" s="7">
        <v>6</v>
      </c>
      <c r="J256" s="9"/>
      <c r="K256" s="9"/>
      <c r="L256" s="9"/>
      <c r="M256" s="7">
        <f t="shared" si="28"/>
        <v>6</v>
      </c>
      <c r="N256" s="5"/>
      <c r="O256" s="78"/>
    </row>
    <row r="257" spans="1:15" ht="9.75">
      <c r="A257" s="132"/>
      <c r="B257" s="37" t="s">
        <v>226</v>
      </c>
      <c r="C257" s="29"/>
      <c r="D257" s="6">
        <f>SUM(D256)</f>
        <v>0</v>
      </c>
      <c r="E257" s="6">
        <f>SUM(E256)</f>
        <v>0</v>
      </c>
      <c r="F257" s="6">
        <f>SUM(F256)</f>
        <v>0</v>
      </c>
      <c r="G257" s="6">
        <f>SUM(G256)</f>
        <v>0</v>
      </c>
      <c r="H257" s="6">
        <f>SUM(D257:G257)</f>
        <v>0</v>
      </c>
      <c r="I257" s="6">
        <f>SUM(I256)</f>
        <v>6</v>
      </c>
      <c r="J257" s="6">
        <f>SUM(J256)</f>
        <v>0</v>
      </c>
      <c r="K257" s="6">
        <f>SUM(K256)</f>
        <v>0</v>
      </c>
      <c r="L257" s="6">
        <f>SUM(L256)</f>
        <v>0</v>
      </c>
      <c r="M257" s="6">
        <f>SUM(M256)</f>
        <v>6</v>
      </c>
      <c r="N257" s="28"/>
      <c r="O257" s="78"/>
    </row>
    <row r="258" spans="1:15" ht="39">
      <c r="A258" s="132"/>
      <c r="B258" s="120" t="s">
        <v>178</v>
      </c>
      <c r="C258" s="18" t="s">
        <v>69</v>
      </c>
      <c r="D258" s="4"/>
      <c r="E258" s="4"/>
      <c r="F258" s="4"/>
      <c r="G258" s="4">
        <v>255000</v>
      </c>
      <c r="H258" s="7">
        <f>SUM(D258:G258)</f>
        <v>255000</v>
      </c>
      <c r="I258" s="13"/>
      <c r="J258" s="13"/>
      <c r="K258" s="13"/>
      <c r="L258" s="7">
        <v>73510</v>
      </c>
      <c r="M258" s="7">
        <f aca="true" t="shared" si="29" ref="M258:M289">SUM(I258:L258)</f>
        <v>73510</v>
      </c>
      <c r="N258" s="5">
        <f>M258/H258</f>
        <v>0.28827450980392155</v>
      </c>
      <c r="O258" s="78"/>
    </row>
    <row r="259" spans="1:15" ht="30" customHeight="1">
      <c r="A259" s="132"/>
      <c r="B259" s="122"/>
      <c r="C259" s="18" t="s">
        <v>83</v>
      </c>
      <c r="D259" s="4"/>
      <c r="E259" s="4">
        <v>44840</v>
      </c>
      <c r="F259" s="4"/>
      <c r="G259" s="4"/>
      <c r="H259" s="7"/>
      <c r="I259" s="13"/>
      <c r="J259" s="7">
        <v>10148</v>
      </c>
      <c r="K259" s="13"/>
      <c r="L259" s="13"/>
      <c r="M259" s="7">
        <f t="shared" si="29"/>
        <v>10148</v>
      </c>
      <c r="N259" s="5"/>
      <c r="O259" s="78"/>
    </row>
    <row r="260" spans="1:15" ht="9.75">
      <c r="A260" s="132"/>
      <c r="B260" s="46" t="s">
        <v>179</v>
      </c>
      <c r="C260" s="29"/>
      <c r="D260" s="6">
        <f>SUM(D258:D259)</f>
        <v>0</v>
      </c>
      <c r="E260" s="6">
        <f>SUM(E258:E259)</f>
        <v>44840</v>
      </c>
      <c r="F260" s="6">
        <f>SUM(F258:F259)</f>
        <v>0</v>
      </c>
      <c r="G260" s="6">
        <f>SUM(G258:G259)</f>
        <v>255000</v>
      </c>
      <c r="H260" s="6">
        <f>SUM(D260:G260)</f>
        <v>299840</v>
      </c>
      <c r="I260" s="6">
        <f>SUM(I258:I259)</f>
        <v>0</v>
      </c>
      <c r="J260" s="6">
        <f>SUM(J258:J259)</f>
        <v>10148</v>
      </c>
      <c r="K260" s="6">
        <f>SUM(K258:K259)</f>
        <v>0</v>
      </c>
      <c r="L260" s="6">
        <f>SUM(L258:L259)</f>
        <v>73510</v>
      </c>
      <c r="M260" s="6">
        <f t="shared" si="29"/>
        <v>83658</v>
      </c>
      <c r="N260" s="28">
        <f>M260/H260</f>
        <v>0.2790088046958378</v>
      </c>
      <c r="O260" s="78"/>
    </row>
    <row r="261" spans="1:15" s="10" customFormat="1" ht="48.75">
      <c r="A261" s="132"/>
      <c r="B261" s="120" t="s">
        <v>48</v>
      </c>
      <c r="C261" s="18" t="s">
        <v>104</v>
      </c>
      <c r="D261" s="13"/>
      <c r="E261" s="13"/>
      <c r="F261" s="13"/>
      <c r="G261" s="13"/>
      <c r="H261" s="7"/>
      <c r="I261" s="13"/>
      <c r="J261" s="7">
        <v>1800</v>
      </c>
      <c r="K261" s="13"/>
      <c r="L261" s="13"/>
      <c r="M261" s="7">
        <f t="shared" si="29"/>
        <v>1800</v>
      </c>
      <c r="N261" s="5"/>
      <c r="O261" s="80"/>
    </row>
    <row r="262" spans="1:15" s="10" customFormat="1" ht="9.75">
      <c r="A262" s="132"/>
      <c r="B262" s="121"/>
      <c r="C262" s="18" t="s">
        <v>72</v>
      </c>
      <c r="D262" s="13"/>
      <c r="E262" s="13"/>
      <c r="F262" s="13"/>
      <c r="G262" s="13"/>
      <c r="H262" s="7"/>
      <c r="I262" s="13"/>
      <c r="J262" s="7">
        <v>450</v>
      </c>
      <c r="K262" s="13"/>
      <c r="L262" s="13"/>
      <c r="M262" s="7">
        <f t="shared" si="29"/>
        <v>450</v>
      </c>
      <c r="N262" s="5"/>
      <c r="O262" s="80"/>
    </row>
    <row r="263" spans="1:15" ht="31.5" customHeight="1">
      <c r="A263" s="132"/>
      <c r="B263" s="122"/>
      <c r="C263" s="18" t="s">
        <v>83</v>
      </c>
      <c r="D263" s="4"/>
      <c r="E263" s="4">
        <v>144478</v>
      </c>
      <c r="F263" s="4"/>
      <c r="G263" s="4"/>
      <c r="H263" s="7">
        <f>SUM(D263:G263)</f>
        <v>144478</v>
      </c>
      <c r="I263" s="9"/>
      <c r="J263" s="7">
        <v>32014</v>
      </c>
      <c r="K263" s="9"/>
      <c r="L263" s="9"/>
      <c r="M263" s="7">
        <f t="shared" si="29"/>
        <v>32014</v>
      </c>
      <c r="N263" s="5">
        <f>M263/H263</f>
        <v>0.22158390896883956</v>
      </c>
      <c r="O263" s="78"/>
    </row>
    <row r="264" spans="1:15" ht="9.75">
      <c r="A264" s="132"/>
      <c r="B264" s="46" t="s">
        <v>180</v>
      </c>
      <c r="C264" s="29"/>
      <c r="D264" s="6">
        <f>SUM(D263)</f>
        <v>0</v>
      </c>
      <c r="E264" s="6">
        <f>SUM(E263)</f>
        <v>144478</v>
      </c>
      <c r="F264" s="6">
        <f>SUM(F263)</f>
        <v>0</v>
      </c>
      <c r="G264" s="6">
        <f>SUM(G263)</f>
        <v>0</v>
      </c>
      <c r="H264" s="6">
        <f>SUM(D264:G264)</f>
        <v>144478</v>
      </c>
      <c r="I264" s="6">
        <f>SUM(I261:I263)</f>
        <v>0</v>
      </c>
      <c r="J264" s="6">
        <f>SUM(J261:J263)</f>
        <v>34264</v>
      </c>
      <c r="K264" s="6">
        <f>SUM(K261:K263)</f>
        <v>0</v>
      </c>
      <c r="L264" s="6">
        <f>SUM(L261:L263)</f>
        <v>0</v>
      </c>
      <c r="M264" s="6">
        <f t="shared" si="29"/>
        <v>34264</v>
      </c>
      <c r="N264" s="28">
        <f>M264/H264</f>
        <v>0.2371572142471518</v>
      </c>
      <c r="O264" s="78"/>
    </row>
    <row r="265" spans="1:15" ht="11.25">
      <c r="A265" s="72" t="s">
        <v>112</v>
      </c>
      <c r="B265" s="39"/>
      <c r="C265" s="40"/>
      <c r="D265" s="25">
        <f>SUM(D264,D260,D255)</f>
        <v>165000</v>
      </c>
      <c r="E265" s="25">
        <f>SUM(E264,E260,E255)</f>
        <v>189318</v>
      </c>
      <c r="F265" s="25">
        <f>SUM(F264,F260,F255)</f>
        <v>0</v>
      </c>
      <c r="G265" s="25">
        <f>SUM(G264,G260,G255)</f>
        <v>255000</v>
      </c>
      <c r="H265" s="25">
        <f>SUM(D265:G265)</f>
        <v>609318</v>
      </c>
      <c r="I265" s="25">
        <f>SUM(I264,I260,I257,I255)</f>
        <v>42041</v>
      </c>
      <c r="J265" s="25">
        <f>SUM(J264,J260,J257,J255)</f>
        <v>44412</v>
      </c>
      <c r="K265" s="25">
        <f>SUM(K264,K260,K257,K255)</f>
        <v>0</v>
      </c>
      <c r="L265" s="25">
        <f>SUM(L264,L260,L257,L255)</f>
        <v>73510</v>
      </c>
      <c r="M265" s="25">
        <f t="shared" si="29"/>
        <v>159963</v>
      </c>
      <c r="N265" s="30">
        <f>M265/H265</f>
        <v>0.26252794107510363</v>
      </c>
      <c r="O265" s="78"/>
    </row>
    <row r="266" spans="1:15" ht="9.75">
      <c r="A266" s="114" t="s">
        <v>49</v>
      </c>
      <c r="B266" s="126" t="s">
        <v>198</v>
      </c>
      <c r="C266" s="18" t="s">
        <v>76</v>
      </c>
      <c r="D266" s="4">
        <v>2058386</v>
      </c>
      <c r="E266" s="4">
        <v>9000</v>
      </c>
      <c r="F266" s="4"/>
      <c r="G266" s="4"/>
      <c r="H266" s="7">
        <f>SUM(D266:G266)</f>
        <v>2067386</v>
      </c>
      <c r="I266" s="7">
        <v>644863</v>
      </c>
      <c r="J266" s="7">
        <v>2920</v>
      </c>
      <c r="K266" s="7"/>
      <c r="L266" s="7"/>
      <c r="M266" s="7">
        <f t="shared" si="29"/>
        <v>647783</v>
      </c>
      <c r="N266" s="5">
        <f>M266/H266</f>
        <v>0.31333432653602183</v>
      </c>
      <c r="O266" s="78"/>
    </row>
    <row r="267" spans="1:15" ht="9.75">
      <c r="A267" s="115"/>
      <c r="B267" s="128"/>
      <c r="C267" s="18" t="s">
        <v>72</v>
      </c>
      <c r="D267" s="4"/>
      <c r="E267" s="4"/>
      <c r="F267" s="4"/>
      <c r="G267" s="4"/>
      <c r="H267" s="7"/>
      <c r="I267" s="7">
        <v>154</v>
      </c>
      <c r="J267" s="7">
        <v>8</v>
      </c>
      <c r="K267" s="7"/>
      <c r="L267" s="7"/>
      <c r="M267" s="7">
        <f t="shared" si="29"/>
        <v>162</v>
      </c>
      <c r="N267" s="5"/>
      <c r="O267" s="78"/>
    </row>
    <row r="268" spans="1:15" ht="19.5">
      <c r="A268" s="115"/>
      <c r="B268" s="128"/>
      <c r="C268" s="18" t="s">
        <v>208</v>
      </c>
      <c r="D268" s="4"/>
      <c r="E268" s="4"/>
      <c r="F268" s="4"/>
      <c r="G268" s="4"/>
      <c r="H268" s="7"/>
      <c r="I268" s="7">
        <v>5358</v>
      </c>
      <c r="J268" s="7"/>
      <c r="K268" s="7"/>
      <c r="L268" s="7"/>
      <c r="M268" s="7">
        <f t="shared" si="29"/>
        <v>5358</v>
      </c>
      <c r="N268" s="5"/>
      <c r="O268" s="78"/>
    </row>
    <row r="269" spans="1:15" ht="19.5">
      <c r="A269" s="115"/>
      <c r="B269" s="127"/>
      <c r="C269" s="18" t="s">
        <v>204</v>
      </c>
      <c r="D269" s="4"/>
      <c r="E269" s="4"/>
      <c r="F269" s="4"/>
      <c r="G269" s="4"/>
      <c r="H269" s="7"/>
      <c r="I269" s="7">
        <v>254300</v>
      </c>
      <c r="J269" s="7">
        <v>3580</v>
      </c>
      <c r="K269" s="7"/>
      <c r="L269" s="7"/>
      <c r="M269" s="7">
        <f t="shared" si="29"/>
        <v>257880</v>
      </c>
      <c r="N269" s="5"/>
      <c r="O269" s="78"/>
    </row>
    <row r="270" spans="1:15" ht="9.75">
      <c r="A270" s="115"/>
      <c r="B270" s="63" t="s">
        <v>198</v>
      </c>
      <c r="C270" s="29"/>
      <c r="D270" s="6">
        <f>SUM(D266)</f>
        <v>2058386</v>
      </c>
      <c r="E270" s="6">
        <f>SUM(E266)</f>
        <v>9000</v>
      </c>
      <c r="F270" s="6">
        <f>SUM(F266)</f>
        <v>0</v>
      </c>
      <c r="G270" s="6">
        <f>SUM(G266)</f>
        <v>0</v>
      </c>
      <c r="H270" s="6">
        <f>SUM(D270:G270)</f>
        <v>2067386</v>
      </c>
      <c r="I270" s="6">
        <f>SUM(I266:I269)</f>
        <v>904675</v>
      </c>
      <c r="J270" s="6">
        <f>SUM(J266:J269)</f>
        <v>6508</v>
      </c>
      <c r="K270" s="6">
        <f>SUM(K266:K269)</f>
        <v>0</v>
      </c>
      <c r="L270" s="6">
        <f>SUM(L266:L269)</f>
        <v>0</v>
      </c>
      <c r="M270" s="6">
        <f t="shared" si="29"/>
        <v>911183</v>
      </c>
      <c r="N270" s="28">
        <f>M270/H270</f>
        <v>0.4407415934905238</v>
      </c>
      <c r="O270" s="78"/>
    </row>
    <row r="271" spans="1:15" ht="47.25" customHeight="1">
      <c r="A271" s="115"/>
      <c r="B271" s="126" t="s">
        <v>50</v>
      </c>
      <c r="C271" s="18" t="s">
        <v>104</v>
      </c>
      <c r="D271" s="4"/>
      <c r="E271" s="4">
        <v>17800</v>
      </c>
      <c r="F271" s="4"/>
      <c r="G271" s="4"/>
      <c r="H271" s="7">
        <f>SUM(D271:G271)</f>
        <v>17800</v>
      </c>
      <c r="I271" s="7"/>
      <c r="J271" s="7">
        <v>3903</v>
      </c>
      <c r="K271" s="7"/>
      <c r="L271" s="7"/>
      <c r="M271" s="7">
        <f t="shared" si="29"/>
        <v>3903</v>
      </c>
      <c r="N271" s="5">
        <f>M271/H271</f>
        <v>0.2192696629213483</v>
      </c>
      <c r="O271" s="78"/>
    </row>
    <row r="272" spans="1:15" ht="9.75">
      <c r="A272" s="115"/>
      <c r="B272" s="128"/>
      <c r="C272" s="27" t="s">
        <v>76</v>
      </c>
      <c r="D272" s="4"/>
      <c r="E272" s="4">
        <v>5000</v>
      </c>
      <c r="F272" s="4"/>
      <c r="G272" s="4"/>
      <c r="H272" s="7">
        <f>SUM(D272:G272)</f>
        <v>5000</v>
      </c>
      <c r="I272" s="7"/>
      <c r="J272" s="7">
        <v>4786</v>
      </c>
      <c r="K272" s="7"/>
      <c r="L272" s="7"/>
      <c r="M272" s="7">
        <f t="shared" si="29"/>
        <v>4786</v>
      </c>
      <c r="N272" s="5">
        <f>M272/H272</f>
        <v>0.9572</v>
      </c>
      <c r="O272" s="78"/>
    </row>
    <row r="273" spans="1:15" ht="9.75">
      <c r="A273" s="115"/>
      <c r="B273" s="128"/>
      <c r="C273" s="18" t="s">
        <v>72</v>
      </c>
      <c r="D273" s="4"/>
      <c r="E273" s="4"/>
      <c r="F273" s="4"/>
      <c r="G273" s="4"/>
      <c r="H273" s="7"/>
      <c r="I273" s="7"/>
      <c r="J273" s="7">
        <v>1191</v>
      </c>
      <c r="K273" s="7"/>
      <c r="L273" s="7"/>
      <c r="M273" s="7">
        <f t="shared" si="29"/>
        <v>1191</v>
      </c>
      <c r="N273" s="5"/>
      <c r="O273" s="78"/>
    </row>
    <row r="274" spans="1:15" ht="19.5">
      <c r="A274" s="115"/>
      <c r="B274" s="128"/>
      <c r="C274" s="18" t="s">
        <v>208</v>
      </c>
      <c r="D274" s="4"/>
      <c r="E274" s="4"/>
      <c r="F274" s="4"/>
      <c r="G274" s="4"/>
      <c r="H274" s="7"/>
      <c r="I274" s="7"/>
      <c r="J274" s="7">
        <v>1200</v>
      </c>
      <c r="K274" s="7"/>
      <c r="L274" s="7"/>
      <c r="M274" s="7">
        <f t="shared" si="29"/>
        <v>1200</v>
      </c>
      <c r="N274" s="5"/>
      <c r="O274" s="78"/>
    </row>
    <row r="275" spans="1:15" ht="9.75">
      <c r="A275" s="115"/>
      <c r="B275" s="128"/>
      <c r="C275" s="18" t="s">
        <v>74</v>
      </c>
      <c r="D275" s="4"/>
      <c r="E275" s="4"/>
      <c r="F275" s="4"/>
      <c r="G275" s="4"/>
      <c r="H275" s="7"/>
      <c r="I275" s="7"/>
      <c r="J275" s="7">
        <v>1</v>
      </c>
      <c r="K275" s="7"/>
      <c r="L275" s="7"/>
      <c r="M275" s="7">
        <f t="shared" si="29"/>
        <v>1</v>
      </c>
      <c r="N275" s="5"/>
      <c r="O275" s="78"/>
    </row>
    <row r="276" spans="1:15" ht="18" customHeight="1">
      <c r="A276" s="115"/>
      <c r="B276" s="127"/>
      <c r="C276" s="18" t="s">
        <v>204</v>
      </c>
      <c r="D276" s="4"/>
      <c r="E276" s="4"/>
      <c r="F276" s="4"/>
      <c r="G276" s="4"/>
      <c r="H276" s="7"/>
      <c r="I276" s="7"/>
      <c r="J276" s="7">
        <v>66420</v>
      </c>
      <c r="K276" s="7"/>
      <c r="L276" s="7"/>
      <c r="M276" s="7">
        <f t="shared" si="29"/>
        <v>66420</v>
      </c>
      <c r="N276" s="5"/>
      <c r="O276" s="78"/>
    </row>
    <row r="277" spans="1:15" ht="9.75">
      <c r="A277" s="115"/>
      <c r="B277" s="46" t="s">
        <v>181</v>
      </c>
      <c r="C277" s="29"/>
      <c r="D277" s="6">
        <f>SUM(D271:D272)</f>
        <v>0</v>
      </c>
      <c r="E277" s="6">
        <f>SUM(E271:E272)</f>
        <v>22800</v>
      </c>
      <c r="F277" s="6">
        <f>SUM(F271:F272)</f>
        <v>0</v>
      </c>
      <c r="G277" s="6">
        <f>SUM(G271:G272)</f>
        <v>0</v>
      </c>
      <c r="H277" s="6">
        <f>SUM(D277:G277)</f>
        <v>22800</v>
      </c>
      <c r="I277" s="6">
        <f>SUM(I271:I276)</f>
        <v>0</v>
      </c>
      <c r="J277" s="6">
        <f>SUM(J271:J276)</f>
        <v>77501</v>
      </c>
      <c r="K277" s="6">
        <f>SUM(K271:K276)</f>
        <v>0</v>
      </c>
      <c r="L277" s="6">
        <f>SUM(L271:L276)</f>
        <v>0</v>
      </c>
      <c r="M277" s="6">
        <f t="shared" si="29"/>
        <v>77501</v>
      </c>
      <c r="N277" s="28">
        <f>M277/H277</f>
        <v>3.3991666666666664</v>
      </c>
      <c r="O277" s="78"/>
    </row>
    <row r="278" spans="1:15" ht="9.75">
      <c r="A278" s="115"/>
      <c r="B278" s="126" t="s">
        <v>199</v>
      </c>
      <c r="C278" s="18" t="s">
        <v>76</v>
      </c>
      <c r="D278" s="4"/>
      <c r="E278" s="4">
        <v>14</v>
      </c>
      <c r="F278" s="4"/>
      <c r="G278" s="4"/>
      <c r="H278" s="7">
        <f>SUM(D278:G278)</f>
        <v>14</v>
      </c>
      <c r="I278" s="7"/>
      <c r="J278" s="7"/>
      <c r="K278" s="7"/>
      <c r="L278" s="7"/>
      <c r="M278" s="7">
        <f t="shared" si="29"/>
        <v>0</v>
      </c>
      <c r="N278" s="5">
        <f>M278/H278</f>
        <v>0</v>
      </c>
      <c r="O278" s="78"/>
    </row>
    <row r="279" spans="1:15" ht="9.75">
      <c r="A279" s="115"/>
      <c r="B279" s="127"/>
      <c r="C279" s="18" t="s">
        <v>72</v>
      </c>
      <c r="D279" s="4"/>
      <c r="E279" s="4"/>
      <c r="F279" s="4"/>
      <c r="G279" s="4"/>
      <c r="H279" s="7"/>
      <c r="I279" s="7"/>
      <c r="J279" s="7">
        <v>515</v>
      </c>
      <c r="K279" s="7"/>
      <c r="L279" s="7"/>
      <c r="M279" s="7">
        <f t="shared" si="29"/>
        <v>515</v>
      </c>
      <c r="N279" s="5"/>
      <c r="O279" s="78"/>
    </row>
    <row r="280" spans="1:15" ht="9.75">
      <c r="A280" s="115"/>
      <c r="B280" s="46" t="s">
        <v>200</v>
      </c>
      <c r="C280" s="29"/>
      <c r="D280" s="6">
        <f>SUM(D278)</f>
        <v>0</v>
      </c>
      <c r="E280" s="6">
        <f>SUM(E278)</f>
        <v>14</v>
      </c>
      <c r="F280" s="6">
        <f>SUM(F278)</f>
        <v>0</v>
      </c>
      <c r="G280" s="6">
        <f>SUM(G278)</f>
        <v>0</v>
      </c>
      <c r="H280" s="6">
        <f>SUM(D280:G280)</f>
        <v>14</v>
      </c>
      <c r="I280" s="6">
        <f>SUM(I278:I279)</f>
        <v>0</v>
      </c>
      <c r="J280" s="6">
        <f>SUM(J278:J279)</f>
        <v>515</v>
      </c>
      <c r="K280" s="6">
        <f>SUM(K278:K279)</f>
        <v>0</v>
      </c>
      <c r="L280" s="6">
        <f>SUM(L278:L279)</f>
        <v>0</v>
      </c>
      <c r="M280" s="6">
        <f t="shared" si="29"/>
        <v>515</v>
      </c>
      <c r="N280" s="28">
        <f>M280/H280</f>
        <v>36.785714285714285</v>
      </c>
      <c r="O280" s="78"/>
    </row>
    <row r="281" spans="1:15" ht="48.75">
      <c r="A281" s="115"/>
      <c r="B281" s="126" t="s">
        <v>51</v>
      </c>
      <c r="C281" s="18" t="s">
        <v>104</v>
      </c>
      <c r="D281" s="4"/>
      <c r="E281" s="4">
        <v>11000</v>
      </c>
      <c r="F281" s="4"/>
      <c r="G281" s="4"/>
      <c r="H281" s="7">
        <f>SUM(D281:G281)</f>
        <v>11000</v>
      </c>
      <c r="I281" s="7"/>
      <c r="J281" s="7">
        <v>764</v>
      </c>
      <c r="K281" s="7"/>
      <c r="L281" s="7"/>
      <c r="M281" s="7">
        <f t="shared" si="29"/>
        <v>764</v>
      </c>
      <c r="N281" s="5">
        <f>M281/H281</f>
        <v>0.06945454545454545</v>
      </c>
      <c r="O281" s="78"/>
    </row>
    <row r="282" spans="1:15" ht="9.75">
      <c r="A282" s="115"/>
      <c r="B282" s="128"/>
      <c r="C282" s="18" t="s">
        <v>76</v>
      </c>
      <c r="D282" s="4"/>
      <c r="E282" s="4">
        <v>360</v>
      </c>
      <c r="F282" s="4"/>
      <c r="G282" s="4"/>
      <c r="H282" s="7">
        <f>SUM(D282:G282)</f>
        <v>360</v>
      </c>
      <c r="I282" s="7"/>
      <c r="J282" s="7"/>
      <c r="K282" s="7"/>
      <c r="L282" s="7"/>
      <c r="M282" s="7">
        <f t="shared" si="29"/>
        <v>0</v>
      </c>
      <c r="N282" s="5">
        <f>M282/H282</f>
        <v>0</v>
      </c>
      <c r="O282" s="78"/>
    </row>
    <row r="283" spans="1:15" ht="9.75">
      <c r="A283" s="115"/>
      <c r="B283" s="127"/>
      <c r="C283" s="18" t="s">
        <v>72</v>
      </c>
      <c r="D283" s="4"/>
      <c r="E283" s="4"/>
      <c r="F283" s="4"/>
      <c r="G283" s="4"/>
      <c r="H283" s="7"/>
      <c r="I283" s="7"/>
      <c r="J283" s="7">
        <v>932</v>
      </c>
      <c r="K283" s="7"/>
      <c r="L283" s="7"/>
      <c r="M283" s="7">
        <f t="shared" si="29"/>
        <v>932</v>
      </c>
      <c r="N283" s="5"/>
      <c r="O283" s="78"/>
    </row>
    <row r="284" spans="1:15" ht="9.75">
      <c r="A284" s="115"/>
      <c r="B284" s="46" t="s">
        <v>182</v>
      </c>
      <c r="C284" s="29"/>
      <c r="D284" s="6">
        <f>SUM(D281:D282)</f>
        <v>0</v>
      </c>
      <c r="E284" s="6">
        <f>SUM(E281:E282)</f>
        <v>11360</v>
      </c>
      <c r="F284" s="6">
        <f>SUM(F281:F282)</f>
        <v>0</v>
      </c>
      <c r="G284" s="6">
        <f>SUM(G281:G282)</f>
        <v>0</v>
      </c>
      <c r="H284" s="6">
        <f>SUM(D284:G284)</f>
        <v>11360</v>
      </c>
      <c r="I284" s="6">
        <f>SUM(I281:I283)</f>
        <v>0</v>
      </c>
      <c r="J284" s="6">
        <f>SUM(J281:J283)</f>
        <v>1696</v>
      </c>
      <c r="K284" s="6">
        <f>SUM(K281:K283)</f>
        <v>0</v>
      </c>
      <c r="L284" s="6">
        <f>SUM(L281:L283)</f>
        <v>0</v>
      </c>
      <c r="M284" s="6">
        <f t="shared" si="29"/>
        <v>1696</v>
      </c>
      <c r="N284" s="28">
        <f>M284/H284</f>
        <v>0.14929577464788732</v>
      </c>
      <c r="O284" s="78"/>
    </row>
    <row r="285" spans="1:15" ht="48.75">
      <c r="A285" s="115"/>
      <c r="B285" s="126" t="s">
        <v>52</v>
      </c>
      <c r="C285" s="27" t="s">
        <v>104</v>
      </c>
      <c r="D285" s="7"/>
      <c r="E285" s="4">
        <v>248500</v>
      </c>
      <c r="F285" s="4"/>
      <c r="G285" s="4"/>
      <c r="H285" s="7">
        <f>SUM(D285:G285)</f>
        <v>248500</v>
      </c>
      <c r="I285" s="7"/>
      <c r="J285" s="7">
        <v>13267</v>
      </c>
      <c r="K285" s="7"/>
      <c r="L285" s="7"/>
      <c r="M285" s="7">
        <f t="shared" si="29"/>
        <v>13267</v>
      </c>
      <c r="N285" s="5">
        <f>M285/H285</f>
        <v>0.05338832997987927</v>
      </c>
      <c r="O285" s="80"/>
    </row>
    <row r="286" spans="1:15" ht="9.75">
      <c r="A286" s="115"/>
      <c r="B286" s="128"/>
      <c r="C286" s="18" t="s">
        <v>76</v>
      </c>
      <c r="D286" s="4"/>
      <c r="E286" s="4">
        <v>55397</v>
      </c>
      <c r="F286" s="4"/>
      <c r="G286" s="4"/>
      <c r="H286" s="7">
        <f>SUM(D286:G286)</f>
        <v>55397</v>
      </c>
      <c r="I286" s="7"/>
      <c r="J286" s="7">
        <v>53863</v>
      </c>
      <c r="K286" s="7"/>
      <c r="L286" s="7"/>
      <c r="M286" s="7">
        <f t="shared" si="29"/>
        <v>53863</v>
      </c>
      <c r="N286" s="5">
        <f>M286/H286</f>
        <v>0.9723089697998086</v>
      </c>
      <c r="O286" s="78"/>
    </row>
    <row r="287" spans="1:15" ht="9.75">
      <c r="A287" s="115"/>
      <c r="B287" s="128"/>
      <c r="C287" s="18" t="s">
        <v>72</v>
      </c>
      <c r="D287" s="4"/>
      <c r="E287" s="4"/>
      <c r="F287" s="4"/>
      <c r="G287" s="4"/>
      <c r="H287" s="7"/>
      <c r="I287" s="7"/>
      <c r="J287" s="7">
        <v>374</v>
      </c>
      <c r="K287" s="7"/>
      <c r="L287" s="7"/>
      <c r="M287" s="7">
        <f t="shared" si="29"/>
        <v>374</v>
      </c>
      <c r="N287" s="5"/>
      <c r="O287" s="78"/>
    </row>
    <row r="288" spans="1:15" ht="19.5">
      <c r="A288" s="115"/>
      <c r="B288" s="128"/>
      <c r="C288" s="18" t="s">
        <v>208</v>
      </c>
      <c r="D288" s="4"/>
      <c r="E288" s="4"/>
      <c r="F288" s="4"/>
      <c r="G288" s="4"/>
      <c r="H288" s="7"/>
      <c r="I288" s="7"/>
      <c r="J288" s="7">
        <v>29401</v>
      </c>
      <c r="K288" s="7"/>
      <c r="L288" s="7"/>
      <c r="M288" s="7">
        <f t="shared" si="29"/>
        <v>29401</v>
      </c>
      <c r="N288" s="5"/>
      <c r="O288" s="78"/>
    </row>
    <row r="289" spans="1:15" ht="19.5">
      <c r="A289" s="115"/>
      <c r="B289" s="127"/>
      <c r="C289" s="18" t="s">
        <v>204</v>
      </c>
      <c r="D289" s="4"/>
      <c r="E289" s="4"/>
      <c r="F289" s="4"/>
      <c r="G289" s="4"/>
      <c r="H289" s="7"/>
      <c r="I289" s="7"/>
      <c r="J289" s="7">
        <v>155789</v>
      </c>
      <c r="K289" s="7"/>
      <c r="L289" s="7"/>
      <c r="M289" s="7">
        <f t="shared" si="29"/>
        <v>155789</v>
      </c>
      <c r="N289" s="5"/>
      <c r="O289" s="78"/>
    </row>
    <row r="290" spans="1:15" ht="9.75">
      <c r="A290" s="115"/>
      <c r="B290" s="64" t="s">
        <v>183</v>
      </c>
      <c r="C290" s="34"/>
      <c r="D290" s="6">
        <f>SUM(D285:D286)</f>
        <v>0</v>
      </c>
      <c r="E290" s="6">
        <f>SUM(E285:E286)</f>
        <v>303897</v>
      </c>
      <c r="F290" s="6">
        <f>SUM(F285:F286)</f>
        <v>0</v>
      </c>
      <c r="G290" s="6">
        <f>SUM(G285:G286)</f>
        <v>0</v>
      </c>
      <c r="H290" s="6">
        <f>SUM(D290:G290)</f>
        <v>303897</v>
      </c>
      <c r="I290" s="6">
        <f>SUM(I285:I289)</f>
        <v>0</v>
      </c>
      <c r="J290" s="6">
        <f>SUM(J285:J289)</f>
        <v>252694</v>
      </c>
      <c r="K290" s="6">
        <f>SUM(K285:K289)</f>
        <v>0</v>
      </c>
      <c r="L290" s="6">
        <f>SUM(L285:L289)</f>
        <v>0</v>
      </c>
      <c r="M290" s="6">
        <f aca="true" t="shared" si="30" ref="M290:M321">SUM(I290:L290)</f>
        <v>252694</v>
      </c>
      <c r="N290" s="28">
        <f>M290/H290</f>
        <v>0.8315119925501074</v>
      </c>
      <c r="O290" s="78"/>
    </row>
    <row r="291" spans="1:15" ht="9.75">
      <c r="A291" s="54"/>
      <c r="B291" s="120" t="s">
        <v>201</v>
      </c>
      <c r="C291" s="18" t="s">
        <v>76</v>
      </c>
      <c r="D291" s="7">
        <v>5360</v>
      </c>
      <c r="E291" s="4"/>
      <c r="F291" s="4"/>
      <c r="G291" s="4"/>
      <c r="H291" s="7">
        <f>SUM(D291:G291)</f>
        <v>5360</v>
      </c>
      <c r="I291" s="7">
        <v>5360</v>
      </c>
      <c r="J291" s="7"/>
      <c r="K291" s="7"/>
      <c r="L291" s="7"/>
      <c r="M291" s="7">
        <f t="shared" si="30"/>
        <v>5360</v>
      </c>
      <c r="N291" s="5">
        <f>M291/H291</f>
        <v>1</v>
      </c>
      <c r="O291" s="80"/>
    </row>
    <row r="292" spans="1:15" ht="9.75">
      <c r="A292" s="54"/>
      <c r="B292" s="121"/>
      <c r="C292" s="18" t="s">
        <v>72</v>
      </c>
      <c r="D292" s="7"/>
      <c r="E292" s="4"/>
      <c r="F292" s="4"/>
      <c r="G292" s="4"/>
      <c r="H292" s="7"/>
      <c r="I292" s="7">
        <v>18</v>
      </c>
      <c r="J292" s="7"/>
      <c r="K292" s="7"/>
      <c r="L292" s="7"/>
      <c r="M292" s="7">
        <f t="shared" si="30"/>
        <v>18</v>
      </c>
      <c r="N292" s="5"/>
      <c r="O292" s="80"/>
    </row>
    <row r="293" spans="1:15" ht="19.5">
      <c r="A293" s="54"/>
      <c r="B293" s="121"/>
      <c r="C293" s="18" t="s">
        <v>208</v>
      </c>
      <c r="D293" s="7"/>
      <c r="E293" s="4"/>
      <c r="F293" s="4"/>
      <c r="G293" s="4"/>
      <c r="H293" s="7"/>
      <c r="I293" s="7">
        <v>1924</v>
      </c>
      <c r="J293" s="7"/>
      <c r="K293" s="7"/>
      <c r="L293" s="7"/>
      <c r="M293" s="7">
        <f t="shared" si="30"/>
        <v>1924</v>
      </c>
      <c r="N293" s="5"/>
      <c r="O293" s="80"/>
    </row>
    <row r="294" spans="1:15" ht="19.5">
      <c r="A294" s="54"/>
      <c r="B294" s="122"/>
      <c r="C294" s="18" t="s">
        <v>204</v>
      </c>
      <c r="D294" s="7"/>
      <c r="E294" s="4"/>
      <c r="F294" s="4"/>
      <c r="G294" s="4"/>
      <c r="H294" s="7"/>
      <c r="I294" s="7">
        <v>3859</v>
      </c>
      <c r="J294" s="7"/>
      <c r="K294" s="7"/>
      <c r="L294" s="7"/>
      <c r="M294" s="7">
        <f t="shared" si="30"/>
        <v>3859</v>
      </c>
      <c r="N294" s="5"/>
      <c r="O294" s="80"/>
    </row>
    <row r="295" spans="1:15" ht="9.75">
      <c r="A295" s="71"/>
      <c r="B295" s="64" t="s">
        <v>201</v>
      </c>
      <c r="C295" s="34"/>
      <c r="D295" s="6">
        <f>SUM(D291:D291)</f>
        <v>5360</v>
      </c>
      <c r="E295" s="6">
        <f>SUM(E291:E291)</f>
        <v>0</v>
      </c>
      <c r="F295" s="6">
        <f>SUM(F291:F291)</f>
        <v>0</v>
      </c>
      <c r="G295" s="6">
        <f>SUM(G291:G291)</f>
        <v>0</v>
      </c>
      <c r="H295" s="6">
        <f>SUM(D295:G295)</f>
        <v>5360</v>
      </c>
      <c r="I295" s="6">
        <f>SUM(I291:I294)</f>
        <v>11161</v>
      </c>
      <c r="J295" s="6">
        <f>SUM(J291:J294)</f>
        <v>0</v>
      </c>
      <c r="K295" s="6">
        <f>SUM(K291:K294)</f>
        <v>0</v>
      </c>
      <c r="L295" s="6">
        <f>SUM(L291:L294)</f>
        <v>0</v>
      </c>
      <c r="M295" s="6">
        <f t="shared" si="30"/>
        <v>11161</v>
      </c>
      <c r="N295" s="28">
        <f>M295/H295</f>
        <v>2.082276119402985</v>
      </c>
      <c r="O295" s="78"/>
    </row>
    <row r="296" spans="1:15" s="10" customFormat="1" ht="11.25" customHeight="1">
      <c r="A296" s="73"/>
      <c r="B296" s="126" t="s">
        <v>227</v>
      </c>
      <c r="C296" s="18" t="s">
        <v>74</v>
      </c>
      <c r="D296" s="13"/>
      <c r="E296" s="13"/>
      <c r="F296" s="13"/>
      <c r="G296" s="13"/>
      <c r="H296" s="7"/>
      <c r="I296" s="13"/>
      <c r="J296" s="13">
        <v>139</v>
      </c>
      <c r="K296" s="13"/>
      <c r="L296" s="13"/>
      <c r="M296" s="7">
        <f t="shared" si="30"/>
        <v>139</v>
      </c>
      <c r="N296" s="5"/>
      <c r="O296" s="80"/>
    </row>
    <row r="297" spans="1:15" ht="29.25">
      <c r="A297" s="71"/>
      <c r="B297" s="127"/>
      <c r="C297" s="18" t="s">
        <v>101</v>
      </c>
      <c r="D297" s="7"/>
      <c r="E297" s="4"/>
      <c r="F297" s="4"/>
      <c r="G297" s="4"/>
      <c r="H297" s="7">
        <f>SUM(D297:G297)</f>
        <v>0</v>
      </c>
      <c r="I297" s="7">
        <v>23305</v>
      </c>
      <c r="J297" s="7"/>
      <c r="K297" s="7"/>
      <c r="L297" s="7"/>
      <c r="M297" s="7">
        <f t="shared" si="30"/>
        <v>23305</v>
      </c>
      <c r="N297" s="5"/>
      <c r="O297" s="80"/>
    </row>
    <row r="298" spans="1:15" ht="9.75">
      <c r="A298" s="71"/>
      <c r="B298" s="65" t="s">
        <v>227</v>
      </c>
      <c r="C298" s="34"/>
      <c r="D298" s="6">
        <f>SUM(D297:D297)</f>
        <v>0</v>
      </c>
      <c r="E298" s="6">
        <f>SUM(E297:E297)</f>
        <v>0</v>
      </c>
      <c r="F298" s="6">
        <f>SUM(F297:F297)</f>
        <v>0</v>
      </c>
      <c r="G298" s="6">
        <f>SUM(G297:G297)</f>
        <v>0</v>
      </c>
      <c r="H298" s="6">
        <f>SUM(D298:G298)</f>
        <v>0</v>
      </c>
      <c r="I298" s="6">
        <f>SUM(I296:I297)</f>
        <v>23305</v>
      </c>
      <c r="J298" s="6">
        <f>SUM(J296:J297)</f>
        <v>139</v>
      </c>
      <c r="K298" s="6">
        <f>SUM(K296:K297)</f>
        <v>0</v>
      </c>
      <c r="L298" s="6">
        <f>SUM(L296:L297)</f>
        <v>0</v>
      </c>
      <c r="M298" s="6">
        <f t="shared" si="30"/>
        <v>23444</v>
      </c>
      <c r="N298" s="28"/>
      <c r="O298" s="78"/>
    </row>
    <row r="299" spans="1:15" ht="10.5" customHeight="1">
      <c r="A299" s="71"/>
      <c r="B299" s="126" t="s">
        <v>202</v>
      </c>
      <c r="C299" s="18" t="s">
        <v>76</v>
      </c>
      <c r="D299" s="7"/>
      <c r="E299" s="4">
        <v>15505</v>
      </c>
      <c r="F299" s="4"/>
      <c r="G299" s="4"/>
      <c r="H299" s="7">
        <f>SUM(D299:G299)</f>
        <v>15505</v>
      </c>
      <c r="I299" s="7"/>
      <c r="J299" s="7">
        <v>19687</v>
      </c>
      <c r="K299" s="7"/>
      <c r="L299" s="7"/>
      <c r="M299" s="7">
        <f t="shared" si="30"/>
        <v>19687</v>
      </c>
      <c r="N299" s="5">
        <f>M299/H299</f>
        <v>1.2697194453402127</v>
      </c>
      <c r="O299" s="80"/>
    </row>
    <row r="300" spans="1:15" ht="11.25" customHeight="1">
      <c r="A300" s="71"/>
      <c r="B300" s="128"/>
      <c r="C300" s="18" t="s">
        <v>72</v>
      </c>
      <c r="D300" s="7"/>
      <c r="E300" s="4"/>
      <c r="F300" s="4"/>
      <c r="G300" s="4"/>
      <c r="H300" s="7"/>
      <c r="I300" s="7"/>
      <c r="J300" s="7">
        <v>340</v>
      </c>
      <c r="K300" s="7"/>
      <c r="L300" s="7"/>
      <c r="M300" s="7">
        <f t="shared" si="30"/>
        <v>340</v>
      </c>
      <c r="N300" s="5"/>
      <c r="O300" s="80"/>
    </row>
    <row r="301" spans="1:15" ht="10.5" customHeight="1">
      <c r="A301" s="71"/>
      <c r="B301" s="128"/>
      <c r="C301" s="18" t="s">
        <v>74</v>
      </c>
      <c r="D301" s="7"/>
      <c r="E301" s="4"/>
      <c r="F301" s="4"/>
      <c r="G301" s="4"/>
      <c r="H301" s="7"/>
      <c r="I301" s="7"/>
      <c r="J301" s="7">
        <v>222</v>
      </c>
      <c r="K301" s="7"/>
      <c r="L301" s="7"/>
      <c r="M301" s="7">
        <f t="shared" si="30"/>
        <v>222</v>
      </c>
      <c r="N301" s="5"/>
      <c r="O301" s="80"/>
    </row>
    <row r="302" spans="1:15" ht="20.25" customHeight="1">
      <c r="A302" s="71"/>
      <c r="B302" s="127"/>
      <c r="C302" s="18" t="s">
        <v>204</v>
      </c>
      <c r="D302" s="7"/>
      <c r="E302" s="4"/>
      <c r="F302" s="4"/>
      <c r="G302" s="4"/>
      <c r="H302" s="7"/>
      <c r="I302" s="7"/>
      <c r="J302" s="7">
        <v>151990</v>
      </c>
      <c r="K302" s="7"/>
      <c r="L302" s="7"/>
      <c r="M302" s="7">
        <f t="shared" si="30"/>
        <v>151990</v>
      </c>
      <c r="N302" s="5"/>
      <c r="O302" s="80"/>
    </row>
    <row r="303" spans="1:15" ht="9.75">
      <c r="A303" s="74"/>
      <c r="B303" s="46" t="s">
        <v>203</v>
      </c>
      <c r="C303" s="34"/>
      <c r="D303" s="6">
        <f>SUM(D299:D299)</f>
        <v>0</v>
      </c>
      <c r="E303" s="6">
        <f>SUM(E299:E299)</f>
        <v>15505</v>
      </c>
      <c r="F303" s="6">
        <f>SUM(F299:F299)</f>
        <v>0</v>
      </c>
      <c r="G303" s="6">
        <f>SUM(G299:G299)</f>
        <v>0</v>
      </c>
      <c r="H303" s="6">
        <f aca="true" t="shared" si="31" ref="H303:H309">SUM(D303:G303)</f>
        <v>15505</v>
      </c>
      <c r="I303" s="6">
        <f>SUM(I299:I302)</f>
        <v>0</v>
      </c>
      <c r="J303" s="6">
        <f>SUM(J299:J302)</f>
        <v>172239</v>
      </c>
      <c r="K303" s="6">
        <f>SUM(K299:K302)</f>
        <v>0</v>
      </c>
      <c r="L303" s="6">
        <f>SUM(L299:L302)</f>
        <v>0</v>
      </c>
      <c r="M303" s="6">
        <f t="shared" si="30"/>
        <v>172239</v>
      </c>
      <c r="N303" s="28">
        <f>M303/H303</f>
        <v>11.108610125765882</v>
      </c>
      <c r="O303" s="78"/>
    </row>
    <row r="304" spans="1:15" ht="13.5" customHeight="1">
      <c r="A304" s="75" t="s">
        <v>53</v>
      </c>
      <c r="B304" s="26"/>
      <c r="C304" s="24"/>
      <c r="D304" s="25">
        <f>SUM(D290,D280,D270,D284,D277,D295,D303)</f>
        <v>2063746</v>
      </c>
      <c r="E304" s="25">
        <f>SUM(E290,E280,E270,E284,E277,E295,E303)</f>
        <v>362576</v>
      </c>
      <c r="F304" s="25">
        <f>SUM(F290,F280,F270,F284,F277,F295,F303)</f>
        <v>0</v>
      </c>
      <c r="G304" s="25">
        <f>SUM(G290,G280,G270,G284,G277,G295,G303)</f>
        <v>0</v>
      </c>
      <c r="H304" s="25">
        <f t="shared" si="31"/>
        <v>2426322</v>
      </c>
      <c r="I304" s="25">
        <f>SUM(I303,I298,I295,I290,I284,I280,I277,I270)</f>
        <v>939141</v>
      </c>
      <c r="J304" s="25">
        <f>SUM(J303,J298,J295,J290,J284,J280,J277,J270)</f>
        <v>511292</v>
      </c>
      <c r="K304" s="25">
        <f>SUM(K303,K298,K295,K290,K284,K280,K277,K270)</f>
        <v>0</v>
      </c>
      <c r="L304" s="25">
        <f>SUM(L303,L298,L295,L290,L284,L280,L277,L270)</f>
        <v>0</v>
      </c>
      <c r="M304" s="25">
        <f t="shared" si="30"/>
        <v>1450433</v>
      </c>
      <c r="N304" s="30">
        <f>M304/H304</f>
        <v>0.5977908125961847</v>
      </c>
      <c r="O304" s="78"/>
    </row>
    <row r="305" spans="1:15" ht="18.75" customHeight="1">
      <c r="A305" s="114" t="s">
        <v>54</v>
      </c>
      <c r="B305" s="45" t="s">
        <v>228</v>
      </c>
      <c r="C305" s="18" t="s">
        <v>74</v>
      </c>
      <c r="D305" s="4"/>
      <c r="E305" s="4"/>
      <c r="F305" s="4"/>
      <c r="G305" s="4"/>
      <c r="H305" s="7">
        <f t="shared" si="31"/>
        <v>0</v>
      </c>
      <c r="I305" s="7">
        <v>118</v>
      </c>
      <c r="J305" s="7"/>
      <c r="K305" s="7"/>
      <c r="L305" s="7"/>
      <c r="M305" s="7">
        <f t="shared" si="30"/>
        <v>118</v>
      </c>
      <c r="N305" s="5"/>
      <c r="O305" s="78"/>
    </row>
    <row r="306" spans="1:15" ht="9" customHeight="1">
      <c r="A306" s="115"/>
      <c r="B306" s="46" t="s">
        <v>228</v>
      </c>
      <c r="C306" s="29"/>
      <c r="D306" s="6">
        <f>SUM(D305)</f>
        <v>0</v>
      </c>
      <c r="E306" s="6">
        <f>SUM(E305)</f>
        <v>0</v>
      </c>
      <c r="F306" s="6">
        <f>SUM(F305)</f>
        <v>0</v>
      </c>
      <c r="G306" s="6">
        <f>SUM(G305)</f>
        <v>0</v>
      </c>
      <c r="H306" s="6">
        <f t="shared" si="31"/>
        <v>0</v>
      </c>
      <c r="I306" s="6">
        <f>SUM(I305)</f>
        <v>118</v>
      </c>
      <c r="J306" s="6">
        <f>SUM(J305)</f>
        <v>0</v>
      </c>
      <c r="K306" s="6">
        <f>SUM(K305)</f>
        <v>0</v>
      </c>
      <c r="L306" s="6">
        <f>SUM(L305)</f>
        <v>0</v>
      </c>
      <c r="M306" s="6">
        <f t="shared" si="30"/>
        <v>118</v>
      </c>
      <c r="N306" s="28"/>
      <c r="O306" s="78"/>
    </row>
    <row r="307" spans="1:15" ht="19.5">
      <c r="A307" s="115"/>
      <c r="B307" s="45" t="s">
        <v>229</v>
      </c>
      <c r="C307" s="27" t="s">
        <v>194</v>
      </c>
      <c r="D307" s="4"/>
      <c r="E307" s="4"/>
      <c r="F307" s="4"/>
      <c r="G307" s="4"/>
      <c r="H307" s="7">
        <f t="shared" si="31"/>
        <v>0</v>
      </c>
      <c r="I307" s="7">
        <v>23091</v>
      </c>
      <c r="J307" s="7"/>
      <c r="K307" s="7"/>
      <c r="L307" s="7"/>
      <c r="M307" s="7">
        <f t="shared" si="30"/>
        <v>23091</v>
      </c>
      <c r="N307" s="5"/>
      <c r="O307" s="78"/>
    </row>
    <row r="308" spans="1:15" ht="9.75">
      <c r="A308" s="115"/>
      <c r="B308" s="46" t="s">
        <v>230</v>
      </c>
      <c r="C308" s="29"/>
      <c r="D308" s="6">
        <f>SUM(D307)</f>
        <v>0</v>
      </c>
      <c r="E308" s="6">
        <f>SUM(E307)</f>
        <v>0</v>
      </c>
      <c r="F308" s="6">
        <f>SUM(F307)</f>
        <v>0</v>
      </c>
      <c r="G308" s="6">
        <f>SUM(G307)</f>
        <v>0</v>
      </c>
      <c r="H308" s="6">
        <f t="shared" si="31"/>
        <v>0</v>
      </c>
      <c r="I308" s="6">
        <f>SUM(I307)</f>
        <v>23091</v>
      </c>
      <c r="J308" s="6">
        <f>SUM(J307)</f>
        <v>0</v>
      </c>
      <c r="K308" s="6">
        <f>SUM(K307)</f>
        <v>0</v>
      </c>
      <c r="L308" s="6">
        <f>SUM(L307)</f>
        <v>0</v>
      </c>
      <c r="M308" s="6">
        <f t="shared" si="30"/>
        <v>23091</v>
      </c>
      <c r="N308" s="28"/>
      <c r="O308" s="78"/>
    </row>
    <row r="309" spans="1:15" ht="48.75">
      <c r="A309" s="115"/>
      <c r="B309" s="129" t="s">
        <v>61</v>
      </c>
      <c r="C309" s="18" t="s">
        <v>104</v>
      </c>
      <c r="D309" s="4">
        <v>36690</v>
      </c>
      <c r="E309" s="4"/>
      <c r="F309" s="4"/>
      <c r="G309" s="4"/>
      <c r="H309" s="7">
        <f t="shared" si="31"/>
        <v>36690</v>
      </c>
      <c r="I309" s="7">
        <v>6115</v>
      </c>
      <c r="J309" s="7"/>
      <c r="K309" s="7"/>
      <c r="L309" s="7"/>
      <c r="M309" s="7">
        <f t="shared" si="30"/>
        <v>6115</v>
      </c>
      <c r="N309" s="5">
        <f>M309/H309</f>
        <v>0.16666666666666666</v>
      </c>
      <c r="O309" s="78"/>
    </row>
    <row r="310" spans="1:15" ht="9.75">
      <c r="A310" s="115"/>
      <c r="B310" s="129"/>
      <c r="C310" s="18" t="s">
        <v>72</v>
      </c>
      <c r="D310" s="4"/>
      <c r="E310" s="4"/>
      <c r="F310" s="4"/>
      <c r="G310" s="4"/>
      <c r="H310" s="7"/>
      <c r="I310" s="7">
        <v>5</v>
      </c>
      <c r="J310" s="7"/>
      <c r="K310" s="7"/>
      <c r="L310" s="7"/>
      <c r="M310" s="7">
        <f t="shared" si="30"/>
        <v>5</v>
      </c>
      <c r="N310" s="5"/>
      <c r="O310" s="78"/>
    </row>
    <row r="311" spans="1:15" ht="9.75">
      <c r="A311" s="115"/>
      <c r="B311" s="46" t="s">
        <v>184</v>
      </c>
      <c r="C311" s="29"/>
      <c r="D311" s="6">
        <f>SUM(D309)</f>
        <v>36690</v>
      </c>
      <c r="E311" s="6">
        <f>SUM(E309)</f>
        <v>0</v>
      </c>
      <c r="F311" s="6">
        <f>SUM(F309)</f>
        <v>0</v>
      </c>
      <c r="G311" s="6">
        <f>SUM(G309)</f>
        <v>0</v>
      </c>
      <c r="H311" s="6">
        <f>SUM(D311:G311)</f>
        <v>36690</v>
      </c>
      <c r="I311" s="6">
        <f>SUM(I309:I310)</f>
        <v>6120</v>
      </c>
      <c r="J311" s="6">
        <f>SUM(J309:J310)</f>
        <v>0</v>
      </c>
      <c r="K311" s="6">
        <f>SUM(K309:K310)</f>
        <v>0</v>
      </c>
      <c r="L311" s="6">
        <f>SUM(L309:L310)</f>
        <v>0</v>
      </c>
      <c r="M311" s="6">
        <f t="shared" si="30"/>
        <v>6120</v>
      </c>
      <c r="N311" s="28">
        <f>M311/H311</f>
        <v>0.1668029435813573</v>
      </c>
      <c r="O311" s="78"/>
    </row>
    <row r="312" spans="1:15" ht="48.75">
      <c r="A312" s="115"/>
      <c r="B312" s="129" t="s">
        <v>55</v>
      </c>
      <c r="C312" s="18" t="s">
        <v>102</v>
      </c>
      <c r="D312" s="4">
        <f>1741588-300000</f>
        <v>1441588</v>
      </c>
      <c r="E312" s="4"/>
      <c r="F312" s="4"/>
      <c r="G312" s="4"/>
      <c r="H312" s="7">
        <f>SUM(D312:G312)</f>
        <v>1441588</v>
      </c>
      <c r="I312" s="7">
        <v>1441588</v>
      </c>
      <c r="J312" s="7"/>
      <c r="K312" s="7"/>
      <c r="L312" s="7"/>
      <c r="M312" s="7">
        <f t="shared" si="30"/>
        <v>1441588</v>
      </c>
      <c r="N312" s="5">
        <f>M312/H312</f>
        <v>1</v>
      </c>
      <c r="O312" s="78"/>
    </row>
    <row r="313" spans="1:15" ht="39">
      <c r="A313" s="115"/>
      <c r="B313" s="129"/>
      <c r="C313" s="18" t="s">
        <v>79</v>
      </c>
      <c r="D313" s="4"/>
      <c r="E313" s="4"/>
      <c r="F313" s="4"/>
      <c r="G313" s="4"/>
      <c r="H313" s="7"/>
      <c r="I313" s="7">
        <v>-7411</v>
      </c>
      <c r="J313" s="7"/>
      <c r="K313" s="7"/>
      <c r="L313" s="7"/>
      <c r="M313" s="7">
        <f t="shared" si="30"/>
        <v>-7411</v>
      </c>
      <c r="N313" s="5"/>
      <c r="O313" s="78"/>
    </row>
    <row r="314" spans="1:15" ht="9.75">
      <c r="A314" s="125"/>
      <c r="B314" s="67" t="s">
        <v>185</v>
      </c>
      <c r="C314" s="34"/>
      <c r="D314" s="6">
        <f>SUM(D312)</f>
        <v>1441588</v>
      </c>
      <c r="E314" s="6">
        <f>SUM(E312)</f>
        <v>0</v>
      </c>
      <c r="F314" s="6">
        <f>SUM(F312)</f>
        <v>0</v>
      </c>
      <c r="G314" s="6">
        <f>SUM(G312)</f>
        <v>0</v>
      </c>
      <c r="H314" s="6">
        <f aca="true" t="shared" si="32" ref="H314:H319">SUM(D314:G314)</f>
        <v>1441588</v>
      </c>
      <c r="I314" s="6">
        <f>SUM(I312:I313)</f>
        <v>1434177</v>
      </c>
      <c r="J314" s="6">
        <f>SUM(J312:J313)</f>
        <v>0</v>
      </c>
      <c r="K314" s="6">
        <f>SUM(K312:K313)</f>
        <v>0</v>
      </c>
      <c r="L314" s="6">
        <f>SUM(L312:L313)</f>
        <v>0</v>
      </c>
      <c r="M314" s="6">
        <f t="shared" si="30"/>
        <v>1434177</v>
      </c>
      <c r="N314" s="28">
        <f aca="true" t="shared" si="33" ref="N314:N319">M314/H314</f>
        <v>0.9948591414467934</v>
      </c>
      <c r="O314" s="78"/>
    </row>
    <row r="315" spans="1:15" ht="11.25">
      <c r="A315" s="75" t="s">
        <v>56</v>
      </c>
      <c r="B315" s="36"/>
      <c r="C315" s="24"/>
      <c r="D315" s="25">
        <f>SUM(D314,D311)</f>
        <v>1478278</v>
      </c>
      <c r="E315" s="25">
        <f>SUM(E314,E311)</f>
        <v>0</v>
      </c>
      <c r="F315" s="25">
        <f>SUM(F314,F311)</f>
        <v>0</v>
      </c>
      <c r="G315" s="25">
        <f>SUM(G314,G311)</f>
        <v>0</v>
      </c>
      <c r="H315" s="25">
        <f t="shared" si="32"/>
        <v>1478278</v>
      </c>
      <c r="I315" s="25">
        <f>SUM(I314,I311,I308,I306)</f>
        <v>1463506</v>
      </c>
      <c r="J315" s="25">
        <f>SUM(J314,J311,J308,J306)</f>
        <v>0</v>
      </c>
      <c r="K315" s="25">
        <f>SUM(K314,K311,K308,K306)</f>
        <v>0</v>
      </c>
      <c r="L315" s="25">
        <f>SUM(L314,L311,L308,L306)</f>
        <v>0</v>
      </c>
      <c r="M315" s="25">
        <f t="shared" si="30"/>
        <v>1463506</v>
      </c>
      <c r="N315" s="30">
        <f t="shared" si="33"/>
        <v>0.9900072922684366</v>
      </c>
      <c r="O315" s="78"/>
    </row>
    <row r="316" spans="1:15" ht="39">
      <c r="A316" s="114" t="s">
        <v>231</v>
      </c>
      <c r="B316" s="66" t="s">
        <v>232</v>
      </c>
      <c r="C316" s="18" t="s">
        <v>216</v>
      </c>
      <c r="D316" s="4"/>
      <c r="E316" s="4"/>
      <c r="F316" s="4"/>
      <c r="G316" s="4"/>
      <c r="H316" s="7">
        <f t="shared" si="32"/>
        <v>0</v>
      </c>
      <c r="I316" s="7">
        <v>464</v>
      </c>
      <c r="J316" s="7"/>
      <c r="K316" s="7"/>
      <c r="L316" s="7"/>
      <c r="M316" s="7">
        <f t="shared" si="30"/>
        <v>464</v>
      </c>
      <c r="N316" s="5"/>
      <c r="O316" s="78"/>
    </row>
    <row r="317" spans="1:15" ht="9.75">
      <c r="A317" s="125"/>
      <c r="B317" s="67" t="s">
        <v>232</v>
      </c>
      <c r="C317" s="34"/>
      <c r="D317" s="6">
        <f>SUM(D316)</f>
        <v>0</v>
      </c>
      <c r="E317" s="6">
        <f>SUM(E316)</f>
        <v>0</v>
      </c>
      <c r="F317" s="6">
        <f>SUM(F316)</f>
        <v>0</v>
      </c>
      <c r="G317" s="6">
        <f>SUM(G316)</f>
        <v>0</v>
      </c>
      <c r="H317" s="6">
        <f t="shared" si="32"/>
        <v>0</v>
      </c>
      <c r="I317" s="6">
        <f>SUM(I316:I316)</f>
        <v>464</v>
      </c>
      <c r="J317" s="6">
        <f>SUM(J316:J316)</f>
        <v>0</v>
      </c>
      <c r="K317" s="6">
        <f>SUM(K316:K316)</f>
        <v>0</v>
      </c>
      <c r="L317" s="6">
        <f>SUM(L316:L316)</f>
        <v>0</v>
      </c>
      <c r="M317" s="6">
        <f t="shared" si="30"/>
        <v>464</v>
      </c>
      <c r="N317" s="28"/>
      <c r="O317" s="78"/>
    </row>
    <row r="318" spans="1:15" ht="11.25">
      <c r="A318" s="76" t="s">
        <v>231</v>
      </c>
      <c r="B318" s="36"/>
      <c r="C318" s="24"/>
      <c r="D318" s="25">
        <f>SUM(D317)</f>
        <v>0</v>
      </c>
      <c r="E318" s="25">
        <f>SUM(E317,E315)</f>
        <v>0</v>
      </c>
      <c r="F318" s="25">
        <f>SUM(F317,F315)</f>
        <v>0</v>
      </c>
      <c r="G318" s="25">
        <f>SUM(G317,G315)</f>
        <v>0</v>
      </c>
      <c r="H318" s="25">
        <f t="shared" si="32"/>
        <v>0</v>
      </c>
      <c r="I318" s="25">
        <f>SUM(I317)</f>
        <v>464</v>
      </c>
      <c r="J318" s="25">
        <f>SUM(J317)</f>
        <v>0</v>
      </c>
      <c r="K318" s="25">
        <f>SUM(K317)</f>
        <v>0</v>
      </c>
      <c r="L318" s="25">
        <f>SUM(L317)</f>
        <v>0</v>
      </c>
      <c r="M318" s="25">
        <f t="shared" si="30"/>
        <v>464</v>
      </c>
      <c r="N318" s="30"/>
      <c r="O318" s="78"/>
    </row>
    <row r="319" spans="1:15" ht="9.75">
      <c r="A319" s="114" t="s">
        <v>59</v>
      </c>
      <c r="B319" s="120" t="s">
        <v>67</v>
      </c>
      <c r="C319" s="18" t="s">
        <v>71</v>
      </c>
      <c r="D319" s="4">
        <v>100000</v>
      </c>
      <c r="E319" s="4"/>
      <c r="F319" s="4"/>
      <c r="G319" s="4"/>
      <c r="H319" s="7">
        <f t="shared" si="32"/>
        <v>100000</v>
      </c>
      <c r="I319" s="7">
        <v>82477</v>
      </c>
      <c r="J319" s="7"/>
      <c r="K319" s="7"/>
      <c r="L319" s="7"/>
      <c r="M319" s="7">
        <f t="shared" si="30"/>
        <v>82477</v>
      </c>
      <c r="N319" s="5">
        <f t="shared" si="33"/>
        <v>0.82477</v>
      </c>
      <c r="O319" s="78"/>
    </row>
    <row r="320" spans="1:15" ht="9.75">
      <c r="A320" s="115"/>
      <c r="B320" s="121"/>
      <c r="C320" s="18" t="s">
        <v>72</v>
      </c>
      <c r="D320" s="4"/>
      <c r="E320" s="4"/>
      <c r="F320" s="4"/>
      <c r="G320" s="4"/>
      <c r="H320" s="7"/>
      <c r="I320" s="7">
        <v>4</v>
      </c>
      <c r="J320" s="7"/>
      <c r="K320" s="7"/>
      <c r="L320" s="7"/>
      <c r="M320" s="7">
        <f t="shared" si="30"/>
        <v>4</v>
      </c>
      <c r="N320" s="5"/>
      <c r="O320" s="78"/>
    </row>
    <row r="321" spans="1:15" ht="9.75">
      <c r="A321" s="115"/>
      <c r="B321" s="122"/>
      <c r="C321" s="18" t="s">
        <v>74</v>
      </c>
      <c r="D321" s="4"/>
      <c r="E321" s="4"/>
      <c r="F321" s="4"/>
      <c r="G321" s="4"/>
      <c r="H321" s="7"/>
      <c r="I321" s="7">
        <v>162</v>
      </c>
      <c r="J321" s="7"/>
      <c r="K321" s="7"/>
      <c r="L321" s="7"/>
      <c r="M321" s="7">
        <f t="shared" si="30"/>
        <v>162</v>
      </c>
      <c r="N321" s="5"/>
      <c r="O321" s="78"/>
    </row>
    <row r="322" spans="1:15" ht="9.75">
      <c r="A322" s="125"/>
      <c r="B322" s="46" t="s">
        <v>186</v>
      </c>
      <c r="C322" s="29"/>
      <c r="D322" s="6">
        <f>SUM(D319)</f>
        <v>100000</v>
      </c>
      <c r="E322" s="6">
        <f>SUM(E319)</f>
        <v>0</v>
      </c>
      <c r="F322" s="6">
        <f>SUM(F319)</f>
        <v>0</v>
      </c>
      <c r="G322" s="6">
        <f>SUM(G319)</f>
        <v>0</v>
      </c>
      <c r="H322" s="6">
        <f>SUM(D322:G322)</f>
        <v>100000</v>
      </c>
      <c r="I322" s="6">
        <f>SUM(I319:I321)</f>
        <v>82643</v>
      </c>
      <c r="J322" s="6">
        <f>SUM(J319:J321)</f>
        <v>0</v>
      </c>
      <c r="K322" s="6">
        <f>SUM(K319:K321)</f>
        <v>0</v>
      </c>
      <c r="L322" s="6">
        <f>SUM(L319:L321)</f>
        <v>0</v>
      </c>
      <c r="M322" s="6">
        <f aca="true" t="shared" si="34" ref="M322:M328">SUM(I322:L322)</f>
        <v>82643</v>
      </c>
      <c r="N322" s="28">
        <f>M322/H322</f>
        <v>0.82643</v>
      </c>
      <c r="O322" s="78"/>
    </row>
    <row r="323" spans="1:15" ht="9.75">
      <c r="A323" s="114" t="s">
        <v>59</v>
      </c>
      <c r="B323" s="120" t="s">
        <v>233</v>
      </c>
      <c r="C323" s="18" t="s">
        <v>71</v>
      </c>
      <c r="D323" s="4">
        <v>100000</v>
      </c>
      <c r="E323" s="4"/>
      <c r="F323" s="4"/>
      <c r="G323" s="4"/>
      <c r="H323" s="7">
        <f>SUM(D323:G323)</f>
        <v>100000</v>
      </c>
      <c r="I323" s="7"/>
      <c r="J323" s="7"/>
      <c r="K323" s="7"/>
      <c r="L323" s="7"/>
      <c r="M323" s="7">
        <f t="shared" si="34"/>
        <v>0</v>
      </c>
      <c r="N323" s="5">
        <f>M323/H323</f>
        <v>0</v>
      </c>
      <c r="O323" s="78"/>
    </row>
    <row r="324" spans="1:15" ht="48.75">
      <c r="A324" s="115"/>
      <c r="B324" s="121"/>
      <c r="C324" s="18" t="s">
        <v>104</v>
      </c>
      <c r="D324" s="4"/>
      <c r="E324" s="4"/>
      <c r="F324" s="4"/>
      <c r="G324" s="4"/>
      <c r="H324" s="7"/>
      <c r="I324" s="7">
        <v>49212</v>
      </c>
      <c r="J324" s="7"/>
      <c r="K324" s="7"/>
      <c r="L324" s="7"/>
      <c r="M324" s="7">
        <f t="shared" si="34"/>
        <v>49212</v>
      </c>
      <c r="N324" s="5"/>
      <c r="O324" s="78"/>
    </row>
    <row r="325" spans="1:15" ht="9.75">
      <c r="A325" s="115"/>
      <c r="B325" s="27"/>
      <c r="C325" s="18" t="s">
        <v>72</v>
      </c>
      <c r="D325" s="4"/>
      <c r="E325" s="4"/>
      <c r="F325" s="4"/>
      <c r="G325" s="4"/>
      <c r="H325" s="7"/>
      <c r="I325" s="7">
        <v>3695</v>
      </c>
      <c r="J325" s="7"/>
      <c r="K325" s="7"/>
      <c r="L325" s="7"/>
      <c r="M325" s="7">
        <f t="shared" si="34"/>
        <v>3695</v>
      </c>
      <c r="N325" s="5"/>
      <c r="O325" s="78"/>
    </row>
    <row r="326" spans="1:15" ht="9.75">
      <c r="A326" s="115"/>
      <c r="B326" s="27"/>
      <c r="C326" s="18" t="s">
        <v>74</v>
      </c>
      <c r="D326" s="4"/>
      <c r="E326" s="4"/>
      <c r="F326" s="4"/>
      <c r="G326" s="4"/>
      <c r="H326" s="7"/>
      <c r="I326" s="7">
        <v>75</v>
      </c>
      <c r="J326" s="7"/>
      <c r="K326" s="7"/>
      <c r="L326" s="7"/>
      <c r="M326" s="7">
        <f t="shared" si="34"/>
        <v>75</v>
      </c>
      <c r="N326" s="5"/>
      <c r="O326" s="78"/>
    </row>
    <row r="327" spans="1:15" ht="19.5">
      <c r="A327" s="115"/>
      <c r="B327" s="17"/>
      <c r="C327" s="18" t="s">
        <v>204</v>
      </c>
      <c r="D327" s="4"/>
      <c r="E327" s="4"/>
      <c r="F327" s="4"/>
      <c r="G327" s="4"/>
      <c r="H327" s="7"/>
      <c r="I327" s="7">
        <v>18332</v>
      </c>
      <c r="J327" s="7"/>
      <c r="K327" s="7"/>
      <c r="L327" s="7"/>
      <c r="M327" s="7">
        <f t="shared" si="34"/>
        <v>18332</v>
      </c>
      <c r="N327" s="5"/>
      <c r="O327" s="78"/>
    </row>
    <row r="328" spans="1:15" ht="9.75">
      <c r="A328" s="125"/>
      <c r="B328" s="46" t="s">
        <v>234</v>
      </c>
      <c r="C328" s="29"/>
      <c r="D328" s="6">
        <f>SUM(D323)</f>
        <v>100000</v>
      </c>
      <c r="E328" s="6">
        <f>SUM(E323)</f>
        <v>0</v>
      </c>
      <c r="F328" s="6">
        <f>SUM(F323)</f>
        <v>0</v>
      </c>
      <c r="G328" s="6">
        <f>SUM(G323)</f>
        <v>0</v>
      </c>
      <c r="H328" s="6">
        <f>SUM(D328:G328)</f>
        <v>100000</v>
      </c>
      <c r="I328" s="6">
        <f>SUM(I323:I327)</f>
        <v>71314</v>
      </c>
      <c r="J328" s="6">
        <f>SUM(J323:J327)</f>
        <v>0</v>
      </c>
      <c r="K328" s="6">
        <f>SUM(K323:K327)</f>
        <v>0</v>
      </c>
      <c r="L328" s="6">
        <f>SUM(L323:L327)</f>
        <v>0</v>
      </c>
      <c r="M328" s="6">
        <f t="shared" si="34"/>
        <v>71314</v>
      </c>
      <c r="N328" s="28">
        <f>M328/H328</f>
        <v>0.71314</v>
      </c>
      <c r="O328" s="78"/>
    </row>
    <row r="329" spans="1:15" ht="11.25">
      <c r="A329" s="75" t="s">
        <v>60</v>
      </c>
      <c r="B329" s="41"/>
      <c r="C329" s="42"/>
      <c r="D329" s="25">
        <f>SUM(D322)</f>
        <v>100000</v>
      </c>
      <c r="E329" s="25">
        <f>SUM(E322)</f>
        <v>0</v>
      </c>
      <c r="F329" s="25">
        <f>SUM(F322)</f>
        <v>0</v>
      </c>
      <c r="G329" s="25">
        <f>SUM(G322)</f>
        <v>0</v>
      </c>
      <c r="H329" s="25">
        <f>SUM(D329:G329)</f>
        <v>100000</v>
      </c>
      <c r="I329" s="25">
        <f>SUM(I322,I328)</f>
        <v>153957</v>
      </c>
      <c r="J329" s="25">
        <f>SUM(J322,J328)</f>
        <v>0</v>
      </c>
      <c r="K329" s="25">
        <f>SUM(K322,K328)</f>
        <v>0</v>
      </c>
      <c r="L329" s="25">
        <f>SUM(L322,L328)</f>
        <v>0</v>
      </c>
      <c r="M329" s="25">
        <f>SUM(M322,M328)</f>
        <v>153957</v>
      </c>
      <c r="N329" s="30">
        <f>M329/H329</f>
        <v>1.53957</v>
      </c>
      <c r="O329" s="78"/>
    </row>
    <row r="330" spans="1:15" ht="11.25">
      <c r="A330" s="77" t="s">
        <v>7</v>
      </c>
      <c r="B330" s="43"/>
      <c r="C330" s="44"/>
      <c r="D330" s="12">
        <f>SUM(D23,D37,D58,D78,D81,D90,D125,D136,D193,D209,D252,D265,D304,D315,D318,D329)</f>
        <v>455114006</v>
      </c>
      <c r="E330" s="12">
        <f aca="true" t="shared" si="35" ref="E330:M330">SUM(E23,E37,E58,E78,E81,E90,E125,E136,E193,E209,E252,E265,E304,E315,E318,E329)</f>
        <v>125266947</v>
      </c>
      <c r="F330" s="12">
        <f t="shared" si="35"/>
        <v>39688810</v>
      </c>
      <c r="G330" s="12">
        <f t="shared" si="35"/>
        <v>11376500</v>
      </c>
      <c r="H330" s="12">
        <f t="shared" si="35"/>
        <v>631446263</v>
      </c>
      <c r="I330" s="12">
        <f t="shared" si="35"/>
        <v>124620596</v>
      </c>
      <c r="J330" s="12">
        <f t="shared" si="35"/>
        <v>36399251</v>
      </c>
      <c r="K330" s="12">
        <f t="shared" si="35"/>
        <v>9670388</v>
      </c>
      <c r="L330" s="12">
        <f t="shared" si="35"/>
        <v>3428894</v>
      </c>
      <c r="M330" s="12">
        <f t="shared" si="35"/>
        <v>174119129</v>
      </c>
      <c r="N330" s="5">
        <f>M330/H330</f>
        <v>0.275746550740138</v>
      </c>
      <c r="O330" s="78"/>
    </row>
    <row r="331" ht="9.75" hidden="1"/>
    <row r="332" ht="6" customHeight="1">
      <c r="D332" s="32"/>
    </row>
    <row r="333" spans="3:13" ht="22.5">
      <c r="C333" s="52" t="s">
        <v>238</v>
      </c>
      <c r="D333" s="57" t="s">
        <v>246</v>
      </c>
      <c r="E333" s="57" t="s">
        <v>239</v>
      </c>
      <c r="F333" s="57" t="s">
        <v>240</v>
      </c>
      <c r="M333" s="84">
        <v>173783999</v>
      </c>
    </row>
    <row r="334" spans="3:13" ht="12">
      <c r="C334" s="58" t="s">
        <v>241</v>
      </c>
      <c r="D334" s="12">
        <f>SUM(D335:D337)</f>
        <v>84753193</v>
      </c>
      <c r="E334" s="12">
        <f>SUM(E335:E337)</f>
        <v>36272</v>
      </c>
      <c r="F334" s="59">
        <f>E334/D334*100</f>
        <v>0.042797207652105804</v>
      </c>
      <c r="M334" s="85">
        <f>M330-M333</f>
        <v>335130</v>
      </c>
    </row>
    <row r="335" spans="3:6" ht="11.25">
      <c r="C335" s="60" t="s">
        <v>242</v>
      </c>
      <c r="D335" s="61">
        <v>14753193</v>
      </c>
      <c r="E335" s="61"/>
      <c r="F335" s="59">
        <f>E335/D335*100</f>
        <v>0</v>
      </c>
    </row>
    <row r="336" spans="3:6" ht="11.25">
      <c r="C336" s="60" t="s">
        <v>243</v>
      </c>
      <c r="D336" s="61">
        <v>70000000</v>
      </c>
      <c r="E336" s="61"/>
      <c r="F336" s="59">
        <f>E336/D336*100</f>
        <v>0</v>
      </c>
    </row>
    <row r="337" spans="3:6" ht="11.25">
      <c r="C337" s="60" t="s">
        <v>244</v>
      </c>
      <c r="D337" s="61"/>
      <c r="E337" s="61">
        <v>36272</v>
      </c>
      <c r="F337" s="59"/>
    </row>
    <row r="338" spans="3:6" ht="12">
      <c r="C338" s="58" t="s">
        <v>245</v>
      </c>
      <c r="D338" s="12">
        <f>SUM(H330,D334)</f>
        <v>716199456</v>
      </c>
      <c r="E338" s="12">
        <f>SUM(E334,M330)</f>
        <v>174155401</v>
      </c>
      <c r="F338" s="59">
        <f>E338/D338*100</f>
        <v>24.31660615503176</v>
      </c>
    </row>
  </sheetData>
  <mergeCells count="68">
    <mergeCell ref="B63:B64"/>
    <mergeCell ref="A266:A284"/>
    <mergeCell ref="A285:A290"/>
    <mergeCell ref="A305:A314"/>
    <mergeCell ref="B215:B219"/>
    <mergeCell ref="B238:B239"/>
    <mergeCell ref="B241:B242"/>
    <mergeCell ref="B228:B230"/>
    <mergeCell ref="B234:B236"/>
    <mergeCell ref="A79:A80"/>
    <mergeCell ref="B34:B35"/>
    <mergeCell ref="B49:B51"/>
    <mergeCell ref="B73:B76"/>
    <mergeCell ref="B225:B226"/>
    <mergeCell ref="B221:B223"/>
    <mergeCell ref="B210:B211"/>
    <mergeCell ref="B194:B195"/>
    <mergeCell ref="B199:B200"/>
    <mergeCell ref="B204:B205"/>
    <mergeCell ref="B45:B47"/>
    <mergeCell ref="B149:B152"/>
    <mergeCell ref="B87:B88"/>
    <mergeCell ref="B130:B132"/>
    <mergeCell ref="B101:B112"/>
    <mergeCell ref="B114:B117"/>
    <mergeCell ref="B119:B120"/>
    <mergeCell ref="B122:B123"/>
    <mergeCell ref="B168:B175"/>
    <mergeCell ref="B177:B180"/>
    <mergeCell ref="A1:N1"/>
    <mergeCell ref="A4:A7"/>
    <mergeCell ref="I2:M2"/>
    <mergeCell ref="D2:H2"/>
    <mergeCell ref="B4:B8"/>
    <mergeCell ref="B11:B17"/>
    <mergeCell ref="B19:B21"/>
    <mergeCell ref="B137:B142"/>
    <mergeCell ref="B244:B247"/>
    <mergeCell ref="B249:B250"/>
    <mergeCell ref="A253:A264"/>
    <mergeCell ref="B253:B254"/>
    <mergeCell ref="B258:B259"/>
    <mergeCell ref="B261:B263"/>
    <mergeCell ref="B266:B269"/>
    <mergeCell ref="B291:B294"/>
    <mergeCell ref="B271:B276"/>
    <mergeCell ref="B278:B279"/>
    <mergeCell ref="B281:B283"/>
    <mergeCell ref="B285:B289"/>
    <mergeCell ref="B296:B297"/>
    <mergeCell ref="B299:B302"/>
    <mergeCell ref="B309:B310"/>
    <mergeCell ref="B312:B313"/>
    <mergeCell ref="A316:A317"/>
    <mergeCell ref="B319:B321"/>
    <mergeCell ref="A319:A322"/>
    <mergeCell ref="A323:A328"/>
    <mergeCell ref="B323:B324"/>
    <mergeCell ref="A210:A213"/>
    <mergeCell ref="A82:A89"/>
    <mergeCell ref="B82:B85"/>
    <mergeCell ref="B144:B147"/>
    <mergeCell ref="B161:B166"/>
    <mergeCell ref="A91:A99"/>
    <mergeCell ref="B91:B92"/>
    <mergeCell ref="B94:B99"/>
    <mergeCell ref="B184:B187"/>
    <mergeCell ref="B154:B159"/>
  </mergeCells>
  <printOptions/>
  <pageMargins left="0.39" right="0.14" top="0.3" bottom="0.4724409448818898" header="0.18" footer="0.31496062992125984"/>
  <pageSetup horizontalDpi="300" verticalDpi="300" orientation="landscape" paperSize="9" r:id="rId1"/>
  <headerFooter alignWithMargins="0">
    <oddFooter>&amp;C&amp;P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6"/>
  <sheetViews>
    <sheetView workbookViewId="0" topLeftCell="A1">
      <pane xSplit="3" ySplit="3" topLeftCell="D3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42" sqref="D342"/>
    </sheetView>
  </sheetViews>
  <sheetFormatPr defaultColWidth="9.140625" defaultRowHeight="12"/>
  <cols>
    <col min="1" max="1" width="15.8515625" style="16" customWidth="1"/>
    <col min="2" max="2" width="21.00390625" style="16" customWidth="1"/>
    <col min="3" max="3" width="31.00390625" style="16" customWidth="1"/>
    <col min="4" max="4" width="10.8515625" style="11" customWidth="1"/>
    <col min="5" max="5" width="11.00390625" style="11" customWidth="1"/>
    <col min="6" max="6" width="10.00390625" style="11" customWidth="1"/>
    <col min="7" max="7" width="10.28125" style="11" customWidth="1"/>
    <col min="8" max="8" width="11.00390625" style="11" customWidth="1"/>
    <col min="9" max="9" width="11.140625" style="11" customWidth="1"/>
    <col min="10" max="10" width="9.8515625" style="11" customWidth="1"/>
    <col min="11" max="11" width="10.28125" style="11" customWidth="1"/>
    <col min="12" max="12" width="8.8515625" style="11" customWidth="1"/>
    <col min="13" max="13" width="10.8515625" style="11" customWidth="1"/>
    <col min="14" max="14" width="8.140625" style="11" customWidth="1"/>
    <col min="15" max="15" width="15.421875" style="1" customWidth="1"/>
    <col min="16" max="16384" width="9.28125" style="1" customWidth="1"/>
  </cols>
  <sheetData>
    <row r="1" spans="1:16" ht="41.25" customHeight="1">
      <c r="A1" s="133" t="s">
        <v>248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P1" s="10"/>
    </row>
    <row r="2" spans="1:15" ht="9.75">
      <c r="A2" s="14"/>
      <c r="B2" s="14"/>
      <c r="C2" s="15"/>
      <c r="D2" s="136" t="s">
        <v>187</v>
      </c>
      <c r="E2" s="137"/>
      <c r="F2" s="137"/>
      <c r="G2" s="137"/>
      <c r="H2" s="138"/>
      <c r="I2" s="136" t="s">
        <v>247</v>
      </c>
      <c r="J2" s="137"/>
      <c r="K2" s="137"/>
      <c r="L2" s="137"/>
      <c r="M2" s="138"/>
      <c r="N2" s="83"/>
      <c r="O2" s="78"/>
    </row>
    <row r="3" spans="1:15" s="3" customFormat="1" ht="29.25">
      <c r="A3" s="70" t="s">
        <v>0</v>
      </c>
      <c r="B3" s="20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57</v>
      </c>
      <c r="O3" s="79"/>
    </row>
    <row r="4" spans="1:15" ht="9.75">
      <c r="A4" s="134" t="s">
        <v>64</v>
      </c>
      <c r="B4" s="124" t="s">
        <v>113</v>
      </c>
      <c r="C4" s="17" t="s">
        <v>71</v>
      </c>
      <c r="D4" s="4">
        <v>7000</v>
      </c>
      <c r="E4" s="4"/>
      <c r="F4" s="4"/>
      <c r="G4" s="4"/>
      <c r="H4" s="7">
        <f aca="true" t="shared" si="0" ref="H4:H12">SUM(D4:G4)</f>
        <v>7000</v>
      </c>
      <c r="I4" s="7">
        <v>6383</v>
      </c>
      <c r="J4" s="7"/>
      <c r="K4" s="7"/>
      <c r="L4" s="7"/>
      <c r="M4" s="7">
        <f aca="true" t="shared" si="1" ref="M4:M36">SUM(I4:L4)</f>
        <v>6383</v>
      </c>
      <c r="N4" s="5">
        <f aca="true" t="shared" si="2" ref="N4:N12">M4/H4</f>
        <v>0.9118571428571428</v>
      </c>
      <c r="O4" s="78"/>
    </row>
    <row r="5" spans="1:15" ht="58.5">
      <c r="A5" s="134"/>
      <c r="B5" s="124"/>
      <c r="C5" s="18" t="s">
        <v>104</v>
      </c>
      <c r="D5" s="4">
        <v>26220</v>
      </c>
      <c r="E5" s="4"/>
      <c r="F5" s="4"/>
      <c r="G5" s="4"/>
      <c r="H5" s="7">
        <f t="shared" si="0"/>
        <v>26220</v>
      </c>
      <c r="I5" s="7">
        <v>6555</v>
      </c>
      <c r="J5" s="7"/>
      <c r="K5" s="7"/>
      <c r="L5" s="7"/>
      <c r="M5" s="7">
        <f t="shared" si="1"/>
        <v>6555</v>
      </c>
      <c r="N5" s="5">
        <f t="shared" si="2"/>
        <v>0.25</v>
      </c>
      <c r="O5" s="78"/>
    </row>
    <row r="6" spans="1:15" ht="9.75">
      <c r="A6" s="134"/>
      <c r="B6" s="124"/>
      <c r="C6" s="18" t="s">
        <v>76</v>
      </c>
      <c r="D6" s="4">
        <v>66486450</v>
      </c>
      <c r="E6" s="4"/>
      <c r="F6" s="4"/>
      <c r="G6" s="4"/>
      <c r="H6" s="7">
        <f t="shared" si="0"/>
        <v>66486450</v>
      </c>
      <c r="I6" s="7">
        <v>21176367</v>
      </c>
      <c r="J6" s="7"/>
      <c r="K6" s="7"/>
      <c r="L6" s="7"/>
      <c r="M6" s="7">
        <f t="shared" si="1"/>
        <v>21176367</v>
      </c>
      <c r="N6" s="5">
        <f t="shared" si="2"/>
        <v>0.31850650771698596</v>
      </c>
      <c r="O6" s="78"/>
    </row>
    <row r="7" spans="1:15" ht="9.75">
      <c r="A7" s="135"/>
      <c r="B7" s="124"/>
      <c r="C7" s="18" t="s">
        <v>72</v>
      </c>
      <c r="D7" s="4">
        <f>42200-26220</f>
        <v>15980</v>
      </c>
      <c r="E7" s="4"/>
      <c r="F7" s="4"/>
      <c r="G7" s="4"/>
      <c r="H7" s="7">
        <f t="shared" si="0"/>
        <v>15980</v>
      </c>
      <c r="I7" s="7">
        <v>23820</v>
      </c>
      <c r="J7" s="9"/>
      <c r="K7" s="9"/>
      <c r="L7" s="9"/>
      <c r="M7" s="7">
        <f t="shared" si="1"/>
        <v>23820</v>
      </c>
      <c r="N7" s="5">
        <f t="shared" si="2"/>
        <v>1.490613266583229</v>
      </c>
      <c r="O7" s="78"/>
    </row>
    <row r="8" spans="1:15" ht="9.75">
      <c r="A8" s="68"/>
      <c r="B8" s="124"/>
      <c r="C8" s="22" t="s">
        <v>74</v>
      </c>
      <c r="D8" s="4">
        <v>131350</v>
      </c>
      <c r="E8" s="4"/>
      <c r="F8" s="4"/>
      <c r="G8" s="4"/>
      <c r="H8" s="7">
        <f t="shared" si="0"/>
        <v>131350</v>
      </c>
      <c r="I8" s="7">
        <v>49364</v>
      </c>
      <c r="J8" s="13"/>
      <c r="K8" s="13"/>
      <c r="L8" s="13"/>
      <c r="M8" s="7">
        <f t="shared" si="1"/>
        <v>49364</v>
      </c>
      <c r="N8" s="5">
        <f t="shared" si="2"/>
        <v>0.3758203273696231</v>
      </c>
      <c r="O8" s="78"/>
    </row>
    <row r="9" spans="1:15" ht="39">
      <c r="A9" s="68"/>
      <c r="B9" s="17"/>
      <c r="C9" s="22" t="s">
        <v>235</v>
      </c>
      <c r="D9" s="4">
        <v>3403217</v>
      </c>
      <c r="E9" s="4"/>
      <c r="F9" s="4"/>
      <c r="G9" s="4"/>
      <c r="H9" s="7">
        <f t="shared" si="0"/>
        <v>3403217</v>
      </c>
      <c r="I9" s="7">
        <v>805344</v>
      </c>
      <c r="J9" s="13"/>
      <c r="K9" s="13"/>
      <c r="L9" s="13"/>
      <c r="M9" s="7">
        <f t="shared" si="1"/>
        <v>805344</v>
      </c>
      <c r="N9" s="5">
        <f t="shared" si="2"/>
        <v>0.2366419772820834</v>
      </c>
      <c r="O9" s="78"/>
    </row>
    <row r="10" spans="1:15" ht="9.75">
      <c r="A10" s="68"/>
      <c r="B10" s="29" t="s">
        <v>114</v>
      </c>
      <c r="C10" s="29"/>
      <c r="D10" s="6">
        <f>SUM(D4:D9)</f>
        <v>70070217</v>
      </c>
      <c r="E10" s="6">
        <f>SUM(E4:E9)</f>
        <v>0</v>
      </c>
      <c r="F10" s="6">
        <f>SUM(F4:F9)</f>
        <v>0</v>
      </c>
      <c r="G10" s="6">
        <f>SUM(G4:G9)</f>
        <v>0</v>
      </c>
      <c r="H10" s="6">
        <f t="shared" si="0"/>
        <v>70070217</v>
      </c>
      <c r="I10" s="6">
        <f>SUM(I4:I9)</f>
        <v>22067833</v>
      </c>
      <c r="J10" s="6">
        <f>SUM(J4:J9)</f>
        <v>0</v>
      </c>
      <c r="K10" s="6">
        <f>SUM(K4:K9)</f>
        <v>0</v>
      </c>
      <c r="L10" s="6">
        <f>SUM(L4:L9)</f>
        <v>0</v>
      </c>
      <c r="M10" s="6">
        <f t="shared" si="1"/>
        <v>22067833</v>
      </c>
      <c r="N10" s="28">
        <f t="shared" si="2"/>
        <v>0.3149388419904565</v>
      </c>
      <c r="O10" s="78"/>
    </row>
    <row r="11" spans="1:15" s="10" customFormat="1" ht="9.75">
      <c r="A11" s="69"/>
      <c r="B11" s="120" t="s">
        <v>115</v>
      </c>
      <c r="C11" s="17" t="s">
        <v>71</v>
      </c>
      <c r="D11" s="13"/>
      <c r="E11" s="7">
        <v>780000</v>
      </c>
      <c r="F11" s="13"/>
      <c r="G11" s="13"/>
      <c r="H11" s="7">
        <f t="shared" si="0"/>
        <v>780000</v>
      </c>
      <c r="I11" s="7">
        <v>119824</v>
      </c>
      <c r="J11" s="13">
        <v>107658</v>
      </c>
      <c r="K11" s="13"/>
      <c r="L11" s="13"/>
      <c r="M11" s="7">
        <f t="shared" si="1"/>
        <v>227482</v>
      </c>
      <c r="N11" s="5">
        <f t="shared" si="2"/>
        <v>0.2916435897435897</v>
      </c>
      <c r="O11" s="80"/>
    </row>
    <row r="12" spans="1:15" s="10" customFormat="1" ht="58.5">
      <c r="A12" s="69"/>
      <c r="B12" s="121"/>
      <c r="C12" s="18" t="s">
        <v>104</v>
      </c>
      <c r="D12" s="13"/>
      <c r="E12" s="7">
        <v>80000</v>
      </c>
      <c r="F12" s="13"/>
      <c r="G12" s="13"/>
      <c r="H12" s="7">
        <f t="shared" si="0"/>
        <v>80000</v>
      </c>
      <c r="I12" s="7">
        <v>15800</v>
      </c>
      <c r="J12" s="13"/>
      <c r="K12" s="13"/>
      <c r="L12" s="13"/>
      <c r="M12" s="7">
        <f t="shared" si="1"/>
        <v>15800</v>
      </c>
      <c r="N12" s="5">
        <f t="shared" si="2"/>
        <v>0.1975</v>
      </c>
      <c r="O12" s="80"/>
    </row>
    <row r="13" spans="1:15" s="10" customFormat="1" ht="9.75">
      <c r="A13" s="69"/>
      <c r="B13" s="121"/>
      <c r="C13" s="18" t="s">
        <v>72</v>
      </c>
      <c r="D13" s="13"/>
      <c r="E13" s="7"/>
      <c r="F13" s="13"/>
      <c r="G13" s="13"/>
      <c r="H13" s="7"/>
      <c r="I13" s="7">
        <v>4477</v>
      </c>
      <c r="J13" s="13">
        <v>179</v>
      </c>
      <c r="K13" s="13"/>
      <c r="L13" s="13"/>
      <c r="M13" s="7">
        <f t="shared" si="1"/>
        <v>4656</v>
      </c>
      <c r="N13" s="5"/>
      <c r="O13" s="80"/>
    </row>
    <row r="14" spans="1:15" s="10" customFormat="1" ht="9.75">
      <c r="A14" s="69"/>
      <c r="B14" s="121"/>
      <c r="C14" s="18" t="s">
        <v>74</v>
      </c>
      <c r="D14" s="13"/>
      <c r="E14" s="7">
        <v>40000</v>
      </c>
      <c r="F14" s="13"/>
      <c r="G14" s="13"/>
      <c r="H14" s="7">
        <f aca="true" t="shared" si="3" ref="H14:H31">SUM(D14:G14)</f>
        <v>40000</v>
      </c>
      <c r="I14" s="7">
        <v>21116</v>
      </c>
      <c r="J14" s="13">
        <v>11456</v>
      </c>
      <c r="K14" s="13"/>
      <c r="L14" s="13"/>
      <c r="M14" s="7">
        <f t="shared" si="1"/>
        <v>32572</v>
      </c>
      <c r="N14" s="5">
        <f aca="true" t="shared" si="4" ref="N14:N19">M14/H14</f>
        <v>0.8143</v>
      </c>
      <c r="O14" s="80"/>
    </row>
    <row r="15" spans="1:15" s="10" customFormat="1" ht="19.5">
      <c r="A15" s="69"/>
      <c r="B15" s="121"/>
      <c r="C15" s="17" t="s">
        <v>204</v>
      </c>
      <c r="D15" s="13"/>
      <c r="E15" s="7">
        <v>417392</v>
      </c>
      <c r="F15" s="13"/>
      <c r="G15" s="13"/>
      <c r="H15" s="7">
        <f t="shared" si="3"/>
        <v>417392</v>
      </c>
      <c r="I15" s="7">
        <v>417392</v>
      </c>
      <c r="J15" s="13"/>
      <c r="K15" s="13"/>
      <c r="L15" s="13"/>
      <c r="M15" s="7">
        <f t="shared" si="1"/>
        <v>417392</v>
      </c>
      <c r="N15" s="5">
        <f t="shared" si="4"/>
        <v>1</v>
      </c>
      <c r="O15" s="80"/>
    </row>
    <row r="16" spans="1:15" ht="48.75">
      <c r="A16" s="68"/>
      <c r="B16" s="121"/>
      <c r="C16" s="17" t="s">
        <v>70</v>
      </c>
      <c r="D16" s="4"/>
      <c r="E16" s="4">
        <v>186234</v>
      </c>
      <c r="F16" s="4"/>
      <c r="G16" s="4"/>
      <c r="H16" s="7">
        <f t="shared" si="3"/>
        <v>186234</v>
      </c>
      <c r="I16" s="62"/>
      <c r="J16" s="7">
        <v>1108</v>
      </c>
      <c r="K16" s="9"/>
      <c r="L16" s="9"/>
      <c r="M16" s="7">
        <f t="shared" si="1"/>
        <v>1108</v>
      </c>
      <c r="N16" s="5">
        <f t="shared" si="4"/>
        <v>0.005949504386954047</v>
      </c>
      <c r="O16" s="78"/>
    </row>
    <row r="17" spans="1:15" ht="48.75">
      <c r="A17" s="68"/>
      <c r="B17" s="122"/>
      <c r="C17" s="22" t="s">
        <v>79</v>
      </c>
      <c r="D17" s="4"/>
      <c r="E17" s="4">
        <v>10250000</v>
      </c>
      <c r="F17" s="4"/>
      <c r="G17" s="4"/>
      <c r="H17" s="7">
        <f t="shared" si="3"/>
        <v>10250000</v>
      </c>
      <c r="I17" s="7"/>
      <c r="J17" s="13"/>
      <c r="K17" s="13"/>
      <c r="L17" s="13"/>
      <c r="M17" s="7">
        <f t="shared" si="1"/>
        <v>0</v>
      </c>
      <c r="N17" s="5">
        <f t="shared" si="4"/>
        <v>0</v>
      </c>
      <c r="O17" s="78"/>
    </row>
    <row r="18" spans="1:15" ht="9.75">
      <c r="A18" s="68"/>
      <c r="B18" s="29" t="s">
        <v>116</v>
      </c>
      <c r="C18" s="29"/>
      <c r="D18" s="6">
        <f>SUM(D11:D17)</f>
        <v>0</v>
      </c>
      <c r="E18" s="6">
        <f>SUM(E11:E17)</f>
        <v>11753626</v>
      </c>
      <c r="F18" s="6">
        <f>SUM(F11:F17)</f>
        <v>0</v>
      </c>
      <c r="G18" s="6">
        <f>SUM(G11:G17)</f>
        <v>0</v>
      </c>
      <c r="H18" s="6">
        <f t="shared" si="3"/>
        <v>11753626</v>
      </c>
      <c r="I18" s="6">
        <f>SUM(I11:I17)</f>
        <v>578609</v>
      </c>
      <c r="J18" s="6">
        <f>SUM(J11:J17)</f>
        <v>120401</v>
      </c>
      <c r="K18" s="6">
        <f>SUM(K11:K17)</f>
        <v>0</v>
      </c>
      <c r="L18" s="6">
        <f>SUM(L11:L17)</f>
        <v>0</v>
      </c>
      <c r="M18" s="6">
        <f t="shared" si="1"/>
        <v>699010</v>
      </c>
      <c r="N18" s="28">
        <f t="shared" si="4"/>
        <v>0.059471860003032256</v>
      </c>
      <c r="O18" s="78"/>
    </row>
    <row r="19" spans="1:15" ht="9.75">
      <c r="A19" s="68"/>
      <c r="B19" s="120" t="s">
        <v>66</v>
      </c>
      <c r="C19" s="18" t="s">
        <v>71</v>
      </c>
      <c r="D19" s="4">
        <v>100000</v>
      </c>
      <c r="E19" s="4"/>
      <c r="F19" s="4"/>
      <c r="G19" s="4"/>
      <c r="H19" s="7">
        <f t="shared" si="3"/>
        <v>100000</v>
      </c>
      <c r="I19" s="7">
        <v>18189</v>
      </c>
      <c r="J19" s="7"/>
      <c r="K19" s="7"/>
      <c r="L19" s="7"/>
      <c r="M19" s="7">
        <f t="shared" si="1"/>
        <v>18189</v>
      </c>
      <c r="N19" s="5">
        <f t="shared" si="4"/>
        <v>0.18189</v>
      </c>
      <c r="O19" s="78"/>
    </row>
    <row r="20" spans="1:15" ht="9.75">
      <c r="A20" s="68"/>
      <c r="B20" s="121"/>
      <c r="C20" s="18" t="s">
        <v>74</v>
      </c>
      <c r="D20" s="4"/>
      <c r="E20" s="4"/>
      <c r="F20" s="4"/>
      <c r="G20" s="4"/>
      <c r="H20" s="7">
        <f t="shared" si="3"/>
        <v>0</v>
      </c>
      <c r="I20" s="7">
        <v>4791</v>
      </c>
      <c r="J20" s="7"/>
      <c r="K20" s="7"/>
      <c r="L20" s="7"/>
      <c r="M20" s="7">
        <f t="shared" si="1"/>
        <v>4791</v>
      </c>
      <c r="N20" s="5"/>
      <c r="O20" s="78"/>
    </row>
    <row r="21" spans="1:15" ht="48.75">
      <c r="A21" s="68"/>
      <c r="B21" s="121"/>
      <c r="C21" s="17" t="s">
        <v>70</v>
      </c>
      <c r="D21" s="4"/>
      <c r="E21" s="4"/>
      <c r="F21" s="4"/>
      <c r="G21" s="4"/>
      <c r="H21" s="7">
        <f t="shared" si="3"/>
        <v>0</v>
      </c>
      <c r="I21" s="7"/>
      <c r="J21" s="7">
        <v>3092</v>
      </c>
      <c r="K21" s="7"/>
      <c r="L21" s="7"/>
      <c r="M21" s="7">
        <f t="shared" si="1"/>
        <v>3092</v>
      </c>
      <c r="N21" s="5"/>
      <c r="O21" s="78"/>
    </row>
    <row r="22" spans="1:15" ht="48.75">
      <c r="A22" s="68"/>
      <c r="B22" s="122"/>
      <c r="C22" s="17" t="s">
        <v>192</v>
      </c>
      <c r="D22" s="4">
        <v>161709</v>
      </c>
      <c r="E22" s="4"/>
      <c r="F22" s="4"/>
      <c r="G22" s="4"/>
      <c r="H22" s="7">
        <f t="shared" si="3"/>
        <v>161709</v>
      </c>
      <c r="I22" s="7">
        <v>0</v>
      </c>
      <c r="J22" s="7"/>
      <c r="K22" s="7"/>
      <c r="L22" s="7"/>
      <c r="M22" s="7">
        <f t="shared" si="1"/>
        <v>0</v>
      </c>
      <c r="N22" s="5">
        <f aca="true" t="shared" si="5" ref="N22:N32">M22/H22</f>
        <v>0</v>
      </c>
      <c r="O22" s="78"/>
    </row>
    <row r="23" spans="1:15" ht="9.75">
      <c r="A23" s="68"/>
      <c r="B23" s="29" t="s">
        <v>117</v>
      </c>
      <c r="C23" s="29"/>
      <c r="D23" s="6">
        <f>SUM(D19:D22)</f>
        <v>261709</v>
      </c>
      <c r="E23" s="6">
        <f>SUM(E19:E22)</f>
        <v>0</v>
      </c>
      <c r="F23" s="6">
        <f>SUM(F19:F22)</f>
        <v>0</v>
      </c>
      <c r="G23" s="6">
        <f>SUM(G19:G22)</f>
        <v>0</v>
      </c>
      <c r="H23" s="6">
        <f t="shared" si="3"/>
        <v>261709</v>
      </c>
      <c r="I23" s="6">
        <f>SUM(I19:I22)</f>
        <v>22980</v>
      </c>
      <c r="J23" s="6">
        <f>SUM(J19:J22)</f>
        <v>3092</v>
      </c>
      <c r="K23" s="6">
        <f>SUM(K19:K22)</f>
        <v>0</v>
      </c>
      <c r="L23" s="6">
        <f>SUM(L19:L22)</f>
        <v>0</v>
      </c>
      <c r="M23" s="6">
        <f t="shared" si="1"/>
        <v>26072</v>
      </c>
      <c r="N23" s="28">
        <f t="shared" si="5"/>
        <v>0.09962209935462671</v>
      </c>
      <c r="O23" s="78"/>
    </row>
    <row r="24" spans="1:15" ht="11.25">
      <c r="A24" s="53" t="s">
        <v>65</v>
      </c>
      <c r="B24" s="24"/>
      <c r="C24" s="24"/>
      <c r="D24" s="25">
        <f>SUM(D23,D18,D10)</f>
        <v>70331926</v>
      </c>
      <c r="E24" s="25">
        <f>SUM(E23,E18,E10)</f>
        <v>11753626</v>
      </c>
      <c r="F24" s="25">
        <f>SUM(F23,F18,F10)</f>
        <v>0</v>
      </c>
      <c r="G24" s="25">
        <f>SUM(G23,G18,G10)</f>
        <v>0</v>
      </c>
      <c r="H24" s="25">
        <f t="shared" si="3"/>
        <v>82085552</v>
      </c>
      <c r="I24" s="25">
        <f>SUM(I23,I18,I10)</f>
        <v>22669422</v>
      </c>
      <c r="J24" s="25">
        <f>SUM(J23,J18,J10)</f>
        <v>123493</v>
      </c>
      <c r="K24" s="25">
        <f>SUM(K23,K18,K10)</f>
        <v>0</v>
      </c>
      <c r="L24" s="25">
        <f>SUM(L23,L18,L10)</f>
        <v>0</v>
      </c>
      <c r="M24" s="25">
        <f t="shared" si="1"/>
        <v>22792915</v>
      </c>
      <c r="N24" s="30">
        <f t="shared" si="5"/>
        <v>0.27767267740369217</v>
      </c>
      <c r="O24" s="78"/>
    </row>
    <row r="25" spans="1:15" ht="29.25">
      <c r="A25" s="54" t="s">
        <v>8</v>
      </c>
      <c r="B25" s="23" t="s">
        <v>9</v>
      </c>
      <c r="C25" s="17" t="s">
        <v>78</v>
      </c>
      <c r="D25" s="4">
        <v>2200000</v>
      </c>
      <c r="E25" s="4"/>
      <c r="F25" s="4"/>
      <c r="G25" s="4"/>
      <c r="H25" s="7">
        <f t="shared" si="3"/>
        <v>2200000</v>
      </c>
      <c r="I25" s="7">
        <v>1692485</v>
      </c>
      <c r="J25" s="7"/>
      <c r="K25" s="7"/>
      <c r="L25" s="7"/>
      <c r="M25" s="7">
        <f t="shared" si="1"/>
        <v>1692485</v>
      </c>
      <c r="N25" s="5">
        <f t="shared" si="5"/>
        <v>0.7693113636363637</v>
      </c>
      <c r="O25" s="78"/>
    </row>
    <row r="26" spans="1:15" ht="58.5">
      <c r="A26" s="68"/>
      <c r="B26" s="19"/>
      <c r="C26" s="18" t="s">
        <v>104</v>
      </c>
      <c r="D26" s="4">
        <v>6800000</v>
      </c>
      <c r="E26" s="4"/>
      <c r="F26" s="4"/>
      <c r="G26" s="4"/>
      <c r="H26" s="7">
        <f t="shared" si="3"/>
        <v>6800000</v>
      </c>
      <c r="I26" s="7">
        <v>1911995</v>
      </c>
      <c r="J26" s="9"/>
      <c r="K26" s="9"/>
      <c r="L26" s="9"/>
      <c r="M26" s="7">
        <f t="shared" si="1"/>
        <v>1911995</v>
      </c>
      <c r="N26" s="5">
        <f t="shared" si="5"/>
        <v>0.28117573529411766</v>
      </c>
      <c r="O26" s="78"/>
    </row>
    <row r="27" spans="1:15" ht="39">
      <c r="A27" s="68"/>
      <c r="B27" s="19"/>
      <c r="C27" s="18" t="s">
        <v>75</v>
      </c>
      <c r="D27" s="4">
        <v>760000</v>
      </c>
      <c r="E27" s="4"/>
      <c r="F27" s="4"/>
      <c r="G27" s="4"/>
      <c r="H27" s="7">
        <f t="shared" si="3"/>
        <v>760000</v>
      </c>
      <c r="I27" s="7">
        <v>213803</v>
      </c>
      <c r="J27" s="7"/>
      <c r="K27" s="7"/>
      <c r="L27" s="7"/>
      <c r="M27" s="7">
        <f t="shared" si="1"/>
        <v>213803</v>
      </c>
      <c r="N27" s="5">
        <f t="shared" si="5"/>
        <v>0.28131973684210526</v>
      </c>
      <c r="O27" s="78"/>
    </row>
    <row r="28" spans="1:15" ht="29.25">
      <c r="A28" s="68"/>
      <c r="B28" s="19"/>
      <c r="C28" s="18" t="s">
        <v>236</v>
      </c>
      <c r="D28" s="4">
        <v>19150000</v>
      </c>
      <c r="E28" s="4"/>
      <c r="F28" s="4"/>
      <c r="G28" s="4"/>
      <c r="H28" s="7">
        <f t="shared" si="3"/>
        <v>19150000</v>
      </c>
      <c r="I28" s="7">
        <v>7458470</v>
      </c>
      <c r="J28" s="7"/>
      <c r="K28" s="7"/>
      <c r="L28" s="7"/>
      <c r="M28" s="7">
        <f t="shared" si="1"/>
        <v>7458470</v>
      </c>
      <c r="N28" s="5">
        <f t="shared" si="5"/>
        <v>0.3894762402088773</v>
      </c>
      <c r="O28" s="78"/>
    </row>
    <row r="29" spans="1:15" ht="9.75">
      <c r="A29" s="68"/>
      <c r="B29" s="19"/>
      <c r="C29" s="18" t="s">
        <v>76</v>
      </c>
      <c r="D29" s="4"/>
      <c r="E29" s="4"/>
      <c r="F29" s="4"/>
      <c r="G29" s="4"/>
      <c r="H29" s="7">
        <f t="shared" si="3"/>
        <v>0</v>
      </c>
      <c r="I29" s="7">
        <v>31528</v>
      </c>
      <c r="J29" s="7"/>
      <c r="K29" s="7"/>
      <c r="L29" s="7"/>
      <c r="M29" s="7">
        <f t="shared" si="1"/>
        <v>31528</v>
      </c>
      <c r="N29" s="5"/>
      <c r="O29" s="78"/>
    </row>
    <row r="30" spans="1:15" ht="9.75">
      <c r="A30" s="68"/>
      <c r="B30" s="19"/>
      <c r="C30" s="18" t="s">
        <v>72</v>
      </c>
      <c r="D30" s="4"/>
      <c r="E30" s="4"/>
      <c r="F30" s="4"/>
      <c r="G30" s="4"/>
      <c r="H30" s="7">
        <f t="shared" si="3"/>
        <v>0</v>
      </c>
      <c r="I30" s="7">
        <v>32359</v>
      </c>
      <c r="J30" s="7"/>
      <c r="K30" s="7"/>
      <c r="L30" s="7"/>
      <c r="M30" s="7">
        <f t="shared" si="1"/>
        <v>32359</v>
      </c>
      <c r="N30" s="5"/>
      <c r="O30" s="78"/>
    </row>
    <row r="31" spans="1:15" ht="9.75">
      <c r="A31" s="68"/>
      <c r="B31" s="19"/>
      <c r="C31" s="18" t="s">
        <v>74</v>
      </c>
      <c r="D31" s="4"/>
      <c r="E31" s="4"/>
      <c r="F31" s="4"/>
      <c r="G31" s="4"/>
      <c r="H31" s="7">
        <f t="shared" si="3"/>
        <v>0</v>
      </c>
      <c r="I31" s="7">
        <v>2487</v>
      </c>
      <c r="J31" s="7"/>
      <c r="K31" s="7"/>
      <c r="L31" s="7"/>
      <c r="M31" s="7">
        <f t="shared" si="1"/>
        <v>2487</v>
      </c>
      <c r="N31" s="5"/>
      <c r="O31" s="78"/>
    </row>
    <row r="32" spans="1:15" ht="48.75">
      <c r="A32" s="68"/>
      <c r="B32" s="19"/>
      <c r="C32" s="18" t="s">
        <v>69</v>
      </c>
      <c r="D32" s="4"/>
      <c r="E32" s="4"/>
      <c r="F32" s="4"/>
      <c r="G32" s="4">
        <v>125000</v>
      </c>
      <c r="H32" s="7">
        <f>SUM(D32:G32)</f>
        <v>125000</v>
      </c>
      <c r="I32" s="7"/>
      <c r="J32" s="7"/>
      <c r="K32" s="7"/>
      <c r="L32" s="7">
        <v>10000</v>
      </c>
      <c r="M32" s="7">
        <f t="shared" si="1"/>
        <v>10000</v>
      </c>
      <c r="N32" s="5">
        <f t="shared" si="5"/>
        <v>0.08</v>
      </c>
      <c r="O32" s="78"/>
    </row>
    <row r="33" spans="1:15" ht="31.5" customHeight="1">
      <c r="A33" s="68"/>
      <c r="B33" s="19"/>
      <c r="C33" s="22" t="s">
        <v>77</v>
      </c>
      <c r="D33" s="4"/>
      <c r="E33" s="4">
        <v>2285000</v>
      </c>
      <c r="F33" s="4"/>
      <c r="G33" s="4"/>
      <c r="H33" s="7">
        <f>SUM(D33:G33)</f>
        <v>2285000</v>
      </c>
      <c r="I33" s="9"/>
      <c r="J33" s="7">
        <v>832144</v>
      </c>
      <c r="K33" s="9"/>
      <c r="L33" s="9"/>
      <c r="M33" s="7">
        <f t="shared" si="1"/>
        <v>832144</v>
      </c>
      <c r="N33" s="5">
        <f>M33/H33</f>
        <v>0.36417680525164114</v>
      </c>
      <c r="O33" s="78"/>
    </row>
    <row r="34" spans="1:15" ht="9.75">
      <c r="A34" s="68"/>
      <c r="B34" s="29" t="s">
        <v>118</v>
      </c>
      <c r="C34" s="29"/>
      <c r="D34" s="6">
        <f>SUM(D25:D33)</f>
        <v>28910000</v>
      </c>
      <c r="E34" s="6">
        <f>SUM(E25:E33)</f>
        <v>2285000</v>
      </c>
      <c r="F34" s="6">
        <f>SUM(F25:F33)</f>
        <v>0</v>
      </c>
      <c r="G34" s="6">
        <f>SUM(G25:G33)</f>
        <v>125000</v>
      </c>
      <c r="H34" s="6">
        <f>SUM(D34:G34)</f>
        <v>31320000</v>
      </c>
      <c r="I34" s="6">
        <f>SUM(I25:I33)</f>
        <v>11343127</v>
      </c>
      <c r="J34" s="6">
        <f>SUM(J25:J33)</f>
        <v>832144</v>
      </c>
      <c r="K34" s="6">
        <f>SUM(K25:K33)</f>
        <v>0</v>
      </c>
      <c r="L34" s="6">
        <f>SUM(L25:L33)</f>
        <v>10000</v>
      </c>
      <c r="M34" s="6">
        <f t="shared" si="1"/>
        <v>12185271</v>
      </c>
      <c r="N34" s="28">
        <f>M34/H34</f>
        <v>0.389057183908046</v>
      </c>
      <c r="O34" s="78"/>
    </row>
    <row r="35" spans="1:15" s="10" customFormat="1" ht="58.5">
      <c r="A35" s="68"/>
      <c r="B35" s="120" t="s">
        <v>10</v>
      </c>
      <c r="C35" s="18" t="s">
        <v>104</v>
      </c>
      <c r="D35" s="4">
        <v>5500000</v>
      </c>
      <c r="E35" s="4"/>
      <c r="F35" s="4"/>
      <c r="G35" s="4"/>
      <c r="H35" s="7">
        <f>SUM(D35:G35)</f>
        <v>5500000</v>
      </c>
      <c r="I35" s="7">
        <v>1819304</v>
      </c>
      <c r="J35" s="13"/>
      <c r="K35" s="13"/>
      <c r="L35" s="13"/>
      <c r="M35" s="7">
        <f t="shared" si="1"/>
        <v>1819304</v>
      </c>
      <c r="N35" s="5">
        <f>M35/H35</f>
        <v>0.33078254545454544</v>
      </c>
      <c r="O35" s="80"/>
    </row>
    <row r="36" spans="1:15" s="10" customFormat="1" ht="9.75">
      <c r="A36" s="68"/>
      <c r="B36" s="122"/>
      <c r="C36" s="18" t="s">
        <v>72</v>
      </c>
      <c r="D36" s="4"/>
      <c r="E36" s="4"/>
      <c r="F36" s="4"/>
      <c r="G36" s="4"/>
      <c r="H36" s="7">
        <f>SUM(D36:G36)</f>
        <v>0</v>
      </c>
      <c r="I36" s="7">
        <v>14791</v>
      </c>
      <c r="J36" s="13"/>
      <c r="K36" s="13"/>
      <c r="L36" s="13"/>
      <c r="M36" s="7">
        <f t="shared" si="1"/>
        <v>14791</v>
      </c>
      <c r="N36" s="5"/>
      <c r="O36" s="80"/>
    </row>
    <row r="37" spans="1:15" s="11" customFormat="1" ht="9.75">
      <c r="A37" s="68"/>
      <c r="B37" s="29" t="s">
        <v>119</v>
      </c>
      <c r="C37" s="29"/>
      <c r="D37" s="6">
        <f>SUM(D35)</f>
        <v>5500000</v>
      </c>
      <c r="E37" s="6">
        <f>SUM(E35)</f>
        <v>0</v>
      </c>
      <c r="F37" s="6">
        <f>SUM(F35)</f>
        <v>0</v>
      </c>
      <c r="G37" s="6">
        <f>SUM(G35)</f>
        <v>0</v>
      </c>
      <c r="H37" s="6">
        <f aca="true" t="shared" si="6" ref="H37:H45">SUM(D37:G37)</f>
        <v>5500000</v>
      </c>
      <c r="I37" s="6">
        <f>SUM(I35:I36)</f>
        <v>1834095</v>
      </c>
      <c r="J37" s="6">
        <f>SUM(J35:J36)</f>
        <v>0</v>
      </c>
      <c r="K37" s="6">
        <f>SUM(K35:K36)</f>
        <v>0</v>
      </c>
      <c r="L37" s="6">
        <f>SUM(L35:L36)</f>
        <v>0</v>
      </c>
      <c r="M37" s="6">
        <f aca="true" t="shared" si="7" ref="M37:M73">SUM(I37:L37)</f>
        <v>1834095</v>
      </c>
      <c r="N37" s="28">
        <f>M37/H37</f>
        <v>0.3334718181818182</v>
      </c>
      <c r="O37" s="81"/>
    </row>
    <row r="38" spans="1:15" ht="11.25">
      <c r="A38" s="53" t="s">
        <v>11</v>
      </c>
      <c r="B38" s="24"/>
      <c r="C38" s="24"/>
      <c r="D38" s="25">
        <f>SUM(D37,D34)</f>
        <v>34410000</v>
      </c>
      <c r="E38" s="25">
        <f>SUM(E37,E34)</f>
        <v>2285000</v>
      </c>
      <c r="F38" s="25">
        <f>SUM(F37,F34)</f>
        <v>0</v>
      </c>
      <c r="G38" s="25">
        <f>SUM(G37,G34)</f>
        <v>125000</v>
      </c>
      <c r="H38" s="25">
        <f t="shared" si="6"/>
        <v>36820000</v>
      </c>
      <c r="I38" s="25">
        <f>SUM(I37,I34)</f>
        <v>13177222</v>
      </c>
      <c r="J38" s="25">
        <f>SUM(J37,J34)</f>
        <v>832144</v>
      </c>
      <c r="K38" s="25">
        <f>SUM(K37,K34)</f>
        <v>0</v>
      </c>
      <c r="L38" s="25">
        <f>SUM(L37,L34)</f>
        <v>10000</v>
      </c>
      <c r="M38" s="25">
        <f t="shared" si="7"/>
        <v>14019366</v>
      </c>
      <c r="N38" s="30">
        <f>M38/H38</f>
        <v>0.3807541010320478</v>
      </c>
      <c r="O38" s="78"/>
    </row>
    <row r="39" spans="1:15" s="10" customFormat="1" ht="48.75">
      <c r="A39" s="54" t="s">
        <v>12</v>
      </c>
      <c r="B39" s="22" t="s">
        <v>120</v>
      </c>
      <c r="C39" s="17" t="s">
        <v>192</v>
      </c>
      <c r="D39" s="4">
        <v>103960</v>
      </c>
      <c r="E39" s="47"/>
      <c r="F39" s="47"/>
      <c r="G39" s="47"/>
      <c r="H39" s="7">
        <f t="shared" si="6"/>
        <v>103960</v>
      </c>
      <c r="I39" s="7">
        <v>181</v>
      </c>
      <c r="J39" s="47"/>
      <c r="K39" s="47"/>
      <c r="L39" s="47"/>
      <c r="M39" s="7">
        <f t="shared" si="7"/>
        <v>181</v>
      </c>
      <c r="N39" s="5">
        <f>M39/H39</f>
        <v>0.0017410542516352442</v>
      </c>
      <c r="O39" s="80"/>
    </row>
    <row r="40" spans="1:15" ht="48.75">
      <c r="A40" s="55"/>
      <c r="B40" s="48"/>
      <c r="C40" s="18" t="s">
        <v>121</v>
      </c>
      <c r="D40" s="4">
        <v>7960</v>
      </c>
      <c r="E40" s="4"/>
      <c r="F40" s="4"/>
      <c r="G40" s="4"/>
      <c r="H40" s="7">
        <f t="shared" si="6"/>
        <v>7960</v>
      </c>
      <c r="I40" s="7"/>
      <c r="J40" s="7"/>
      <c r="K40" s="7"/>
      <c r="L40" s="7"/>
      <c r="M40" s="7">
        <f t="shared" si="7"/>
        <v>0</v>
      </c>
      <c r="N40" s="5">
        <f aca="true" t="shared" si="8" ref="N40:N45">M40/H40</f>
        <v>0</v>
      </c>
      <c r="O40" s="78"/>
    </row>
    <row r="41" spans="1:15" ht="9.75">
      <c r="A41" s="68"/>
      <c r="B41" s="29" t="s">
        <v>122</v>
      </c>
      <c r="C41" s="29"/>
      <c r="D41" s="6">
        <f>SUM(D39:D40)</f>
        <v>111920</v>
      </c>
      <c r="E41" s="6">
        <f>SUM(E39:E40)</f>
        <v>0</v>
      </c>
      <c r="F41" s="6">
        <f>SUM(F39:F40)</f>
        <v>0</v>
      </c>
      <c r="G41" s="6">
        <f>SUM(G39:G40)</f>
        <v>0</v>
      </c>
      <c r="H41" s="6">
        <f t="shared" si="6"/>
        <v>111920</v>
      </c>
      <c r="I41" s="6">
        <f>SUM(I39:I40)</f>
        <v>181</v>
      </c>
      <c r="J41" s="6">
        <f>SUM(J39:J40)</f>
        <v>0</v>
      </c>
      <c r="K41" s="6">
        <f>SUM(K39:K40)</f>
        <v>0</v>
      </c>
      <c r="L41" s="6">
        <f>SUM(L39:L40)</f>
        <v>0</v>
      </c>
      <c r="M41" s="6">
        <f t="shared" si="7"/>
        <v>181</v>
      </c>
      <c r="N41" s="28">
        <f t="shared" si="8"/>
        <v>0.0016172265904217298</v>
      </c>
      <c r="O41" s="78"/>
    </row>
    <row r="42" spans="1:15" ht="48.75">
      <c r="A42" s="68"/>
      <c r="B42" s="23" t="s">
        <v>13</v>
      </c>
      <c r="C42" s="27" t="s">
        <v>69</v>
      </c>
      <c r="D42" s="4"/>
      <c r="E42" s="4"/>
      <c r="F42" s="4"/>
      <c r="G42" s="4">
        <v>173000</v>
      </c>
      <c r="H42" s="7">
        <f t="shared" si="6"/>
        <v>173000</v>
      </c>
      <c r="I42" s="13"/>
      <c r="J42" s="13"/>
      <c r="K42" s="13"/>
      <c r="L42" s="13"/>
      <c r="M42" s="7">
        <f t="shared" si="7"/>
        <v>0</v>
      </c>
      <c r="N42" s="5">
        <f t="shared" si="8"/>
        <v>0</v>
      </c>
      <c r="O42" s="78"/>
    </row>
    <row r="43" spans="1:15" s="11" customFormat="1" ht="9.75">
      <c r="A43" s="68"/>
      <c r="B43" s="29" t="s">
        <v>123</v>
      </c>
      <c r="C43" s="29"/>
      <c r="D43" s="6">
        <f>SUM(D42)</f>
        <v>0</v>
      </c>
      <c r="E43" s="6">
        <f>SUM(E42)</f>
        <v>0</v>
      </c>
      <c r="F43" s="6">
        <f>SUM(F42)</f>
        <v>0</v>
      </c>
      <c r="G43" s="6">
        <f>SUM(G42)</f>
        <v>173000</v>
      </c>
      <c r="H43" s="6">
        <f t="shared" si="6"/>
        <v>173000</v>
      </c>
      <c r="I43" s="6">
        <f>SUM(I42)</f>
        <v>0</v>
      </c>
      <c r="J43" s="6">
        <f>SUM(J42)</f>
        <v>0</v>
      </c>
      <c r="K43" s="6">
        <f>SUM(K42)</f>
        <v>0</v>
      </c>
      <c r="L43" s="6">
        <f>SUM(L42)</f>
        <v>0</v>
      </c>
      <c r="M43" s="6">
        <f t="shared" si="7"/>
        <v>0</v>
      </c>
      <c r="N43" s="28">
        <f t="shared" si="8"/>
        <v>0</v>
      </c>
      <c r="O43" s="81"/>
    </row>
    <row r="44" spans="1:15" ht="48.75">
      <c r="A44" s="68"/>
      <c r="B44" s="23" t="s">
        <v>14</v>
      </c>
      <c r="C44" s="27" t="s">
        <v>69</v>
      </c>
      <c r="D44" s="4"/>
      <c r="E44" s="4"/>
      <c r="F44" s="4"/>
      <c r="G44" s="4">
        <v>60000</v>
      </c>
      <c r="H44" s="7">
        <f t="shared" si="6"/>
        <v>60000</v>
      </c>
      <c r="I44" s="7"/>
      <c r="J44" s="7"/>
      <c r="K44" s="7"/>
      <c r="L44" s="7"/>
      <c r="M44" s="7">
        <f t="shared" si="7"/>
        <v>0</v>
      </c>
      <c r="N44" s="5">
        <f t="shared" si="8"/>
        <v>0</v>
      </c>
      <c r="O44" s="78"/>
    </row>
    <row r="45" spans="1:15" ht="9.75">
      <c r="A45" s="68"/>
      <c r="B45" s="29" t="s">
        <v>124</v>
      </c>
      <c r="C45" s="29"/>
      <c r="D45" s="6">
        <f>SUM(D44)</f>
        <v>0</v>
      </c>
      <c r="E45" s="6">
        <f>SUM(E44)</f>
        <v>0</v>
      </c>
      <c r="F45" s="6">
        <f>SUM(F44)</f>
        <v>0</v>
      </c>
      <c r="G45" s="6">
        <f>SUM(G44)</f>
        <v>60000</v>
      </c>
      <c r="H45" s="6">
        <f t="shared" si="6"/>
        <v>60000</v>
      </c>
      <c r="I45" s="6">
        <f>SUM(I44)</f>
        <v>0</v>
      </c>
      <c r="J45" s="6">
        <f>SUM(J44)</f>
        <v>0</v>
      </c>
      <c r="K45" s="6">
        <f>SUM(K44)</f>
        <v>0</v>
      </c>
      <c r="L45" s="6">
        <f>SUM(L44)</f>
        <v>0</v>
      </c>
      <c r="M45" s="6">
        <f t="shared" si="7"/>
        <v>0</v>
      </c>
      <c r="N45" s="28">
        <f t="shared" si="8"/>
        <v>0</v>
      </c>
      <c r="O45" s="78"/>
    </row>
    <row r="46" spans="1:15" s="10" customFormat="1" ht="9.75">
      <c r="A46" s="69"/>
      <c r="B46" s="120" t="s">
        <v>15</v>
      </c>
      <c r="C46" s="18" t="s">
        <v>72</v>
      </c>
      <c r="D46" s="13"/>
      <c r="E46" s="13"/>
      <c r="F46" s="13"/>
      <c r="G46" s="13"/>
      <c r="H46" s="7">
        <f aca="true" t="shared" si="9" ref="H46:H56">SUM(D46:G46)</f>
        <v>0</v>
      </c>
      <c r="I46" s="13"/>
      <c r="J46" s="7">
        <v>219</v>
      </c>
      <c r="K46" s="13"/>
      <c r="L46" s="13"/>
      <c r="M46" s="7">
        <f t="shared" si="7"/>
        <v>219</v>
      </c>
      <c r="N46" s="5"/>
      <c r="O46" s="80"/>
    </row>
    <row r="47" spans="1:15" ht="48.75">
      <c r="A47" s="68"/>
      <c r="B47" s="121"/>
      <c r="C47" s="18" t="s">
        <v>69</v>
      </c>
      <c r="D47" s="4"/>
      <c r="E47" s="4"/>
      <c r="F47" s="4"/>
      <c r="G47" s="4">
        <v>434400</v>
      </c>
      <c r="H47" s="7">
        <f t="shared" si="9"/>
        <v>434400</v>
      </c>
      <c r="I47" s="7"/>
      <c r="J47" s="7"/>
      <c r="K47" s="7"/>
      <c r="L47" s="7">
        <v>165600</v>
      </c>
      <c r="M47" s="7">
        <f t="shared" si="7"/>
        <v>165600</v>
      </c>
      <c r="N47" s="5">
        <f>M47/H47</f>
        <v>0.3812154696132597</v>
      </c>
      <c r="O47" s="78"/>
    </row>
    <row r="48" spans="1:15" ht="29.25">
      <c r="A48" s="68"/>
      <c r="B48" s="122"/>
      <c r="C48" s="22" t="s">
        <v>77</v>
      </c>
      <c r="D48" s="4"/>
      <c r="E48" s="4">
        <v>250</v>
      </c>
      <c r="F48" s="4"/>
      <c r="G48" s="4"/>
      <c r="H48" s="7">
        <f t="shared" si="9"/>
        <v>250</v>
      </c>
      <c r="I48" s="7"/>
      <c r="J48" s="7"/>
      <c r="K48" s="7"/>
      <c r="L48" s="7"/>
      <c r="M48" s="7">
        <f t="shared" si="7"/>
        <v>0</v>
      </c>
      <c r="N48" s="5">
        <f>M48/H48</f>
        <v>0</v>
      </c>
      <c r="O48" s="78"/>
    </row>
    <row r="49" spans="1:15" ht="9.75">
      <c r="A49" s="68"/>
      <c r="B49" s="29" t="s">
        <v>125</v>
      </c>
      <c r="C49" s="29"/>
      <c r="D49" s="6">
        <f>SUM(D47:D48)</f>
        <v>0</v>
      </c>
      <c r="E49" s="6">
        <f>SUM(E47:E48)</f>
        <v>250</v>
      </c>
      <c r="F49" s="6">
        <f>SUM(F47:F48)</f>
        <v>0</v>
      </c>
      <c r="G49" s="6">
        <f>SUM(G47:G48)</f>
        <v>434400</v>
      </c>
      <c r="H49" s="6">
        <f t="shared" si="9"/>
        <v>434650</v>
      </c>
      <c r="I49" s="6">
        <f>SUM(I46:I48)</f>
        <v>0</v>
      </c>
      <c r="J49" s="6">
        <f>SUM(J46:J48)</f>
        <v>219</v>
      </c>
      <c r="K49" s="6">
        <f>SUM(K46:K48)</f>
        <v>0</v>
      </c>
      <c r="L49" s="6">
        <f>SUM(L46:L48)</f>
        <v>165600</v>
      </c>
      <c r="M49" s="6">
        <f t="shared" si="7"/>
        <v>165819</v>
      </c>
      <c r="N49" s="28">
        <f>M49/H49</f>
        <v>0.38150005751754285</v>
      </c>
      <c r="O49" s="78"/>
    </row>
    <row r="50" spans="1:15" s="10" customFormat="1" ht="9.75">
      <c r="A50" s="69"/>
      <c r="B50" s="119" t="s">
        <v>62</v>
      </c>
      <c r="C50" s="18" t="s">
        <v>71</v>
      </c>
      <c r="D50" s="13"/>
      <c r="E50" s="13"/>
      <c r="F50" s="13"/>
      <c r="G50" s="13"/>
      <c r="H50" s="7">
        <f t="shared" si="9"/>
        <v>0</v>
      </c>
      <c r="I50" s="7">
        <v>421</v>
      </c>
      <c r="J50" s="13"/>
      <c r="K50" s="13"/>
      <c r="L50" s="13"/>
      <c r="M50" s="7">
        <f t="shared" si="7"/>
        <v>421</v>
      </c>
      <c r="N50" s="8"/>
      <c r="O50" s="80"/>
    </row>
    <row r="51" spans="1:15" s="10" customFormat="1" ht="9.75">
      <c r="A51" s="69"/>
      <c r="B51" s="119"/>
      <c r="C51" s="18" t="s">
        <v>72</v>
      </c>
      <c r="D51" s="13"/>
      <c r="E51" s="13"/>
      <c r="F51" s="13"/>
      <c r="G51" s="13"/>
      <c r="H51" s="7">
        <f t="shared" si="9"/>
        <v>0</v>
      </c>
      <c r="I51" s="7">
        <v>94</v>
      </c>
      <c r="J51" s="13"/>
      <c r="K51" s="13"/>
      <c r="L51" s="13"/>
      <c r="M51" s="7">
        <f t="shared" si="7"/>
        <v>94</v>
      </c>
      <c r="N51" s="8"/>
      <c r="O51" s="80"/>
    </row>
    <row r="52" spans="1:15" ht="39">
      <c r="A52" s="68"/>
      <c r="B52" s="119"/>
      <c r="C52" s="27" t="s">
        <v>80</v>
      </c>
      <c r="D52" s="4">
        <v>27500</v>
      </c>
      <c r="E52" s="4"/>
      <c r="F52" s="4"/>
      <c r="G52" s="4"/>
      <c r="H52" s="7">
        <f t="shared" si="9"/>
        <v>27500</v>
      </c>
      <c r="I52" s="7">
        <v>27500</v>
      </c>
      <c r="J52" s="7"/>
      <c r="K52" s="7"/>
      <c r="L52" s="7"/>
      <c r="M52" s="7">
        <f t="shared" si="7"/>
        <v>27500</v>
      </c>
      <c r="N52" s="5">
        <f>M52/H52</f>
        <v>1</v>
      </c>
      <c r="O52" s="78"/>
    </row>
    <row r="53" spans="1:15" ht="9.75">
      <c r="A53" s="68"/>
      <c r="B53" s="29" t="s">
        <v>126</v>
      </c>
      <c r="C53" s="29"/>
      <c r="D53" s="6">
        <f>SUM(D52)</f>
        <v>27500</v>
      </c>
      <c r="E53" s="6">
        <f>SUM(E52)</f>
        <v>0</v>
      </c>
      <c r="F53" s="6">
        <f>SUM(F52)</f>
        <v>0</v>
      </c>
      <c r="G53" s="6">
        <f>SUM(G52)</f>
        <v>0</v>
      </c>
      <c r="H53" s="6">
        <f t="shared" si="9"/>
        <v>27500</v>
      </c>
      <c r="I53" s="6">
        <f>SUM(I50:I52)</f>
        <v>28015</v>
      </c>
      <c r="J53" s="6">
        <f>SUM(J50:J52)</f>
        <v>0</v>
      </c>
      <c r="K53" s="6">
        <f>SUM(K50:K52)</f>
        <v>0</v>
      </c>
      <c r="L53" s="6">
        <f>SUM(L50:L52)</f>
        <v>0</v>
      </c>
      <c r="M53" s="6">
        <f t="shared" si="7"/>
        <v>28015</v>
      </c>
      <c r="N53" s="28">
        <f>M53/H53</f>
        <v>1.0187272727272727</v>
      </c>
      <c r="O53" s="78"/>
    </row>
    <row r="54" spans="1:15" ht="47.25" customHeight="1">
      <c r="A54" s="68"/>
      <c r="B54" s="120" t="s">
        <v>16</v>
      </c>
      <c r="C54" s="17" t="s">
        <v>104</v>
      </c>
      <c r="D54" s="4">
        <f>216200-97200</f>
        <v>119000</v>
      </c>
      <c r="E54" s="4"/>
      <c r="F54" s="4"/>
      <c r="G54" s="4"/>
      <c r="H54" s="7">
        <f t="shared" si="9"/>
        <v>119000</v>
      </c>
      <c r="I54" s="7">
        <v>13333</v>
      </c>
      <c r="J54" s="7"/>
      <c r="K54" s="7"/>
      <c r="L54" s="7"/>
      <c r="M54" s="7">
        <f t="shared" si="7"/>
        <v>13333</v>
      </c>
      <c r="N54" s="5">
        <f>M54/H54</f>
        <v>0.11204201680672268</v>
      </c>
      <c r="O54" s="78"/>
    </row>
    <row r="55" spans="1:15" ht="9.75">
      <c r="A55" s="68"/>
      <c r="B55" s="121"/>
      <c r="C55" s="18" t="s">
        <v>76</v>
      </c>
      <c r="D55" s="4">
        <f>110000+266500</f>
        <v>376500</v>
      </c>
      <c r="E55" s="4"/>
      <c r="F55" s="4"/>
      <c r="G55" s="4"/>
      <c r="H55" s="7">
        <f t="shared" si="9"/>
        <v>376500</v>
      </c>
      <c r="I55" s="7">
        <v>27486</v>
      </c>
      <c r="J55" s="7"/>
      <c r="K55" s="7"/>
      <c r="L55" s="7"/>
      <c r="M55" s="7">
        <f t="shared" si="7"/>
        <v>27486</v>
      </c>
      <c r="N55" s="5">
        <f>M55/H55</f>
        <v>0.07300398406374502</v>
      </c>
      <c r="O55" s="78"/>
    </row>
    <row r="56" spans="1:15" ht="9.75">
      <c r="A56" s="68"/>
      <c r="B56" s="121"/>
      <c r="C56" s="18" t="s">
        <v>72</v>
      </c>
      <c r="D56" s="4"/>
      <c r="E56" s="4"/>
      <c r="F56" s="4"/>
      <c r="G56" s="4"/>
      <c r="H56" s="7">
        <f t="shared" si="9"/>
        <v>0</v>
      </c>
      <c r="I56" s="7">
        <v>18</v>
      </c>
      <c r="J56" s="7"/>
      <c r="K56" s="7"/>
      <c r="L56" s="7"/>
      <c r="M56" s="7">
        <f t="shared" si="7"/>
        <v>18</v>
      </c>
      <c r="N56" s="5"/>
      <c r="O56" s="78"/>
    </row>
    <row r="57" spans="1:15" ht="39.75" customHeight="1">
      <c r="A57" s="68"/>
      <c r="B57" s="121"/>
      <c r="C57" s="22" t="s">
        <v>127</v>
      </c>
      <c r="D57" s="4">
        <f>103960-103960</f>
        <v>0</v>
      </c>
      <c r="E57" s="4"/>
      <c r="F57" s="4"/>
      <c r="G57" s="4"/>
      <c r="H57" s="7">
        <f aca="true" t="shared" si="10" ref="H57:H69">SUM(D57:G57)</f>
        <v>0</v>
      </c>
      <c r="I57" s="9"/>
      <c r="J57" s="9"/>
      <c r="K57" s="9"/>
      <c r="L57" s="9"/>
      <c r="M57" s="7">
        <f t="shared" si="7"/>
        <v>0</v>
      </c>
      <c r="N57" s="5"/>
      <c r="O57" s="78"/>
    </row>
    <row r="58" spans="1:15" ht="40.5" customHeight="1">
      <c r="A58" s="68"/>
      <c r="B58" s="122"/>
      <c r="C58" s="22" t="s">
        <v>249</v>
      </c>
      <c r="D58" s="4">
        <v>144100</v>
      </c>
      <c r="E58" s="4"/>
      <c r="F58" s="4"/>
      <c r="G58" s="4"/>
      <c r="H58" s="7">
        <f t="shared" si="10"/>
        <v>144100</v>
      </c>
      <c r="I58" s="9"/>
      <c r="J58" s="9"/>
      <c r="K58" s="9"/>
      <c r="L58" s="9"/>
      <c r="M58" s="7">
        <f t="shared" si="7"/>
        <v>0</v>
      </c>
      <c r="N58" s="5">
        <f>M58/H58</f>
        <v>0</v>
      </c>
      <c r="O58" s="78"/>
    </row>
    <row r="59" spans="1:15" ht="9.75">
      <c r="A59" s="68"/>
      <c r="B59" s="29" t="s">
        <v>128</v>
      </c>
      <c r="C59" s="29"/>
      <c r="D59" s="6">
        <f>SUM(D54:D58)</f>
        <v>639600</v>
      </c>
      <c r="E59" s="6">
        <f>SUM(E54:E58)</f>
        <v>0</v>
      </c>
      <c r="F59" s="6">
        <f>SUM(F54:F58)</f>
        <v>0</v>
      </c>
      <c r="G59" s="6">
        <f>SUM(G54:G58)</f>
        <v>0</v>
      </c>
      <c r="H59" s="6">
        <f t="shared" si="10"/>
        <v>639600</v>
      </c>
      <c r="I59" s="6">
        <f>SUM(I54:I57)</f>
        <v>40837</v>
      </c>
      <c r="J59" s="6">
        <f>SUM(J54:J57)</f>
        <v>0</v>
      </c>
      <c r="K59" s="6">
        <f>SUM(K54:K57)</f>
        <v>0</v>
      </c>
      <c r="L59" s="6">
        <f>SUM(L54:L57)</f>
        <v>0</v>
      </c>
      <c r="M59" s="6">
        <f t="shared" si="7"/>
        <v>40837</v>
      </c>
      <c r="N59" s="28">
        <f aca="true" t="shared" si="11" ref="N59:N67">M59/H59</f>
        <v>0.06384771732332709</v>
      </c>
      <c r="O59" s="78"/>
    </row>
    <row r="60" spans="1:15" ht="11.25">
      <c r="A60" s="53" t="s">
        <v>17</v>
      </c>
      <c r="B60" s="24"/>
      <c r="C60" s="24"/>
      <c r="D60" s="25">
        <f>SUM(D59,D53,D49,D45,D43,D41)</f>
        <v>779020</v>
      </c>
      <c r="E60" s="25">
        <f>SUM(E59,E53,E49,E45,E43,E41)</f>
        <v>250</v>
      </c>
      <c r="F60" s="25">
        <f>SUM(F59,F53,F49,F45,F43,F41)</f>
        <v>0</v>
      </c>
      <c r="G60" s="25">
        <f>SUM(G59,G53,G49,G45,G43,G41)</f>
        <v>667400</v>
      </c>
      <c r="H60" s="25">
        <f t="shared" si="10"/>
        <v>1446670</v>
      </c>
      <c r="I60" s="25">
        <f>SUM(I59,I53,I49,I45,I43,I41)</f>
        <v>69033</v>
      </c>
      <c r="J60" s="25">
        <f>SUM(J59,J53,J49,J45,J43,J41)</f>
        <v>219</v>
      </c>
      <c r="K60" s="25">
        <f>SUM(K59,K53,K49,K45,K43,K41)</f>
        <v>0</v>
      </c>
      <c r="L60" s="25">
        <f>SUM(L59,L53,L49,L45,L43,L41)</f>
        <v>165600</v>
      </c>
      <c r="M60" s="25">
        <f t="shared" si="7"/>
        <v>234852</v>
      </c>
      <c r="N60" s="30">
        <f t="shared" si="11"/>
        <v>0.1623397181112486</v>
      </c>
      <c r="O60" s="78"/>
    </row>
    <row r="61" spans="1:15" ht="48.75">
      <c r="A61" s="54" t="s">
        <v>18</v>
      </c>
      <c r="B61" s="23" t="s">
        <v>19</v>
      </c>
      <c r="C61" s="17" t="s">
        <v>129</v>
      </c>
      <c r="D61" s="4"/>
      <c r="E61" s="4"/>
      <c r="F61" s="4">
        <v>1054500</v>
      </c>
      <c r="G61" s="4"/>
      <c r="H61" s="7">
        <f t="shared" si="10"/>
        <v>1054500</v>
      </c>
      <c r="I61" s="7"/>
      <c r="J61" s="7"/>
      <c r="K61" s="7">
        <v>351710</v>
      </c>
      <c r="L61" s="7"/>
      <c r="M61" s="7">
        <f t="shared" si="7"/>
        <v>351710</v>
      </c>
      <c r="N61" s="5">
        <f t="shared" si="11"/>
        <v>0.33353247984826934</v>
      </c>
      <c r="O61" s="78"/>
    </row>
    <row r="62" spans="1:15" ht="40.5" customHeight="1">
      <c r="A62" s="68"/>
      <c r="B62" s="19"/>
      <c r="C62" s="18" t="s">
        <v>69</v>
      </c>
      <c r="D62" s="4"/>
      <c r="E62" s="4"/>
      <c r="F62" s="4"/>
      <c r="G62" s="4">
        <v>531300</v>
      </c>
      <c r="H62" s="7">
        <f t="shared" si="10"/>
        <v>531300</v>
      </c>
      <c r="I62" s="7"/>
      <c r="J62" s="7"/>
      <c r="K62" s="7"/>
      <c r="L62" s="7">
        <v>200800</v>
      </c>
      <c r="M62" s="7">
        <f t="shared" si="7"/>
        <v>200800</v>
      </c>
      <c r="N62" s="5">
        <f t="shared" si="11"/>
        <v>0.37794089968003014</v>
      </c>
      <c r="O62" s="78"/>
    </row>
    <row r="63" spans="1:15" ht="29.25">
      <c r="A63" s="68"/>
      <c r="B63" s="19"/>
      <c r="C63" s="22" t="s">
        <v>77</v>
      </c>
      <c r="D63" s="4">
        <f>81000-11765</f>
        <v>69235</v>
      </c>
      <c r="E63" s="4">
        <v>1250</v>
      </c>
      <c r="F63" s="4"/>
      <c r="G63" s="4"/>
      <c r="H63" s="7">
        <f t="shared" si="10"/>
        <v>70485</v>
      </c>
      <c r="I63" s="7">
        <v>14590</v>
      </c>
      <c r="J63" s="7">
        <v>4975</v>
      </c>
      <c r="K63" s="7"/>
      <c r="L63" s="7"/>
      <c r="M63" s="7">
        <f t="shared" si="7"/>
        <v>19565</v>
      </c>
      <c r="N63" s="5">
        <f t="shared" si="11"/>
        <v>0.277576789387813</v>
      </c>
      <c r="O63" s="78"/>
    </row>
    <row r="64" spans="1:15" ht="9.75">
      <c r="A64" s="68"/>
      <c r="B64" s="29" t="s">
        <v>130</v>
      </c>
      <c r="C64" s="29"/>
      <c r="D64" s="6">
        <f>SUM(D61:D63)</f>
        <v>69235</v>
      </c>
      <c r="E64" s="6">
        <f>SUM(E61:E63)</f>
        <v>1250</v>
      </c>
      <c r="F64" s="6">
        <f>SUM(F61:F63)</f>
        <v>1054500</v>
      </c>
      <c r="G64" s="6">
        <f>SUM(G61:G63)</f>
        <v>531300</v>
      </c>
      <c r="H64" s="6">
        <f t="shared" si="10"/>
        <v>1656285</v>
      </c>
      <c r="I64" s="6">
        <f>SUM(I61:I63)</f>
        <v>14590</v>
      </c>
      <c r="J64" s="6">
        <f>SUM(J61:J63)</f>
        <v>4975</v>
      </c>
      <c r="K64" s="6">
        <f>SUM(K61:K63)</f>
        <v>351710</v>
      </c>
      <c r="L64" s="6">
        <f>SUM(L61:L63)</f>
        <v>200800</v>
      </c>
      <c r="M64" s="6">
        <f t="shared" si="7"/>
        <v>572075</v>
      </c>
      <c r="N64" s="28">
        <f t="shared" si="11"/>
        <v>0.3453964746405359</v>
      </c>
      <c r="O64" s="78"/>
    </row>
    <row r="65" spans="1:15" ht="18" customHeight="1">
      <c r="A65" s="68"/>
      <c r="B65" s="130" t="s">
        <v>20</v>
      </c>
      <c r="C65" s="17" t="s">
        <v>82</v>
      </c>
      <c r="D65" s="4">
        <v>12000</v>
      </c>
      <c r="E65" s="4">
        <v>24000</v>
      </c>
      <c r="F65" s="4"/>
      <c r="G65" s="4"/>
      <c r="H65" s="7">
        <f t="shared" si="10"/>
        <v>36000</v>
      </c>
      <c r="I65" s="7">
        <v>5864</v>
      </c>
      <c r="J65" s="7">
        <v>17252</v>
      </c>
      <c r="K65" s="7"/>
      <c r="L65" s="7"/>
      <c r="M65" s="7">
        <f t="shared" si="7"/>
        <v>23116</v>
      </c>
      <c r="N65" s="5">
        <f t="shared" si="11"/>
        <v>0.6421111111111111</v>
      </c>
      <c r="O65" s="78"/>
    </row>
    <row r="66" spans="1:15" ht="9.75">
      <c r="A66" s="68"/>
      <c r="B66" s="139"/>
      <c r="C66" s="18" t="s">
        <v>71</v>
      </c>
      <c r="D66" s="4">
        <v>391600</v>
      </c>
      <c r="E66" s="4">
        <v>15400</v>
      </c>
      <c r="F66" s="4"/>
      <c r="G66" s="4"/>
      <c r="H66" s="7">
        <f t="shared" si="10"/>
        <v>407000</v>
      </c>
      <c r="I66" s="7">
        <v>346382</v>
      </c>
      <c r="J66" s="7">
        <v>16410</v>
      </c>
      <c r="K66" s="7"/>
      <c r="L66" s="7"/>
      <c r="M66" s="7">
        <f t="shared" si="7"/>
        <v>362792</v>
      </c>
      <c r="N66" s="5">
        <f t="shared" si="11"/>
        <v>0.8913808353808353</v>
      </c>
      <c r="O66" s="78"/>
    </row>
    <row r="67" spans="1:15" ht="49.5" customHeight="1">
      <c r="A67" s="68"/>
      <c r="B67" s="19"/>
      <c r="C67" s="18" t="s">
        <v>104</v>
      </c>
      <c r="D67" s="4">
        <v>385000</v>
      </c>
      <c r="E67" s="4"/>
      <c r="F67" s="4"/>
      <c r="G67" s="4"/>
      <c r="H67" s="7">
        <f t="shared" si="10"/>
        <v>385000</v>
      </c>
      <c r="I67" s="7">
        <v>85328</v>
      </c>
      <c r="J67" s="7"/>
      <c r="K67" s="7"/>
      <c r="L67" s="7"/>
      <c r="M67" s="7">
        <f t="shared" si="7"/>
        <v>85328</v>
      </c>
      <c r="N67" s="5">
        <f t="shared" si="11"/>
        <v>0.22163116883116882</v>
      </c>
      <c r="O67" s="78"/>
    </row>
    <row r="68" spans="1:15" ht="9.75">
      <c r="A68" s="68"/>
      <c r="B68" s="19"/>
      <c r="C68" s="18" t="s">
        <v>237</v>
      </c>
      <c r="D68" s="4"/>
      <c r="E68" s="4"/>
      <c r="F68" s="4"/>
      <c r="G68" s="4"/>
      <c r="H68" s="7">
        <f t="shared" si="10"/>
        <v>0</v>
      </c>
      <c r="I68" s="7">
        <v>19370</v>
      </c>
      <c r="J68" s="7"/>
      <c r="K68" s="7"/>
      <c r="L68" s="7"/>
      <c r="M68" s="7">
        <f t="shared" si="7"/>
        <v>19370</v>
      </c>
      <c r="N68" s="5"/>
      <c r="O68" s="78"/>
    </row>
    <row r="69" spans="1:15" ht="9.75">
      <c r="A69" s="68"/>
      <c r="B69" s="19"/>
      <c r="C69" s="18" t="s">
        <v>72</v>
      </c>
      <c r="D69" s="4"/>
      <c r="E69" s="4"/>
      <c r="F69" s="4"/>
      <c r="G69" s="4"/>
      <c r="H69" s="7">
        <f t="shared" si="10"/>
        <v>0</v>
      </c>
      <c r="I69" s="7">
        <v>31239</v>
      </c>
      <c r="J69" s="7">
        <v>9582</v>
      </c>
      <c r="K69" s="7"/>
      <c r="L69" s="7"/>
      <c r="M69" s="7">
        <f t="shared" si="7"/>
        <v>40821</v>
      </c>
      <c r="N69" s="5"/>
      <c r="O69" s="78"/>
    </row>
    <row r="70" spans="1:15" ht="9.75">
      <c r="A70" s="68"/>
      <c r="B70" s="19"/>
      <c r="C70" s="18" t="s">
        <v>74</v>
      </c>
      <c r="D70" s="4">
        <v>21318</v>
      </c>
      <c r="E70" s="4"/>
      <c r="F70" s="4"/>
      <c r="G70" s="4"/>
      <c r="H70" s="7">
        <f aca="true" t="shared" si="12" ref="H70:H77">SUM(D70:G70)</f>
        <v>21318</v>
      </c>
      <c r="I70" s="7">
        <v>99922</v>
      </c>
      <c r="J70" s="7"/>
      <c r="K70" s="7"/>
      <c r="L70" s="7"/>
      <c r="M70" s="7">
        <f t="shared" si="7"/>
        <v>99922</v>
      </c>
      <c r="N70" s="5">
        <f>M70/H70</f>
        <v>4.687212684116709</v>
      </c>
      <c r="O70" s="78"/>
    </row>
    <row r="71" spans="1:15" ht="28.5" customHeight="1">
      <c r="A71" s="68"/>
      <c r="B71" s="19"/>
      <c r="C71" s="22" t="s">
        <v>83</v>
      </c>
      <c r="D71" s="4"/>
      <c r="E71" s="4">
        <v>12300</v>
      </c>
      <c r="F71" s="4"/>
      <c r="G71" s="4"/>
      <c r="H71" s="7">
        <f t="shared" si="12"/>
        <v>12300</v>
      </c>
      <c r="I71" s="9"/>
      <c r="J71" s="7">
        <v>4016</v>
      </c>
      <c r="K71" s="9"/>
      <c r="L71" s="9"/>
      <c r="M71" s="7">
        <f t="shared" si="7"/>
        <v>4016</v>
      </c>
      <c r="N71" s="5">
        <f>M71/H71</f>
        <v>0.3265040650406504</v>
      </c>
      <c r="O71" s="78"/>
    </row>
    <row r="72" spans="1:15" ht="9.75">
      <c r="A72" s="68"/>
      <c r="B72" s="33" t="s">
        <v>131</v>
      </c>
      <c r="C72" s="29"/>
      <c r="D72" s="6">
        <f>SUM(D65:D71)</f>
        <v>809918</v>
      </c>
      <c r="E72" s="6">
        <f>SUM(E65:E71)</f>
        <v>51700</v>
      </c>
      <c r="F72" s="6">
        <f>SUM(F65:F71)</f>
        <v>0</v>
      </c>
      <c r="G72" s="6">
        <f>SUM(G65:G71)</f>
        <v>0</v>
      </c>
      <c r="H72" s="6">
        <f t="shared" si="12"/>
        <v>861618</v>
      </c>
      <c r="I72" s="6">
        <f>SUM(I65:I71)</f>
        <v>588105</v>
      </c>
      <c r="J72" s="6">
        <f>SUM(J65:J71)</f>
        <v>47260</v>
      </c>
      <c r="K72" s="6">
        <f>SUM(K65:K71)</f>
        <v>0</v>
      </c>
      <c r="L72" s="6">
        <f>SUM(L65:L71)</f>
        <v>0</v>
      </c>
      <c r="M72" s="6">
        <f t="shared" si="7"/>
        <v>635365</v>
      </c>
      <c r="N72" s="28">
        <f>M72/H72</f>
        <v>0.7374091534763666</v>
      </c>
      <c r="O72" s="78"/>
    </row>
    <row r="73" spans="1:15" ht="38.25" customHeight="1">
      <c r="A73" s="68"/>
      <c r="B73" s="23" t="s">
        <v>21</v>
      </c>
      <c r="C73" s="27" t="s">
        <v>69</v>
      </c>
      <c r="D73" s="4"/>
      <c r="E73" s="4"/>
      <c r="F73" s="4"/>
      <c r="G73" s="4">
        <v>94000</v>
      </c>
      <c r="H73" s="7">
        <f t="shared" si="12"/>
        <v>94000</v>
      </c>
      <c r="I73" s="7"/>
      <c r="J73" s="7"/>
      <c r="K73" s="7"/>
      <c r="L73" s="7">
        <v>57077</v>
      </c>
      <c r="M73" s="7">
        <f t="shared" si="7"/>
        <v>57077</v>
      </c>
      <c r="N73" s="5">
        <f>M73/H73</f>
        <v>0.6072021276595745</v>
      </c>
      <c r="O73" s="78"/>
    </row>
    <row r="74" spans="1:15" ht="9.75">
      <c r="A74" s="68"/>
      <c r="B74" s="33" t="s">
        <v>132</v>
      </c>
      <c r="C74" s="29"/>
      <c r="D74" s="6">
        <f>SUM(D73)</f>
        <v>0</v>
      </c>
      <c r="E74" s="6">
        <f>SUM(E73)</f>
        <v>0</v>
      </c>
      <c r="F74" s="6">
        <f>SUM(F73)</f>
        <v>0</v>
      </c>
      <c r="G74" s="6">
        <f>SUM(G73)</f>
        <v>94000</v>
      </c>
      <c r="H74" s="6">
        <f t="shared" si="12"/>
        <v>94000</v>
      </c>
      <c r="I74" s="6">
        <f>SUM(I73)</f>
        <v>0</v>
      </c>
      <c r="J74" s="6">
        <f>SUM(J73)</f>
        <v>0</v>
      </c>
      <c r="K74" s="6">
        <f>SUM(K73)</f>
        <v>0</v>
      </c>
      <c r="L74" s="6">
        <f>SUM(L73)</f>
        <v>57077</v>
      </c>
      <c r="M74" s="6">
        <f>SUM(M73)</f>
        <v>57077</v>
      </c>
      <c r="N74" s="28">
        <f>M74/H74</f>
        <v>0.6072021276595745</v>
      </c>
      <c r="O74" s="78"/>
    </row>
    <row r="75" spans="1:15" s="10" customFormat="1" ht="9.75">
      <c r="A75" s="69"/>
      <c r="B75" s="120" t="s">
        <v>22</v>
      </c>
      <c r="C75" s="18" t="s">
        <v>72</v>
      </c>
      <c r="D75" s="13"/>
      <c r="E75" s="13"/>
      <c r="F75" s="13"/>
      <c r="G75" s="13"/>
      <c r="H75" s="7">
        <f t="shared" si="12"/>
        <v>0</v>
      </c>
      <c r="I75" s="7">
        <v>773</v>
      </c>
      <c r="J75" s="13"/>
      <c r="K75" s="13"/>
      <c r="L75" s="13"/>
      <c r="M75" s="7">
        <f aca="true" t="shared" si="13" ref="M75:M81">SUM(I75:L75)</f>
        <v>773</v>
      </c>
      <c r="N75" s="5"/>
      <c r="O75" s="80"/>
    </row>
    <row r="76" spans="1:15" s="10" customFormat="1" ht="9.75">
      <c r="A76" s="69"/>
      <c r="B76" s="121"/>
      <c r="C76" s="18" t="s">
        <v>74</v>
      </c>
      <c r="D76" s="13"/>
      <c r="E76" s="13"/>
      <c r="F76" s="13"/>
      <c r="G76" s="13"/>
      <c r="H76" s="7">
        <f t="shared" si="12"/>
        <v>0</v>
      </c>
      <c r="I76" s="7">
        <v>20170</v>
      </c>
      <c r="J76" s="13"/>
      <c r="K76" s="13"/>
      <c r="L76" s="13"/>
      <c r="M76" s="7">
        <f t="shared" si="13"/>
        <v>20170</v>
      </c>
      <c r="N76" s="5"/>
      <c r="O76" s="80"/>
    </row>
    <row r="77" spans="1:15" s="10" customFormat="1" ht="19.5">
      <c r="A77" s="69"/>
      <c r="B77" s="121"/>
      <c r="C77" s="18" t="s">
        <v>204</v>
      </c>
      <c r="D77" s="13"/>
      <c r="E77" s="13"/>
      <c r="F77" s="13"/>
      <c r="G77" s="13"/>
      <c r="H77" s="7">
        <f t="shared" si="12"/>
        <v>0</v>
      </c>
      <c r="I77" s="7">
        <v>53180</v>
      </c>
      <c r="J77" s="13"/>
      <c r="K77" s="13"/>
      <c r="L77" s="13"/>
      <c r="M77" s="7">
        <f t="shared" si="13"/>
        <v>53180</v>
      </c>
      <c r="N77" s="5"/>
      <c r="O77" s="80"/>
    </row>
    <row r="78" spans="1:15" ht="42.75" customHeight="1">
      <c r="A78" s="68"/>
      <c r="B78" s="122"/>
      <c r="C78" s="18" t="s">
        <v>70</v>
      </c>
      <c r="D78" s="4">
        <v>13000</v>
      </c>
      <c r="E78" s="4"/>
      <c r="F78" s="4"/>
      <c r="G78" s="4"/>
      <c r="H78" s="7">
        <f aca="true" t="shared" si="14" ref="H78:H83">SUM(D78:G78)</f>
        <v>13000</v>
      </c>
      <c r="I78" s="13">
        <v>42</v>
      </c>
      <c r="J78" s="9"/>
      <c r="K78" s="9"/>
      <c r="L78" s="9"/>
      <c r="M78" s="7">
        <f t="shared" si="13"/>
        <v>42</v>
      </c>
      <c r="N78" s="5">
        <f aca="true" t="shared" si="15" ref="N78:N83">M78/H78</f>
        <v>0.0032307692307692306</v>
      </c>
      <c r="O78" s="78"/>
    </row>
    <row r="79" spans="1:15" ht="9.75">
      <c r="A79" s="68"/>
      <c r="B79" s="37" t="s">
        <v>133</v>
      </c>
      <c r="C79" s="34"/>
      <c r="D79" s="6">
        <f>SUM(D78)</f>
        <v>13000</v>
      </c>
      <c r="E79" s="6">
        <f>SUM(E78)</f>
        <v>0</v>
      </c>
      <c r="F79" s="6">
        <f>SUM(F78)</f>
        <v>0</v>
      </c>
      <c r="G79" s="6">
        <f>SUM(G78)</f>
        <v>0</v>
      </c>
      <c r="H79" s="6">
        <f t="shared" si="14"/>
        <v>13000</v>
      </c>
      <c r="I79" s="6">
        <f>SUM(I75:I78)</f>
        <v>74165</v>
      </c>
      <c r="J79" s="6">
        <f>SUM(J75:J78)</f>
        <v>0</v>
      </c>
      <c r="K79" s="6">
        <f>SUM(K75:K78)</f>
        <v>0</v>
      </c>
      <c r="L79" s="6">
        <f>SUM(L75:L78)</f>
        <v>0</v>
      </c>
      <c r="M79" s="6">
        <f t="shared" si="13"/>
        <v>74165</v>
      </c>
      <c r="N79" s="28">
        <f t="shared" si="15"/>
        <v>5.705</v>
      </c>
      <c r="O79" s="78"/>
    </row>
    <row r="80" spans="1:15" ht="11.25">
      <c r="A80" s="56" t="s">
        <v>23</v>
      </c>
      <c r="B80" s="36"/>
      <c r="C80" s="24"/>
      <c r="D80" s="25">
        <f>SUM(D79,D74,D72,D64)</f>
        <v>892153</v>
      </c>
      <c r="E80" s="25">
        <f>SUM(E79,E74,E72,E64)</f>
        <v>52950</v>
      </c>
      <c r="F80" s="25">
        <f>SUM(F79,F74,F72,F64)</f>
        <v>1054500</v>
      </c>
      <c r="G80" s="25">
        <f>SUM(G79,G74,G72,G64)</f>
        <v>625300</v>
      </c>
      <c r="H80" s="25">
        <f t="shared" si="14"/>
        <v>2624903</v>
      </c>
      <c r="I80" s="25">
        <f>SUM(I79,I74,I72,I64)</f>
        <v>676860</v>
      </c>
      <c r="J80" s="25">
        <f>SUM(J79,J74,J72,J64)</f>
        <v>52235</v>
      </c>
      <c r="K80" s="25">
        <f>SUM(K79,K74,K72,K64)</f>
        <v>351710</v>
      </c>
      <c r="L80" s="25">
        <f>SUM(L79,L74,L72,L64)</f>
        <v>257877</v>
      </c>
      <c r="M80" s="25">
        <f t="shared" si="13"/>
        <v>1338682</v>
      </c>
      <c r="N80" s="30">
        <f t="shared" si="15"/>
        <v>0.5099929406915227</v>
      </c>
      <c r="O80" s="78"/>
    </row>
    <row r="81" spans="1:15" ht="59.25" customHeight="1">
      <c r="A81" s="117" t="s">
        <v>24</v>
      </c>
      <c r="B81" s="23" t="s">
        <v>25</v>
      </c>
      <c r="C81" s="27" t="s">
        <v>129</v>
      </c>
      <c r="D81" s="4"/>
      <c r="E81" s="4"/>
      <c r="F81" s="4">
        <v>36610</v>
      </c>
      <c r="G81" s="4"/>
      <c r="H81" s="7">
        <f t="shared" si="14"/>
        <v>36610</v>
      </c>
      <c r="I81" s="7"/>
      <c r="J81" s="7"/>
      <c r="K81" s="7">
        <v>12204</v>
      </c>
      <c r="L81" s="7"/>
      <c r="M81" s="7">
        <f t="shared" si="13"/>
        <v>12204</v>
      </c>
      <c r="N81" s="5">
        <f t="shared" si="15"/>
        <v>0.33335154329418193</v>
      </c>
      <c r="O81" s="78"/>
    </row>
    <row r="82" spans="1:15" ht="13.5" customHeight="1">
      <c r="A82" s="117"/>
      <c r="B82" s="37" t="s">
        <v>134</v>
      </c>
      <c r="C82" s="34"/>
      <c r="D82" s="6">
        <f aca="true" t="shared" si="16" ref="D82:G83">SUM(D81)</f>
        <v>0</v>
      </c>
      <c r="E82" s="6">
        <f t="shared" si="16"/>
        <v>0</v>
      </c>
      <c r="F82" s="6">
        <f t="shared" si="16"/>
        <v>36610</v>
      </c>
      <c r="G82" s="6">
        <f t="shared" si="16"/>
        <v>0</v>
      </c>
      <c r="H82" s="6">
        <f t="shared" si="14"/>
        <v>36610</v>
      </c>
      <c r="I82" s="6">
        <f aca="true" t="shared" si="17" ref="I82:M83">SUM(I81)</f>
        <v>0</v>
      </c>
      <c r="J82" s="6">
        <f t="shared" si="17"/>
        <v>0</v>
      </c>
      <c r="K82" s="6">
        <f t="shared" si="17"/>
        <v>12204</v>
      </c>
      <c r="L82" s="6">
        <f t="shared" si="17"/>
        <v>0</v>
      </c>
      <c r="M82" s="6">
        <f t="shared" si="17"/>
        <v>12204</v>
      </c>
      <c r="N82" s="28">
        <f t="shared" si="15"/>
        <v>0.33335154329418193</v>
      </c>
      <c r="O82" s="78"/>
    </row>
    <row r="83" spans="1:15" ht="11.25">
      <c r="A83" s="56" t="s">
        <v>26</v>
      </c>
      <c r="B83" s="36"/>
      <c r="C83" s="24"/>
      <c r="D83" s="25">
        <f t="shared" si="16"/>
        <v>0</v>
      </c>
      <c r="E83" s="25">
        <f t="shared" si="16"/>
        <v>0</v>
      </c>
      <c r="F83" s="25">
        <f t="shared" si="16"/>
        <v>36610</v>
      </c>
      <c r="G83" s="25">
        <f t="shared" si="16"/>
        <v>0</v>
      </c>
      <c r="H83" s="25">
        <f t="shared" si="14"/>
        <v>36610</v>
      </c>
      <c r="I83" s="25">
        <f t="shared" si="17"/>
        <v>0</v>
      </c>
      <c r="J83" s="25">
        <f t="shared" si="17"/>
        <v>0</v>
      </c>
      <c r="K83" s="25">
        <f t="shared" si="17"/>
        <v>12204</v>
      </c>
      <c r="L83" s="25">
        <f t="shared" si="17"/>
        <v>0</v>
      </c>
      <c r="M83" s="25">
        <f t="shared" si="17"/>
        <v>12204</v>
      </c>
      <c r="N83" s="30">
        <f t="shared" si="15"/>
        <v>0.33335154329418193</v>
      </c>
      <c r="O83" s="78"/>
    </row>
    <row r="84" spans="1:15" s="10" customFormat="1" ht="11.25">
      <c r="A84" s="116" t="s">
        <v>27</v>
      </c>
      <c r="B84" s="119" t="s">
        <v>28</v>
      </c>
      <c r="C84" s="18" t="s">
        <v>72</v>
      </c>
      <c r="D84" s="47"/>
      <c r="E84" s="47"/>
      <c r="F84" s="47"/>
      <c r="G84" s="47"/>
      <c r="H84" s="7">
        <f aca="true" t="shared" si="18" ref="H84:H90">SUM(D84:G84)</f>
        <v>0</v>
      </c>
      <c r="I84" s="47"/>
      <c r="J84" s="7">
        <v>1618</v>
      </c>
      <c r="K84" s="47"/>
      <c r="L84" s="47"/>
      <c r="M84" s="7">
        <f aca="true" t="shared" si="19" ref="M84:M115">SUM(I84:L84)</f>
        <v>1618</v>
      </c>
      <c r="N84" s="5"/>
      <c r="O84" s="80"/>
    </row>
    <row r="85" spans="1:15" ht="48.75">
      <c r="A85" s="117"/>
      <c r="B85" s="119"/>
      <c r="C85" s="17" t="s">
        <v>69</v>
      </c>
      <c r="D85" s="4"/>
      <c r="E85" s="4"/>
      <c r="F85" s="4"/>
      <c r="G85" s="4">
        <v>7826000</v>
      </c>
      <c r="H85" s="7">
        <f t="shared" si="18"/>
        <v>7826000</v>
      </c>
      <c r="I85" s="7"/>
      <c r="J85" s="7"/>
      <c r="K85" s="7"/>
      <c r="L85" s="7">
        <v>3491574</v>
      </c>
      <c r="M85" s="7">
        <f t="shared" si="19"/>
        <v>3491574</v>
      </c>
      <c r="N85" s="5">
        <f>M85/H85</f>
        <v>0.44615052389470994</v>
      </c>
      <c r="O85" s="78"/>
    </row>
    <row r="86" spans="1:15" ht="29.25">
      <c r="A86" s="117"/>
      <c r="B86" s="119"/>
      <c r="C86" s="18" t="s">
        <v>77</v>
      </c>
      <c r="D86" s="4"/>
      <c r="E86" s="4">
        <v>1100</v>
      </c>
      <c r="F86" s="4"/>
      <c r="G86" s="4"/>
      <c r="H86" s="7">
        <f t="shared" si="18"/>
        <v>1100</v>
      </c>
      <c r="I86" s="9"/>
      <c r="J86" s="7"/>
      <c r="K86" s="9"/>
      <c r="L86" s="9"/>
      <c r="M86" s="7">
        <f t="shared" si="19"/>
        <v>0</v>
      </c>
      <c r="N86" s="5">
        <f>M86/H86</f>
        <v>0</v>
      </c>
      <c r="O86" s="78"/>
    </row>
    <row r="87" spans="1:15" ht="48.75">
      <c r="A87" s="117"/>
      <c r="B87" s="119"/>
      <c r="C87" s="22" t="s">
        <v>135</v>
      </c>
      <c r="D87" s="4"/>
      <c r="E87" s="4"/>
      <c r="F87" s="4"/>
      <c r="G87" s="4">
        <f>60000+200000</f>
        <v>260000</v>
      </c>
      <c r="H87" s="7">
        <f t="shared" si="18"/>
        <v>260000</v>
      </c>
      <c r="I87" s="7"/>
      <c r="J87" s="7"/>
      <c r="K87" s="7"/>
      <c r="L87" s="7"/>
      <c r="M87" s="7">
        <f t="shared" si="19"/>
        <v>0</v>
      </c>
      <c r="N87" s="5">
        <f>M87/H87</f>
        <v>0</v>
      </c>
      <c r="O87" s="78"/>
    </row>
    <row r="88" spans="1:15" ht="9.75">
      <c r="A88" s="117"/>
      <c r="B88" s="33" t="s">
        <v>136</v>
      </c>
      <c r="C88" s="29"/>
      <c r="D88" s="6">
        <f>SUM(D85:D87)</f>
        <v>0</v>
      </c>
      <c r="E88" s="6">
        <f>SUM(E85:E87)</f>
        <v>1100</v>
      </c>
      <c r="F88" s="6">
        <f>SUM(F85:F87)</f>
        <v>0</v>
      </c>
      <c r="G88" s="6">
        <f>SUM(G85:G87)</f>
        <v>8086000</v>
      </c>
      <c r="H88" s="6">
        <f t="shared" si="18"/>
        <v>8087100</v>
      </c>
      <c r="I88" s="6">
        <f>SUM(I84:I87)</f>
        <v>0</v>
      </c>
      <c r="J88" s="6">
        <f>SUM(J84:J87)</f>
        <v>1618</v>
      </c>
      <c r="K88" s="6">
        <f>SUM(K84:K87)</f>
        <v>0</v>
      </c>
      <c r="L88" s="6">
        <f>SUM(L84:L87)</f>
        <v>3491574</v>
      </c>
      <c r="M88" s="6">
        <f t="shared" si="19"/>
        <v>3493192</v>
      </c>
      <c r="N88" s="28">
        <f>M88/H88</f>
        <v>0.4319461859010028</v>
      </c>
      <c r="O88" s="78"/>
    </row>
    <row r="89" spans="1:15" ht="19.5">
      <c r="A89" s="117"/>
      <c r="B89" s="120" t="s">
        <v>58</v>
      </c>
      <c r="C89" s="27" t="s">
        <v>85</v>
      </c>
      <c r="D89" s="4">
        <v>50000</v>
      </c>
      <c r="E89" s="4"/>
      <c r="F89" s="4"/>
      <c r="G89" s="4"/>
      <c r="H89" s="7">
        <f t="shared" si="18"/>
        <v>50000</v>
      </c>
      <c r="I89" s="7">
        <v>14976</v>
      </c>
      <c r="J89" s="7"/>
      <c r="K89" s="7"/>
      <c r="L89" s="7"/>
      <c r="M89" s="7">
        <f t="shared" si="19"/>
        <v>14976</v>
      </c>
      <c r="N89" s="5">
        <f>M89/H89</f>
        <v>0.29952</v>
      </c>
      <c r="O89" s="78"/>
    </row>
    <row r="90" spans="1:15" ht="9.75">
      <c r="A90" s="117"/>
      <c r="B90" s="122"/>
      <c r="C90" s="18" t="s">
        <v>71</v>
      </c>
      <c r="D90" s="4"/>
      <c r="E90" s="4"/>
      <c r="F90" s="4"/>
      <c r="G90" s="4"/>
      <c r="H90" s="7">
        <f t="shared" si="18"/>
        <v>0</v>
      </c>
      <c r="I90" s="7">
        <v>58</v>
      </c>
      <c r="J90" s="7"/>
      <c r="K90" s="7"/>
      <c r="L90" s="7"/>
      <c r="M90" s="7">
        <f t="shared" si="19"/>
        <v>58</v>
      </c>
      <c r="N90" s="5"/>
      <c r="O90" s="78"/>
    </row>
    <row r="91" spans="1:15" ht="9.75">
      <c r="A91" s="118"/>
      <c r="B91" s="37" t="s">
        <v>137</v>
      </c>
      <c r="C91" s="34"/>
      <c r="D91" s="6">
        <f>SUM(D89)</f>
        <v>50000</v>
      </c>
      <c r="E91" s="6">
        <f>SUM(E89)</f>
        <v>0</v>
      </c>
      <c r="F91" s="6">
        <f>SUM(F89)</f>
        <v>0</v>
      </c>
      <c r="G91" s="6">
        <f>SUM(G89)</f>
        <v>0</v>
      </c>
      <c r="H91" s="6">
        <f aca="true" t="shared" si="20" ref="H91:H131">SUM(D91:G91)</f>
        <v>50000</v>
      </c>
      <c r="I91" s="6">
        <f>SUM(I89:I90)</f>
        <v>15034</v>
      </c>
      <c r="J91" s="6">
        <f>SUM(J89:J90)</f>
        <v>0</v>
      </c>
      <c r="K91" s="6">
        <f>SUM(K89:K90)</f>
        <v>0</v>
      </c>
      <c r="L91" s="6">
        <f>SUM(L89:L90)</f>
        <v>0</v>
      </c>
      <c r="M91" s="6">
        <f t="shared" si="19"/>
        <v>15034</v>
      </c>
      <c r="N91" s="28">
        <f aca="true" t="shared" si="21" ref="N91:N131">M91/H91</f>
        <v>0.30068</v>
      </c>
      <c r="O91" s="78"/>
    </row>
    <row r="92" spans="1:15" ht="11.25">
      <c r="A92" s="56" t="s">
        <v>29</v>
      </c>
      <c r="B92" s="36"/>
      <c r="C92" s="24"/>
      <c r="D92" s="25">
        <f>SUM(D91,D88)</f>
        <v>50000</v>
      </c>
      <c r="E92" s="25">
        <f>SUM(E91,E88)</f>
        <v>1100</v>
      </c>
      <c r="F92" s="25">
        <f>SUM(F91,F88)</f>
        <v>0</v>
      </c>
      <c r="G92" s="25">
        <f>SUM(G91,G88)</f>
        <v>8086000</v>
      </c>
      <c r="H92" s="25">
        <f t="shared" si="20"/>
        <v>8137100</v>
      </c>
      <c r="I92" s="25">
        <f>SUM(I91,I88)</f>
        <v>15034</v>
      </c>
      <c r="J92" s="25">
        <f>SUM(J91,J88)</f>
        <v>1618</v>
      </c>
      <c r="K92" s="25">
        <f>SUM(K91,K88)</f>
        <v>0</v>
      </c>
      <c r="L92" s="25">
        <f>SUM(L91,L88)</f>
        <v>3491574</v>
      </c>
      <c r="M92" s="25">
        <f t="shared" si="19"/>
        <v>3508226</v>
      </c>
      <c r="N92" s="30">
        <f t="shared" si="21"/>
        <v>0.43113959518747463</v>
      </c>
      <c r="O92" s="78"/>
    </row>
    <row r="93" spans="1:15" ht="29.25">
      <c r="A93" s="117" t="s">
        <v>103</v>
      </c>
      <c r="B93" s="130" t="s">
        <v>30</v>
      </c>
      <c r="C93" s="17" t="s">
        <v>138</v>
      </c>
      <c r="D93" s="4">
        <v>1000000</v>
      </c>
      <c r="E93" s="4"/>
      <c r="F93" s="4"/>
      <c r="G93" s="4"/>
      <c r="H93" s="7">
        <f t="shared" si="20"/>
        <v>1000000</v>
      </c>
      <c r="I93" s="7">
        <v>332485</v>
      </c>
      <c r="J93" s="9"/>
      <c r="K93" s="9"/>
      <c r="L93" s="9"/>
      <c r="M93" s="7">
        <f t="shared" si="19"/>
        <v>332485</v>
      </c>
      <c r="N93" s="5">
        <f t="shared" si="21"/>
        <v>0.332485</v>
      </c>
      <c r="O93" s="78"/>
    </row>
    <row r="94" spans="1:15" ht="19.5">
      <c r="A94" s="117"/>
      <c r="B94" s="131"/>
      <c r="C94" s="22" t="s">
        <v>86</v>
      </c>
      <c r="D94" s="4">
        <v>60000</v>
      </c>
      <c r="E94" s="4"/>
      <c r="F94" s="4"/>
      <c r="G94" s="4"/>
      <c r="H94" s="7">
        <f t="shared" si="20"/>
        <v>60000</v>
      </c>
      <c r="I94" s="7">
        <v>11290</v>
      </c>
      <c r="J94" s="7"/>
      <c r="K94" s="7"/>
      <c r="L94" s="7"/>
      <c r="M94" s="7">
        <f t="shared" si="19"/>
        <v>11290</v>
      </c>
      <c r="N94" s="5">
        <f t="shared" si="21"/>
        <v>0.18816666666666668</v>
      </c>
      <c r="O94" s="78"/>
    </row>
    <row r="95" spans="1:15" ht="9.75">
      <c r="A95" s="117"/>
      <c r="B95" s="33" t="s">
        <v>139</v>
      </c>
      <c r="C95" s="29"/>
      <c r="D95" s="6">
        <f>SUM(D93:D94)</f>
        <v>1060000</v>
      </c>
      <c r="E95" s="6">
        <f>SUM(E93:E94)</f>
        <v>0</v>
      </c>
      <c r="F95" s="6">
        <f>SUM(F93:F94)</f>
        <v>0</v>
      </c>
      <c r="G95" s="6">
        <f>SUM(G93:G94)</f>
        <v>0</v>
      </c>
      <c r="H95" s="6">
        <f t="shared" si="20"/>
        <v>1060000</v>
      </c>
      <c r="I95" s="6">
        <f>SUM(I93:I94)</f>
        <v>343775</v>
      </c>
      <c r="J95" s="6">
        <f>SUM(J93:J94)</f>
        <v>0</v>
      </c>
      <c r="K95" s="6">
        <f>SUM(K93:K94)</f>
        <v>0</v>
      </c>
      <c r="L95" s="6">
        <f>SUM(L93:L94)</f>
        <v>0</v>
      </c>
      <c r="M95" s="6">
        <f t="shared" si="19"/>
        <v>343775</v>
      </c>
      <c r="N95" s="28">
        <f t="shared" si="21"/>
        <v>0.32431603773584905</v>
      </c>
      <c r="O95" s="78"/>
    </row>
    <row r="96" spans="1:15" ht="9.75">
      <c r="A96" s="117"/>
      <c r="B96" s="124" t="s">
        <v>140</v>
      </c>
      <c r="C96" s="17" t="s">
        <v>87</v>
      </c>
      <c r="D96" s="4">
        <v>75600000</v>
      </c>
      <c r="E96" s="4"/>
      <c r="F96" s="4"/>
      <c r="G96" s="4"/>
      <c r="H96" s="7">
        <f t="shared" si="20"/>
        <v>75600000</v>
      </c>
      <c r="I96" s="7">
        <v>25842643</v>
      </c>
      <c r="J96" s="7"/>
      <c r="K96" s="7"/>
      <c r="L96" s="7"/>
      <c r="M96" s="7">
        <f t="shared" si="19"/>
        <v>25842643</v>
      </c>
      <c r="N96" s="5">
        <f t="shared" si="21"/>
        <v>0.34183390211640213</v>
      </c>
      <c r="O96" s="78"/>
    </row>
    <row r="97" spans="1:15" ht="9.75">
      <c r="A97" s="117"/>
      <c r="B97" s="124"/>
      <c r="C97" s="18" t="s">
        <v>88</v>
      </c>
      <c r="D97" s="4">
        <v>400</v>
      </c>
      <c r="E97" s="4"/>
      <c r="F97" s="4"/>
      <c r="G97" s="4"/>
      <c r="H97" s="7">
        <f t="shared" si="20"/>
        <v>400</v>
      </c>
      <c r="I97" s="7">
        <v>386</v>
      </c>
      <c r="J97" s="9"/>
      <c r="K97" s="9"/>
      <c r="L97" s="9"/>
      <c r="M97" s="7">
        <f t="shared" si="19"/>
        <v>386</v>
      </c>
      <c r="N97" s="5">
        <f t="shared" si="21"/>
        <v>0.965</v>
      </c>
      <c r="O97" s="78"/>
    </row>
    <row r="98" spans="1:15" ht="9.75">
      <c r="A98" s="117"/>
      <c r="B98" s="124"/>
      <c r="C98" s="18" t="s">
        <v>89</v>
      </c>
      <c r="D98" s="4">
        <v>64800</v>
      </c>
      <c r="E98" s="4"/>
      <c r="F98" s="4"/>
      <c r="G98" s="4"/>
      <c r="H98" s="7">
        <f t="shared" si="20"/>
        <v>64800</v>
      </c>
      <c r="I98" s="7">
        <v>22539</v>
      </c>
      <c r="J98" s="7"/>
      <c r="K98" s="7"/>
      <c r="L98" s="7"/>
      <c r="M98" s="7">
        <f t="shared" si="19"/>
        <v>22539</v>
      </c>
      <c r="N98" s="5">
        <f t="shared" si="21"/>
        <v>0.34782407407407406</v>
      </c>
      <c r="O98" s="78"/>
    </row>
    <row r="99" spans="1:15" ht="9.75">
      <c r="A99" s="117"/>
      <c r="B99" s="124"/>
      <c r="C99" s="18" t="s">
        <v>90</v>
      </c>
      <c r="D99" s="4">
        <v>2800000</v>
      </c>
      <c r="E99" s="4"/>
      <c r="F99" s="4"/>
      <c r="G99" s="4"/>
      <c r="H99" s="7">
        <f t="shared" si="20"/>
        <v>2800000</v>
      </c>
      <c r="I99" s="7">
        <v>1762252</v>
      </c>
      <c r="J99" s="7"/>
      <c r="K99" s="7"/>
      <c r="L99" s="7"/>
      <c r="M99" s="7">
        <f t="shared" si="19"/>
        <v>1762252</v>
      </c>
      <c r="N99" s="5">
        <f t="shared" si="21"/>
        <v>0.6293757142857143</v>
      </c>
      <c r="O99" s="78"/>
    </row>
    <row r="100" spans="1:15" ht="24" customHeight="1">
      <c r="A100" s="117"/>
      <c r="B100" s="124"/>
      <c r="C100" s="18" t="s">
        <v>91</v>
      </c>
      <c r="D100" s="4">
        <v>3100000</v>
      </c>
      <c r="E100" s="4"/>
      <c r="F100" s="4"/>
      <c r="G100" s="4"/>
      <c r="H100" s="7">
        <f t="shared" si="20"/>
        <v>3100000</v>
      </c>
      <c r="I100" s="7">
        <v>1411458</v>
      </c>
      <c r="J100" s="9"/>
      <c r="K100" s="9"/>
      <c r="L100" s="9"/>
      <c r="M100" s="7">
        <f t="shared" si="19"/>
        <v>1411458</v>
      </c>
      <c r="N100" s="5">
        <f t="shared" si="21"/>
        <v>0.4553090322580645</v>
      </c>
      <c r="O100" s="78"/>
    </row>
    <row r="101" spans="1:15" ht="19.5">
      <c r="A101" s="123"/>
      <c r="B101" s="124"/>
      <c r="C101" s="22" t="s">
        <v>86</v>
      </c>
      <c r="D101" s="4">
        <v>1000000</v>
      </c>
      <c r="E101" s="4"/>
      <c r="F101" s="4"/>
      <c r="G101" s="4"/>
      <c r="H101" s="7">
        <f t="shared" si="20"/>
        <v>1000000</v>
      </c>
      <c r="I101" s="7">
        <v>350242</v>
      </c>
      <c r="J101" s="13"/>
      <c r="K101" s="13"/>
      <c r="L101" s="13"/>
      <c r="M101" s="7">
        <f t="shared" si="19"/>
        <v>350242</v>
      </c>
      <c r="N101" s="5">
        <f t="shared" si="21"/>
        <v>0.350242</v>
      </c>
      <c r="O101" s="78"/>
    </row>
    <row r="102" spans="1:15" ht="9.75">
      <c r="A102" s="68"/>
      <c r="B102" s="33" t="s">
        <v>141</v>
      </c>
      <c r="C102" s="29"/>
      <c r="D102" s="6">
        <f>SUM(D96:D101)</f>
        <v>82565200</v>
      </c>
      <c r="E102" s="6">
        <f>SUM(E96:E101)</f>
        <v>0</v>
      </c>
      <c r="F102" s="6">
        <f>SUM(F96:F101)</f>
        <v>0</v>
      </c>
      <c r="G102" s="6">
        <f>SUM(G96:G101)</f>
        <v>0</v>
      </c>
      <c r="H102" s="6">
        <f t="shared" si="20"/>
        <v>82565200</v>
      </c>
      <c r="I102" s="6">
        <f>SUM(I96:I101)</f>
        <v>29389520</v>
      </c>
      <c r="J102" s="6">
        <f>SUM(J96:J101)</f>
        <v>0</v>
      </c>
      <c r="K102" s="6">
        <f>SUM(K96:K101)</f>
        <v>0</v>
      </c>
      <c r="L102" s="6">
        <f>SUM(L96:L101)</f>
        <v>0</v>
      </c>
      <c r="M102" s="6">
        <f t="shared" si="19"/>
        <v>29389520</v>
      </c>
      <c r="N102" s="28">
        <f t="shared" si="21"/>
        <v>0.3559552935134899</v>
      </c>
      <c r="O102" s="78"/>
    </row>
    <row r="103" spans="1:15" ht="9.75">
      <c r="A103" s="68"/>
      <c r="B103" s="124" t="s">
        <v>142</v>
      </c>
      <c r="C103" s="17" t="s">
        <v>87</v>
      </c>
      <c r="D103" s="4">
        <v>11900000</v>
      </c>
      <c r="E103" s="4"/>
      <c r="F103" s="4"/>
      <c r="G103" s="4"/>
      <c r="H103" s="7">
        <f t="shared" si="20"/>
        <v>11900000</v>
      </c>
      <c r="I103" s="7">
        <v>4433464</v>
      </c>
      <c r="J103" s="7"/>
      <c r="K103" s="7"/>
      <c r="L103" s="7"/>
      <c r="M103" s="7">
        <f t="shared" si="19"/>
        <v>4433464</v>
      </c>
      <c r="N103" s="5">
        <f t="shared" si="21"/>
        <v>0.37256</v>
      </c>
      <c r="O103" s="78"/>
    </row>
    <row r="104" spans="1:15" ht="9.75">
      <c r="A104" s="68"/>
      <c r="B104" s="124"/>
      <c r="C104" s="18" t="s">
        <v>88</v>
      </c>
      <c r="D104" s="4">
        <v>27600</v>
      </c>
      <c r="E104" s="4"/>
      <c r="F104" s="4"/>
      <c r="G104" s="4"/>
      <c r="H104" s="7">
        <f t="shared" si="20"/>
        <v>27600</v>
      </c>
      <c r="I104" s="7">
        <v>1301</v>
      </c>
      <c r="J104" s="7"/>
      <c r="K104" s="7"/>
      <c r="L104" s="7"/>
      <c r="M104" s="7">
        <f t="shared" si="19"/>
        <v>1301</v>
      </c>
      <c r="N104" s="5">
        <f t="shared" si="21"/>
        <v>0.04713768115942029</v>
      </c>
      <c r="O104" s="78"/>
    </row>
    <row r="105" spans="1:15" ht="9.75">
      <c r="A105" s="68"/>
      <c r="B105" s="124"/>
      <c r="C105" s="18" t="s">
        <v>89</v>
      </c>
      <c r="D105" s="4">
        <v>3200</v>
      </c>
      <c r="E105" s="4"/>
      <c r="F105" s="4"/>
      <c r="G105" s="4"/>
      <c r="H105" s="7">
        <f t="shared" si="20"/>
        <v>3200</v>
      </c>
      <c r="I105" s="7">
        <v>85</v>
      </c>
      <c r="J105" s="9"/>
      <c r="K105" s="9"/>
      <c r="L105" s="9"/>
      <c r="M105" s="7">
        <f t="shared" si="19"/>
        <v>85</v>
      </c>
      <c r="N105" s="5">
        <f t="shared" si="21"/>
        <v>0.0265625</v>
      </c>
      <c r="O105" s="78"/>
    </row>
    <row r="106" spans="1:15" ht="9.75">
      <c r="A106" s="68"/>
      <c r="B106" s="124"/>
      <c r="C106" s="18" t="s">
        <v>90</v>
      </c>
      <c r="D106" s="4">
        <v>1700000</v>
      </c>
      <c r="E106" s="4"/>
      <c r="F106" s="4"/>
      <c r="G106" s="4"/>
      <c r="H106" s="7">
        <f t="shared" si="20"/>
        <v>1700000</v>
      </c>
      <c r="I106" s="7">
        <v>760330</v>
      </c>
      <c r="J106" s="7"/>
      <c r="K106" s="7"/>
      <c r="L106" s="7"/>
      <c r="M106" s="7">
        <f t="shared" si="19"/>
        <v>760330</v>
      </c>
      <c r="N106" s="5">
        <f t="shared" si="21"/>
        <v>0.4472529411764706</v>
      </c>
      <c r="O106" s="78"/>
    </row>
    <row r="107" spans="1:15" ht="9.75">
      <c r="A107" s="68"/>
      <c r="B107" s="124"/>
      <c r="C107" s="18" t="s">
        <v>93</v>
      </c>
      <c r="D107" s="4">
        <v>3400000</v>
      </c>
      <c r="E107" s="4"/>
      <c r="F107" s="4"/>
      <c r="G107" s="4"/>
      <c r="H107" s="7">
        <f t="shared" si="20"/>
        <v>3400000</v>
      </c>
      <c r="I107" s="7">
        <v>907057</v>
      </c>
      <c r="J107" s="7"/>
      <c r="K107" s="7"/>
      <c r="L107" s="7"/>
      <c r="M107" s="7">
        <f t="shared" si="19"/>
        <v>907057</v>
      </c>
      <c r="N107" s="5">
        <f t="shared" si="21"/>
        <v>0.2667814705882353</v>
      </c>
      <c r="O107" s="78"/>
    </row>
    <row r="108" spans="1:15" ht="9.75">
      <c r="A108" s="68"/>
      <c r="B108" s="124"/>
      <c r="C108" s="18" t="s">
        <v>94</v>
      </c>
      <c r="D108" s="4">
        <v>100000</v>
      </c>
      <c r="E108" s="4"/>
      <c r="F108" s="4"/>
      <c r="G108" s="4"/>
      <c r="H108" s="7">
        <f t="shared" si="20"/>
        <v>100000</v>
      </c>
      <c r="I108" s="7">
        <v>59372</v>
      </c>
      <c r="J108" s="7"/>
      <c r="K108" s="7"/>
      <c r="L108" s="7"/>
      <c r="M108" s="7">
        <f t="shared" si="19"/>
        <v>59372</v>
      </c>
      <c r="N108" s="5">
        <f t="shared" si="21"/>
        <v>0.59372</v>
      </c>
      <c r="O108" s="78"/>
    </row>
    <row r="109" spans="1:15" ht="9.75">
      <c r="A109" s="68"/>
      <c r="B109" s="124"/>
      <c r="C109" s="18" t="s">
        <v>95</v>
      </c>
      <c r="D109" s="4">
        <v>1450000</v>
      </c>
      <c r="E109" s="4"/>
      <c r="F109" s="4"/>
      <c r="G109" s="4"/>
      <c r="H109" s="7">
        <f t="shared" si="20"/>
        <v>1450000</v>
      </c>
      <c r="I109" s="7">
        <v>215836</v>
      </c>
      <c r="J109" s="7"/>
      <c r="K109" s="7"/>
      <c r="L109" s="7"/>
      <c r="M109" s="7">
        <f t="shared" si="19"/>
        <v>215836</v>
      </c>
      <c r="N109" s="5">
        <f t="shared" si="21"/>
        <v>0.14885241379310346</v>
      </c>
      <c r="O109" s="78"/>
    </row>
    <row r="110" spans="1:15" ht="9.75">
      <c r="A110" s="68"/>
      <c r="B110" s="124"/>
      <c r="C110" s="18" t="s">
        <v>96</v>
      </c>
      <c r="D110" s="4">
        <v>125200</v>
      </c>
      <c r="E110" s="4"/>
      <c r="F110" s="4"/>
      <c r="G110" s="4"/>
      <c r="H110" s="7">
        <f t="shared" si="20"/>
        <v>125200</v>
      </c>
      <c r="I110" s="7">
        <v>56873</v>
      </c>
      <c r="J110" s="7"/>
      <c r="K110" s="7"/>
      <c r="L110" s="7"/>
      <c r="M110" s="7">
        <f t="shared" si="19"/>
        <v>56873</v>
      </c>
      <c r="N110" s="5">
        <f t="shared" si="21"/>
        <v>0.4542571884984026</v>
      </c>
      <c r="O110" s="78"/>
    </row>
    <row r="111" spans="1:15" ht="19.5">
      <c r="A111" s="68"/>
      <c r="B111" s="124"/>
      <c r="C111" s="18" t="s">
        <v>97</v>
      </c>
      <c r="D111" s="4">
        <v>6000</v>
      </c>
      <c r="E111" s="4"/>
      <c r="F111" s="4"/>
      <c r="G111" s="4"/>
      <c r="H111" s="7">
        <f t="shared" si="20"/>
        <v>6000</v>
      </c>
      <c r="I111" s="7">
        <v>1883</v>
      </c>
      <c r="J111" s="7"/>
      <c r="K111" s="7"/>
      <c r="L111" s="7"/>
      <c r="M111" s="7">
        <f t="shared" si="19"/>
        <v>1883</v>
      </c>
      <c r="N111" s="5">
        <f t="shared" si="21"/>
        <v>0.31383333333333335</v>
      </c>
      <c r="O111" s="78"/>
    </row>
    <row r="112" spans="1:15" ht="19.5" customHeight="1">
      <c r="A112" s="68"/>
      <c r="B112" s="124"/>
      <c r="C112" s="18" t="s">
        <v>91</v>
      </c>
      <c r="D112" s="4">
        <v>10900000</v>
      </c>
      <c r="E112" s="4"/>
      <c r="F112" s="4"/>
      <c r="G112" s="4"/>
      <c r="H112" s="7">
        <f t="shared" si="20"/>
        <v>10900000</v>
      </c>
      <c r="I112" s="7">
        <v>5359536</v>
      </c>
      <c r="J112" s="7"/>
      <c r="K112" s="7"/>
      <c r="L112" s="7"/>
      <c r="M112" s="7">
        <f t="shared" si="19"/>
        <v>5359536</v>
      </c>
      <c r="N112" s="5">
        <f t="shared" si="21"/>
        <v>0.4917005504587156</v>
      </c>
      <c r="O112" s="78"/>
    </row>
    <row r="113" spans="1:15" ht="9.75">
      <c r="A113" s="68"/>
      <c r="B113" s="124"/>
      <c r="C113" s="18" t="s">
        <v>92</v>
      </c>
      <c r="D113" s="4">
        <v>2000</v>
      </c>
      <c r="E113" s="4"/>
      <c r="F113" s="4"/>
      <c r="G113" s="4"/>
      <c r="H113" s="7">
        <f t="shared" si="20"/>
        <v>2000</v>
      </c>
      <c r="I113" s="7">
        <v>279</v>
      </c>
      <c r="J113" s="7"/>
      <c r="K113" s="7"/>
      <c r="L113" s="7"/>
      <c r="M113" s="7">
        <f t="shared" si="19"/>
        <v>279</v>
      </c>
      <c r="N113" s="5">
        <f t="shared" si="21"/>
        <v>0.1395</v>
      </c>
      <c r="O113" s="78"/>
    </row>
    <row r="114" spans="1:15" ht="19.5">
      <c r="A114" s="68"/>
      <c r="B114" s="124"/>
      <c r="C114" s="22" t="s">
        <v>86</v>
      </c>
      <c r="D114" s="4">
        <v>500000</v>
      </c>
      <c r="E114" s="4"/>
      <c r="F114" s="4"/>
      <c r="G114" s="4"/>
      <c r="H114" s="7">
        <f t="shared" si="20"/>
        <v>500000</v>
      </c>
      <c r="I114" s="7">
        <v>105139</v>
      </c>
      <c r="J114" s="7"/>
      <c r="K114" s="7"/>
      <c r="L114" s="7"/>
      <c r="M114" s="7">
        <f t="shared" si="19"/>
        <v>105139</v>
      </c>
      <c r="N114" s="5">
        <f t="shared" si="21"/>
        <v>0.210278</v>
      </c>
      <c r="O114" s="78"/>
    </row>
    <row r="115" spans="1:15" ht="9.75">
      <c r="A115" s="68"/>
      <c r="B115" s="33" t="s">
        <v>143</v>
      </c>
      <c r="C115" s="29"/>
      <c r="D115" s="6">
        <f>SUM(D103:D114)</f>
        <v>30114000</v>
      </c>
      <c r="E115" s="6">
        <f>SUM(E103:E114)</f>
        <v>0</v>
      </c>
      <c r="F115" s="6">
        <f>SUM(F103:F114)</f>
        <v>0</v>
      </c>
      <c r="G115" s="6">
        <f>SUM(G103:G114)</f>
        <v>0</v>
      </c>
      <c r="H115" s="6">
        <f t="shared" si="20"/>
        <v>30114000</v>
      </c>
      <c r="I115" s="6">
        <f>SUM(I103:I114)</f>
        <v>11901155</v>
      </c>
      <c r="J115" s="6">
        <f>SUM(J103:J114)</f>
        <v>0</v>
      </c>
      <c r="K115" s="6">
        <f>SUM(K103:K114)</f>
        <v>0</v>
      </c>
      <c r="L115" s="6">
        <f>SUM(L103:L114)</f>
        <v>0</v>
      </c>
      <c r="M115" s="6">
        <f t="shared" si="19"/>
        <v>11901155</v>
      </c>
      <c r="N115" s="28">
        <f t="shared" si="21"/>
        <v>0.39520339377033936</v>
      </c>
      <c r="O115" s="82"/>
    </row>
    <row r="116" spans="1:15" ht="9.75">
      <c r="A116" s="68"/>
      <c r="B116" s="124" t="s">
        <v>68</v>
      </c>
      <c r="C116" s="17" t="s">
        <v>98</v>
      </c>
      <c r="D116" s="4">
        <v>4738000</v>
      </c>
      <c r="E116" s="4"/>
      <c r="F116" s="4"/>
      <c r="G116" s="4"/>
      <c r="H116" s="7">
        <f t="shared" si="20"/>
        <v>4738000</v>
      </c>
      <c r="I116" s="7">
        <v>1372767</v>
      </c>
      <c r="J116" s="7"/>
      <c r="K116" s="7"/>
      <c r="L116" s="7"/>
      <c r="M116" s="7">
        <f aca="true" t="shared" si="22" ref="M116:M147">SUM(I116:L116)</f>
        <v>1372767</v>
      </c>
      <c r="N116" s="5">
        <f t="shared" si="21"/>
        <v>0.2897355424229633</v>
      </c>
      <c r="O116" s="78"/>
    </row>
    <row r="117" spans="1:15" ht="9.75">
      <c r="A117" s="68"/>
      <c r="B117" s="124"/>
      <c r="C117" s="18" t="s">
        <v>81</v>
      </c>
      <c r="D117" s="4"/>
      <c r="E117" s="4">
        <v>4200000</v>
      </c>
      <c r="F117" s="4"/>
      <c r="G117" s="4"/>
      <c r="H117" s="7">
        <f t="shared" si="20"/>
        <v>4200000</v>
      </c>
      <c r="I117" s="7"/>
      <c r="J117" s="7">
        <v>2067441</v>
      </c>
      <c r="K117" s="7"/>
      <c r="L117" s="7"/>
      <c r="M117" s="7">
        <f t="shared" si="22"/>
        <v>2067441</v>
      </c>
      <c r="N117" s="5">
        <f t="shared" si="21"/>
        <v>0.4922478571428571</v>
      </c>
      <c r="O117" s="78"/>
    </row>
    <row r="118" spans="1:15" ht="19.5">
      <c r="A118" s="68"/>
      <c r="B118" s="124"/>
      <c r="C118" s="18" t="s">
        <v>84</v>
      </c>
      <c r="D118" s="4">
        <v>3800000</v>
      </c>
      <c r="E118" s="4"/>
      <c r="F118" s="4"/>
      <c r="G118" s="4"/>
      <c r="H118" s="7">
        <f t="shared" si="20"/>
        <v>3800000</v>
      </c>
      <c r="I118" s="7">
        <v>2299908</v>
      </c>
      <c r="J118" s="7"/>
      <c r="K118" s="7"/>
      <c r="L118" s="7"/>
      <c r="M118" s="7">
        <f t="shared" si="22"/>
        <v>2299908</v>
      </c>
      <c r="N118" s="5">
        <f t="shared" si="21"/>
        <v>0.6052389473684211</v>
      </c>
      <c r="O118" s="78"/>
    </row>
    <row r="119" spans="1:15" ht="18.75" customHeight="1">
      <c r="A119" s="68"/>
      <c r="B119" s="124"/>
      <c r="C119" s="22" t="s">
        <v>86</v>
      </c>
      <c r="D119" s="4">
        <v>40000</v>
      </c>
      <c r="E119" s="4"/>
      <c r="F119" s="4"/>
      <c r="G119" s="4"/>
      <c r="H119" s="7">
        <f t="shared" si="20"/>
        <v>40000</v>
      </c>
      <c r="I119" s="7">
        <v>9130</v>
      </c>
      <c r="J119" s="9"/>
      <c r="K119" s="9"/>
      <c r="L119" s="9"/>
      <c r="M119" s="7">
        <f t="shared" si="22"/>
        <v>9130</v>
      </c>
      <c r="N119" s="5">
        <f t="shared" si="21"/>
        <v>0.22825</v>
      </c>
      <c r="O119" s="78"/>
    </row>
    <row r="120" spans="1:15" ht="16.5" customHeight="1">
      <c r="A120" s="68"/>
      <c r="B120" s="33" t="s">
        <v>144</v>
      </c>
      <c r="C120" s="29"/>
      <c r="D120" s="6">
        <f>SUM(D116:D119)</f>
        <v>8578000</v>
      </c>
      <c r="E120" s="6">
        <f>SUM(E116:E119)</f>
        <v>4200000</v>
      </c>
      <c r="F120" s="6">
        <f>SUM(F116:F119)</f>
        <v>0</v>
      </c>
      <c r="G120" s="6">
        <f>SUM(G116:G119)</f>
        <v>0</v>
      </c>
      <c r="H120" s="6">
        <f t="shared" si="20"/>
        <v>12778000</v>
      </c>
      <c r="I120" s="6">
        <f>SUM(I116:I119)</f>
        <v>3681805</v>
      </c>
      <c r="J120" s="6">
        <f>SUM(J116:J119)</f>
        <v>2067441</v>
      </c>
      <c r="K120" s="6">
        <f>SUM(K116:K119)</f>
        <v>0</v>
      </c>
      <c r="L120" s="6">
        <f>SUM(L116:L119)</f>
        <v>0</v>
      </c>
      <c r="M120" s="6">
        <f t="shared" si="22"/>
        <v>5749246</v>
      </c>
      <c r="N120" s="28">
        <f t="shared" si="21"/>
        <v>0.44993316637971514</v>
      </c>
      <c r="O120" s="78"/>
    </row>
    <row r="121" spans="1:15" ht="21.75" customHeight="1">
      <c r="A121" s="68"/>
      <c r="B121" s="124" t="s">
        <v>31</v>
      </c>
      <c r="C121" s="17" t="s">
        <v>99</v>
      </c>
      <c r="D121" s="4">
        <f>137843412+923116</f>
        <v>138766528</v>
      </c>
      <c r="E121" s="4"/>
      <c r="F121" s="4"/>
      <c r="G121" s="4"/>
      <c r="H121" s="7">
        <f t="shared" si="20"/>
        <v>138766528</v>
      </c>
      <c r="I121" s="7">
        <v>41853056</v>
      </c>
      <c r="J121" s="9"/>
      <c r="K121" s="9"/>
      <c r="L121" s="9"/>
      <c r="M121" s="7">
        <f t="shared" si="22"/>
        <v>41853056</v>
      </c>
      <c r="N121" s="5">
        <f t="shared" si="21"/>
        <v>0.3016077191179706</v>
      </c>
      <c r="O121" s="78"/>
    </row>
    <row r="122" spans="1:15" ht="19.5">
      <c r="A122" s="68"/>
      <c r="B122" s="124"/>
      <c r="C122" s="22" t="s">
        <v>100</v>
      </c>
      <c r="D122" s="4">
        <v>10772284</v>
      </c>
      <c r="E122" s="4"/>
      <c r="F122" s="4"/>
      <c r="G122" s="4"/>
      <c r="H122" s="7">
        <f t="shared" si="20"/>
        <v>10772284</v>
      </c>
      <c r="I122" s="7">
        <v>4348170</v>
      </c>
      <c r="J122" s="7"/>
      <c r="K122" s="7"/>
      <c r="L122" s="7"/>
      <c r="M122" s="7">
        <f t="shared" si="22"/>
        <v>4348170</v>
      </c>
      <c r="N122" s="5">
        <f t="shared" si="21"/>
        <v>0.4036442039589747</v>
      </c>
      <c r="O122" s="78"/>
    </row>
    <row r="123" spans="1:15" ht="13.5" customHeight="1">
      <c r="A123" s="68"/>
      <c r="B123" s="33" t="s">
        <v>145</v>
      </c>
      <c r="C123" s="29"/>
      <c r="D123" s="6">
        <f>SUM(D121:D122)</f>
        <v>149538812</v>
      </c>
      <c r="E123" s="6">
        <f>SUM(E121:E122)</f>
        <v>0</v>
      </c>
      <c r="F123" s="6">
        <f>SUM(F121:F122)</f>
        <v>0</v>
      </c>
      <c r="G123" s="6">
        <f>SUM(G121:G122)</f>
        <v>0</v>
      </c>
      <c r="H123" s="6">
        <f t="shared" si="20"/>
        <v>149538812</v>
      </c>
      <c r="I123" s="6">
        <f>SUM(I121:I122)</f>
        <v>46201226</v>
      </c>
      <c r="J123" s="6">
        <f>SUM(J121:J122)</f>
        <v>0</v>
      </c>
      <c r="K123" s="6">
        <f>SUM(K121:K122)</f>
        <v>0</v>
      </c>
      <c r="L123" s="6">
        <f>SUM(L121:L122)</f>
        <v>0</v>
      </c>
      <c r="M123" s="6">
        <f t="shared" si="22"/>
        <v>46201226</v>
      </c>
      <c r="N123" s="28">
        <f t="shared" si="21"/>
        <v>0.30895809176282607</v>
      </c>
      <c r="O123" s="78"/>
    </row>
    <row r="124" spans="1:15" ht="19.5">
      <c r="A124" s="68"/>
      <c r="B124" s="124" t="s">
        <v>32</v>
      </c>
      <c r="C124" s="17" t="s">
        <v>99</v>
      </c>
      <c r="D124" s="4"/>
      <c r="E124" s="4">
        <f>39676916+265710</f>
        <v>39942626</v>
      </c>
      <c r="F124" s="4"/>
      <c r="G124" s="4"/>
      <c r="H124" s="7">
        <f t="shared" si="20"/>
        <v>39942626</v>
      </c>
      <c r="I124" s="7"/>
      <c r="J124" s="7">
        <v>12047109</v>
      </c>
      <c r="K124" s="7"/>
      <c r="L124" s="7"/>
      <c r="M124" s="7">
        <f t="shared" si="22"/>
        <v>12047109</v>
      </c>
      <c r="N124" s="5">
        <f t="shared" si="21"/>
        <v>0.30161033979087903</v>
      </c>
      <c r="O124" s="78"/>
    </row>
    <row r="125" spans="1:15" ht="19.5">
      <c r="A125" s="68"/>
      <c r="B125" s="124"/>
      <c r="C125" s="22" t="s">
        <v>100</v>
      </c>
      <c r="D125" s="4"/>
      <c r="E125" s="4">
        <v>2630600</v>
      </c>
      <c r="F125" s="4"/>
      <c r="G125" s="4"/>
      <c r="H125" s="7">
        <f t="shared" si="20"/>
        <v>2630600</v>
      </c>
      <c r="I125" s="7"/>
      <c r="J125" s="7">
        <v>816545</v>
      </c>
      <c r="K125" s="7"/>
      <c r="L125" s="7"/>
      <c r="M125" s="7">
        <f t="shared" si="22"/>
        <v>816545</v>
      </c>
      <c r="N125" s="5">
        <f t="shared" si="21"/>
        <v>0.3104025697559492</v>
      </c>
      <c r="O125" s="78"/>
    </row>
    <row r="126" spans="1:15" ht="9.75">
      <c r="A126" s="68"/>
      <c r="B126" s="37" t="s">
        <v>146</v>
      </c>
      <c r="C126" s="34"/>
      <c r="D126" s="6">
        <f>SUM(D124:D125)</f>
        <v>0</v>
      </c>
      <c r="E126" s="6">
        <f>SUM(E124:E125)</f>
        <v>42573226</v>
      </c>
      <c r="F126" s="6">
        <f>SUM(F124:F125)</f>
        <v>0</v>
      </c>
      <c r="G126" s="6">
        <f>SUM(G124:G125)</f>
        <v>0</v>
      </c>
      <c r="H126" s="6">
        <f t="shared" si="20"/>
        <v>42573226</v>
      </c>
      <c r="I126" s="6">
        <f>SUM(I124:I125)</f>
        <v>0</v>
      </c>
      <c r="J126" s="6">
        <f>SUM(J124:J125)</f>
        <v>12863654</v>
      </c>
      <c r="K126" s="6">
        <f>SUM(K124:K125)</f>
        <v>0</v>
      </c>
      <c r="L126" s="6">
        <f>SUM(L124:L125)</f>
        <v>0</v>
      </c>
      <c r="M126" s="6">
        <f t="shared" si="22"/>
        <v>12863654</v>
      </c>
      <c r="N126" s="28">
        <f t="shared" si="21"/>
        <v>0.3021536117558956</v>
      </c>
      <c r="O126" s="78"/>
    </row>
    <row r="127" spans="1:15" ht="15" customHeight="1">
      <c r="A127" s="53" t="s">
        <v>147</v>
      </c>
      <c r="B127" s="38"/>
      <c r="C127" s="24"/>
      <c r="D127" s="25">
        <f>SUM(D126,D123,D120,D115,D102,D95)</f>
        <v>271856012</v>
      </c>
      <c r="E127" s="25">
        <f>SUM(E126,E123,E120,E115,E102,E95)</f>
        <v>46773226</v>
      </c>
      <c r="F127" s="25">
        <f>SUM(F126,F123,F120,F115,F102,F95)</f>
        <v>0</v>
      </c>
      <c r="G127" s="25">
        <f>SUM(G126,G123,G120,G115,G102,G95)</f>
        <v>0</v>
      </c>
      <c r="H127" s="25">
        <f t="shared" si="20"/>
        <v>318629238</v>
      </c>
      <c r="I127" s="25">
        <f>SUM(I126,I123,I120,I115,I102,I95)</f>
        <v>91517481</v>
      </c>
      <c r="J127" s="25">
        <f>SUM(J126,J123,J120,J115,J102,J95)</f>
        <v>14931095</v>
      </c>
      <c r="K127" s="25">
        <f>SUM(K126,K123,K120,K115,K102,K95)</f>
        <v>0</v>
      </c>
      <c r="L127" s="25">
        <f>SUM(L126,L123,L120,L115,L102,L95)</f>
        <v>0</v>
      </c>
      <c r="M127" s="25">
        <f t="shared" si="22"/>
        <v>106448576</v>
      </c>
      <c r="N127" s="30">
        <f t="shared" si="21"/>
        <v>0.3340828878986931</v>
      </c>
      <c r="O127" s="78"/>
    </row>
    <row r="128" spans="1:15" ht="38.25" customHeight="1">
      <c r="A128" s="54" t="s">
        <v>33</v>
      </c>
      <c r="B128" s="23" t="s">
        <v>34</v>
      </c>
      <c r="C128" s="27" t="s">
        <v>148</v>
      </c>
      <c r="D128" s="4">
        <f>70446038-2286984</f>
        <v>68159054</v>
      </c>
      <c r="E128" s="4">
        <f>61525907-1221568</f>
        <v>60304339</v>
      </c>
      <c r="F128" s="4"/>
      <c r="G128" s="4"/>
      <c r="H128" s="7">
        <f t="shared" si="20"/>
        <v>128463393</v>
      </c>
      <c r="I128" s="7">
        <v>31458024</v>
      </c>
      <c r="J128" s="7">
        <v>27832772</v>
      </c>
      <c r="K128" s="9"/>
      <c r="L128" s="9"/>
      <c r="M128" s="7">
        <f t="shared" si="22"/>
        <v>59290796</v>
      </c>
      <c r="N128" s="5">
        <f t="shared" si="21"/>
        <v>0.46153845555052403</v>
      </c>
      <c r="O128" s="78"/>
    </row>
    <row r="129" spans="1:15" ht="9.75">
      <c r="A129" s="68"/>
      <c r="B129" s="33" t="s">
        <v>149</v>
      </c>
      <c r="C129" s="29"/>
      <c r="D129" s="6">
        <f>SUM(D128)</f>
        <v>68159054</v>
      </c>
      <c r="E129" s="6">
        <f>SUM(E128)</f>
        <v>60304339</v>
      </c>
      <c r="F129" s="6">
        <f>SUM(F128)</f>
        <v>0</v>
      </c>
      <c r="G129" s="6">
        <f>SUM(G128)</f>
        <v>0</v>
      </c>
      <c r="H129" s="6">
        <f t="shared" si="20"/>
        <v>128463393</v>
      </c>
      <c r="I129" s="6">
        <f>SUM(I128)</f>
        <v>31458024</v>
      </c>
      <c r="J129" s="6">
        <f>SUM(J128)</f>
        <v>27832772</v>
      </c>
      <c r="K129" s="6">
        <f>SUM(K128)</f>
        <v>0</v>
      </c>
      <c r="L129" s="6">
        <f>SUM(L128)</f>
        <v>0</v>
      </c>
      <c r="M129" s="6">
        <f t="shared" si="22"/>
        <v>59290796</v>
      </c>
      <c r="N129" s="28">
        <f t="shared" si="21"/>
        <v>0.46153845555052403</v>
      </c>
      <c r="O129" s="78"/>
    </row>
    <row r="130" spans="1:15" ht="19.5">
      <c r="A130" s="68"/>
      <c r="B130" s="23" t="s">
        <v>35</v>
      </c>
      <c r="C130" s="27" t="s">
        <v>72</v>
      </c>
      <c r="D130" s="4">
        <v>700000</v>
      </c>
      <c r="E130" s="4"/>
      <c r="F130" s="4"/>
      <c r="G130" s="4"/>
      <c r="H130" s="7">
        <f t="shared" si="20"/>
        <v>700000</v>
      </c>
      <c r="I130" s="7">
        <v>752160</v>
      </c>
      <c r="J130" s="7">
        <v>103</v>
      </c>
      <c r="K130" s="7"/>
      <c r="L130" s="7"/>
      <c r="M130" s="7">
        <f t="shared" si="22"/>
        <v>752263</v>
      </c>
      <c r="N130" s="5">
        <f t="shared" si="21"/>
        <v>1.0746614285714287</v>
      </c>
      <c r="O130" s="78"/>
    </row>
    <row r="131" spans="1:15" ht="9.75">
      <c r="A131" s="68"/>
      <c r="B131" s="33" t="s">
        <v>150</v>
      </c>
      <c r="C131" s="29"/>
      <c r="D131" s="6">
        <f>SUM(D130)</f>
        <v>700000</v>
      </c>
      <c r="E131" s="6">
        <f>SUM(E130)</f>
        <v>0</v>
      </c>
      <c r="F131" s="6">
        <f>SUM(F130)</f>
        <v>0</v>
      </c>
      <c r="G131" s="6">
        <f>SUM(G130)</f>
        <v>0</v>
      </c>
      <c r="H131" s="6">
        <f t="shared" si="20"/>
        <v>700000</v>
      </c>
      <c r="I131" s="6">
        <f>SUM(I130)</f>
        <v>752160</v>
      </c>
      <c r="J131" s="6">
        <f>SUM(J130)</f>
        <v>103</v>
      </c>
      <c r="K131" s="6">
        <f>SUM(K130)</f>
        <v>0</v>
      </c>
      <c r="L131" s="6">
        <f>SUM(L130)</f>
        <v>0</v>
      </c>
      <c r="M131" s="6">
        <f t="shared" si="22"/>
        <v>752263</v>
      </c>
      <c r="N131" s="28">
        <f t="shared" si="21"/>
        <v>1.0746614285714287</v>
      </c>
      <c r="O131" s="78"/>
    </row>
    <row r="132" spans="1:15" s="10" customFormat="1" ht="9.75" customHeight="1" hidden="1">
      <c r="A132" s="69"/>
      <c r="B132" s="18" t="s">
        <v>205</v>
      </c>
      <c r="C132" s="50" t="s">
        <v>71</v>
      </c>
      <c r="D132" s="13"/>
      <c r="E132" s="13"/>
      <c r="F132" s="13"/>
      <c r="G132" s="13"/>
      <c r="H132" s="7">
        <f aca="true" t="shared" si="23" ref="H132:H144">SUM(D132:G132)</f>
        <v>0</v>
      </c>
      <c r="I132" s="7"/>
      <c r="J132" s="13"/>
      <c r="K132" s="13"/>
      <c r="L132" s="13"/>
      <c r="M132" s="7">
        <f t="shared" si="22"/>
        <v>0</v>
      </c>
      <c r="N132" s="5" t="e">
        <f aca="true" t="shared" si="24" ref="N132:N140">M132/H132</f>
        <v>#DIV/0!</v>
      </c>
      <c r="O132" s="80"/>
    </row>
    <row r="133" spans="1:15" s="10" customFormat="1" ht="9.75" hidden="1">
      <c r="A133" s="69"/>
      <c r="B133" s="18"/>
      <c r="C133" s="18" t="s">
        <v>72</v>
      </c>
      <c r="D133" s="13"/>
      <c r="E133" s="13"/>
      <c r="F133" s="13"/>
      <c r="G133" s="13"/>
      <c r="H133" s="7">
        <f t="shared" si="23"/>
        <v>0</v>
      </c>
      <c r="I133" s="7"/>
      <c r="J133" s="13"/>
      <c r="K133" s="13"/>
      <c r="L133" s="13"/>
      <c r="M133" s="7">
        <f t="shared" si="22"/>
        <v>0</v>
      </c>
      <c r="N133" s="5" t="e">
        <f t="shared" si="24"/>
        <v>#DIV/0!</v>
      </c>
      <c r="O133" s="80"/>
    </row>
    <row r="134" spans="1:15" ht="19.5">
      <c r="A134" s="68"/>
      <c r="B134" s="18" t="s">
        <v>205</v>
      </c>
      <c r="C134" s="16" t="s">
        <v>207</v>
      </c>
      <c r="D134" s="4">
        <v>700000</v>
      </c>
      <c r="E134" s="4"/>
      <c r="F134" s="4"/>
      <c r="G134" s="4"/>
      <c r="H134" s="7">
        <f t="shared" si="23"/>
        <v>700000</v>
      </c>
      <c r="I134" s="7">
        <v>4702</v>
      </c>
      <c r="J134" s="7"/>
      <c r="K134" s="7"/>
      <c r="L134" s="7"/>
      <c r="M134" s="7">
        <f t="shared" si="22"/>
        <v>4702</v>
      </c>
      <c r="N134" s="5">
        <f t="shared" si="24"/>
        <v>0.006717142857142857</v>
      </c>
      <c r="O134" s="78"/>
    </row>
    <row r="135" spans="1:15" ht="9.75">
      <c r="A135" s="68"/>
      <c r="B135" s="33" t="s">
        <v>206</v>
      </c>
      <c r="C135" s="29"/>
      <c r="D135" s="6">
        <f>SUM(D134)</f>
        <v>700000</v>
      </c>
      <c r="E135" s="6">
        <f>SUM(E134)</f>
        <v>0</v>
      </c>
      <c r="F135" s="6">
        <f>SUM(F134)</f>
        <v>0</v>
      </c>
      <c r="G135" s="6">
        <f>SUM(G134)</f>
        <v>0</v>
      </c>
      <c r="H135" s="6">
        <f t="shared" si="23"/>
        <v>700000</v>
      </c>
      <c r="I135" s="6">
        <f>SUM(I132:I134)</f>
        <v>4702</v>
      </c>
      <c r="J135" s="6">
        <f>SUM(J132:J134)</f>
        <v>0</v>
      </c>
      <c r="K135" s="6">
        <f>SUM(K132:K134)</f>
        <v>0</v>
      </c>
      <c r="L135" s="6">
        <f>SUM(L132:L134)</f>
        <v>0</v>
      </c>
      <c r="M135" s="6">
        <f t="shared" si="22"/>
        <v>4702</v>
      </c>
      <c r="N135" s="28">
        <f t="shared" si="24"/>
        <v>0.006717142857142857</v>
      </c>
      <c r="O135" s="78"/>
    </row>
    <row r="136" spans="1:15" ht="29.25">
      <c r="A136" s="68"/>
      <c r="B136" s="23" t="s">
        <v>151</v>
      </c>
      <c r="C136" s="27" t="s">
        <v>148</v>
      </c>
      <c r="D136" s="4"/>
      <c r="E136" s="4">
        <v>604865</v>
      </c>
      <c r="F136" s="4"/>
      <c r="G136" s="4"/>
      <c r="H136" s="7">
        <f t="shared" si="23"/>
        <v>604865</v>
      </c>
      <c r="I136" s="7"/>
      <c r="J136" s="7">
        <v>201622</v>
      </c>
      <c r="K136" s="7"/>
      <c r="L136" s="7"/>
      <c r="M136" s="7">
        <f t="shared" si="22"/>
        <v>201622</v>
      </c>
      <c r="N136" s="5">
        <f t="shared" si="24"/>
        <v>0.3333338844204905</v>
      </c>
      <c r="O136" s="78"/>
    </row>
    <row r="137" spans="1:15" ht="9.75">
      <c r="A137" s="68"/>
      <c r="B137" s="37" t="s">
        <v>152</v>
      </c>
      <c r="C137" s="34"/>
      <c r="D137" s="6">
        <f>SUM(D136)</f>
        <v>0</v>
      </c>
      <c r="E137" s="6">
        <f>SUM(E136)</f>
        <v>604865</v>
      </c>
      <c r="F137" s="6">
        <f>SUM(F136)</f>
        <v>0</v>
      </c>
      <c r="G137" s="6">
        <f>SUM(G136)</f>
        <v>0</v>
      </c>
      <c r="H137" s="6">
        <f t="shared" si="23"/>
        <v>604865</v>
      </c>
      <c r="I137" s="6">
        <f>SUM(I136)</f>
        <v>0</v>
      </c>
      <c r="J137" s="6">
        <f>SUM(J136)</f>
        <v>201622</v>
      </c>
      <c r="K137" s="6">
        <f>SUM(K136)</f>
        <v>0</v>
      </c>
      <c r="L137" s="6">
        <f>SUM(L136)</f>
        <v>0</v>
      </c>
      <c r="M137" s="6">
        <f t="shared" si="22"/>
        <v>201622</v>
      </c>
      <c r="N137" s="28">
        <f t="shared" si="24"/>
        <v>0.3333338844204905</v>
      </c>
      <c r="O137" s="78"/>
    </row>
    <row r="138" spans="1:15" ht="11.25">
      <c r="A138" s="56" t="s">
        <v>36</v>
      </c>
      <c r="B138" s="36"/>
      <c r="C138" s="24"/>
      <c r="D138" s="25">
        <f>SUM(D137,D135,D129)</f>
        <v>68859054</v>
      </c>
      <c r="E138" s="25">
        <f>SUM(E137,E135,E129)</f>
        <v>60909204</v>
      </c>
      <c r="F138" s="25">
        <f>SUM(F137,F135,F129)</f>
        <v>0</v>
      </c>
      <c r="G138" s="25">
        <f>SUM(G137,G135,G129)</f>
        <v>0</v>
      </c>
      <c r="H138" s="25">
        <f t="shared" si="23"/>
        <v>129768258</v>
      </c>
      <c r="I138" s="25">
        <f>SUM(I137,I135,I131,I129)</f>
        <v>32214886</v>
      </c>
      <c r="J138" s="25">
        <f>SUM(J137,J135,J131,J129)</f>
        <v>28034497</v>
      </c>
      <c r="K138" s="25">
        <f>SUM(K137,K135,K131,K129)</f>
        <v>0</v>
      </c>
      <c r="L138" s="25">
        <f>SUM(L137,L135,L131,L129)</f>
        <v>0</v>
      </c>
      <c r="M138" s="25">
        <f t="shared" si="22"/>
        <v>60249383</v>
      </c>
      <c r="N138" s="30">
        <f t="shared" si="24"/>
        <v>0.46428444003617586</v>
      </c>
      <c r="O138" s="78"/>
    </row>
    <row r="139" spans="1:15" ht="58.5">
      <c r="A139" s="54" t="s">
        <v>37</v>
      </c>
      <c r="B139" s="120" t="s">
        <v>38</v>
      </c>
      <c r="C139" s="18" t="s">
        <v>104</v>
      </c>
      <c r="D139" s="4">
        <v>1035741</v>
      </c>
      <c r="E139" s="4"/>
      <c r="F139" s="4"/>
      <c r="G139" s="4"/>
      <c r="H139" s="7">
        <f t="shared" si="23"/>
        <v>1035741</v>
      </c>
      <c r="I139" s="7">
        <v>418428</v>
      </c>
      <c r="J139" s="7"/>
      <c r="K139" s="7"/>
      <c r="L139" s="7"/>
      <c r="M139" s="7">
        <f t="shared" si="22"/>
        <v>418428</v>
      </c>
      <c r="N139" s="8">
        <f t="shared" si="24"/>
        <v>0.40398902814506715</v>
      </c>
      <c r="O139" s="78"/>
    </row>
    <row r="140" spans="1:15" ht="9.75">
      <c r="A140" s="54"/>
      <c r="B140" s="121"/>
      <c r="C140" s="18" t="s">
        <v>193</v>
      </c>
      <c r="D140" s="4">
        <v>389871</v>
      </c>
      <c r="E140" s="4"/>
      <c r="F140" s="4"/>
      <c r="G140" s="4"/>
      <c r="H140" s="7">
        <f t="shared" si="23"/>
        <v>389871</v>
      </c>
      <c r="I140" s="7">
        <v>128924</v>
      </c>
      <c r="J140" s="7"/>
      <c r="K140" s="7"/>
      <c r="L140" s="7"/>
      <c r="M140" s="7">
        <f t="shared" si="22"/>
        <v>128924</v>
      </c>
      <c r="N140" s="8">
        <f t="shared" si="24"/>
        <v>0.3306837389803294</v>
      </c>
      <c r="O140" s="78"/>
    </row>
    <row r="141" spans="1:15" ht="9.75">
      <c r="A141" s="54"/>
      <c r="B141" s="121"/>
      <c r="C141" s="18" t="s">
        <v>72</v>
      </c>
      <c r="D141" s="4"/>
      <c r="E141" s="4"/>
      <c r="F141" s="4"/>
      <c r="G141" s="4"/>
      <c r="H141" s="7">
        <f t="shared" si="23"/>
        <v>0</v>
      </c>
      <c r="I141" s="7">
        <v>31553</v>
      </c>
      <c r="J141" s="7"/>
      <c r="K141" s="7"/>
      <c r="L141" s="7"/>
      <c r="M141" s="7">
        <f t="shared" si="22"/>
        <v>31553</v>
      </c>
      <c r="N141" s="8"/>
      <c r="O141" s="78"/>
    </row>
    <row r="142" spans="1:15" ht="19.5">
      <c r="A142" s="54"/>
      <c r="B142" s="121"/>
      <c r="C142" s="18" t="s">
        <v>208</v>
      </c>
      <c r="D142" s="4"/>
      <c r="E142" s="4"/>
      <c r="F142" s="4"/>
      <c r="G142" s="4"/>
      <c r="H142" s="7">
        <f t="shared" si="23"/>
        <v>0</v>
      </c>
      <c r="I142" s="7">
        <v>73663</v>
      </c>
      <c r="J142" s="7"/>
      <c r="K142" s="7"/>
      <c r="L142" s="7"/>
      <c r="M142" s="7">
        <f t="shared" si="22"/>
        <v>73663</v>
      </c>
      <c r="N142" s="8"/>
      <c r="O142" s="78"/>
    </row>
    <row r="143" spans="1:15" ht="9.75">
      <c r="A143" s="54"/>
      <c r="B143" s="121"/>
      <c r="C143" s="18" t="s">
        <v>74</v>
      </c>
      <c r="D143" s="4"/>
      <c r="E143" s="4"/>
      <c r="F143" s="4"/>
      <c r="G143" s="4"/>
      <c r="H143" s="7">
        <f t="shared" si="23"/>
        <v>0</v>
      </c>
      <c r="I143" s="7">
        <v>7334</v>
      </c>
      <c r="J143" s="7"/>
      <c r="K143" s="7"/>
      <c r="L143" s="7"/>
      <c r="M143" s="7">
        <f t="shared" si="22"/>
        <v>7334</v>
      </c>
      <c r="N143" s="8"/>
      <c r="O143" s="78"/>
    </row>
    <row r="144" spans="1:15" ht="19.5">
      <c r="A144" s="54"/>
      <c r="B144" s="122"/>
      <c r="C144" s="18" t="s">
        <v>204</v>
      </c>
      <c r="D144" s="4"/>
      <c r="E144" s="4"/>
      <c r="F144" s="4"/>
      <c r="G144" s="4"/>
      <c r="H144" s="7">
        <f t="shared" si="23"/>
        <v>0</v>
      </c>
      <c r="I144" s="7">
        <v>284978</v>
      </c>
      <c r="J144" s="7"/>
      <c r="K144" s="7"/>
      <c r="L144" s="7"/>
      <c r="M144" s="7">
        <f t="shared" si="22"/>
        <v>284978</v>
      </c>
      <c r="N144" s="8"/>
      <c r="O144" s="78"/>
    </row>
    <row r="145" spans="1:15" ht="9.75">
      <c r="A145" s="68"/>
      <c r="B145" s="33" t="s">
        <v>153</v>
      </c>
      <c r="C145" s="29"/>
      <c r="D145" s="6">
        <f>SUM(D139:D140)</f>
        <v>1425612</v>
      </c>
      <c r="E145" s="6">
        <f>SUM(E139:E140)</f>
        <v>0</v>
      </c>
      <c r="F145" s="6">
        <f>SUM(F139:F140)</f>
        <v>0</v>
      </c>
      <c r="G145" s="6">
        <f>SUM(G139:G140)</f>
        <v>0</v>
      </c>
      <c r="H145" s="6">
        <f aca="true" t="shared" si="25" ref="H145:H176">SUM(D145:G145)</f>
        <v>1425612</v>
      </c>
      <c r="I145" s="6">
        <f>SUM(I139:I144)</f>
        <v>944880</v>
      </c>
      <c r="J145" s="6">
        <f>SUM(J139:J144)</f>
        <v>0</v>
      </c>
      <c r="K145" s="6">
        <f>SUM(K139:K144)</f>
        <v>0</v>
      </c>
      <c r="L145" s="6">
        <f>SUM(L139:L144)</f>
        <v>0</v>
      </c>
      <c r="M145" s="6">
        <f t="shared" si="22"/>
        <v>944880</v>
      </c>
      <c r="N145" s="28">
        <f>M145/H145</f>
        <v>0.6627890337623421</v>
      </c>
      <c r="O145" s="78"/>
    </row>
    <row r="146" spans="1:15" ht="48.75" customHeight="1">
      <c r="A146" s="68"/>
      <c r="B146" s="120" t="s">
        <v>39</v>
      </c>
      <c r="C146" s="18" t="s">
        <v>104</v>
      </c>
      <c r="D146" s="4"/>
      <c r="E146" s="4">
        <v>35000</v>
      </c>
      <c r="F146" s="4"/>
      <c r="G146" s="4"/>
      <c r="H146" s="7">
        <f t="shared" si="25"/>
        <v>35000</v>
      </c>
      <c r="I146" s="13"/>
      <c r="J146" s="7">
        <v>12219</v>
      </c>
      <c r="K146" s="13"/>
      <c r="L146" s="13"/>
      <c r="M146" s="7">
        <f t="shared" si="22"/>
        <v>12219</v>
      </c>
      <c r="N146" s="5">
        <f>M146/H146</f>
        <v>0.3491142857142857</v>
      </c>
      <c r="O146" s="78"/>
    </row>
    <row r="147" spans="1:15" ht="9.75">
      <c r="A147" s="68"/>
      <c r="B147" s="121"/>
      <c r="C147" s="18" t="s">
        <v>193</v>
      </c>
      <c r="D147" s="4"/>
      <c r="E147" s="4">
        <v>100</v>
      </c>
      <c r="F147" s="4"/>
      <c r="G147" s="4"/>
      <c r="H147" s="7">
        <f t="shared" si="25"/>
        <v>100</v>
      </c>
      <c r="I147" s="13"/>
      <c r="J147" s="13"/>
      <c r="K147" s="13"/>
      <c r="L147" s="13"/>
      <c r="M147" s="7">
        <f t="shared" si="22"/>
        <v>0</v>
      </c>
      <c r="N147" s="5">
        <f>M147/H147</f>
        <v>0</v>
      </c>
      <c r="O147" s="78"/>
    </row>
    <row r="148" spans="1:15" ht="9.75">
      <c r="A148" s="68"/>
      <c r="B148" s="121"/>
      <c r="C148" s="18" t="s">
        <v>72</v>
      </c>
      <c r="D148" s="4"/>
      <c r="E148" s="4"/>
      <c r="F148" s="4"/>
      <c r="G148" s="4"/>
      <c r="H148" s="7">
        <f t="shared" si="25"/>
        <v>0</v>
      </c>
      <c r="I148" s="13"/>
      <c r="J148" s="7">
        <v>931</v>
      </c>
      <c r="K148" s="13"/>
      <c r="L148" s="13"/>
      <c r="M148" s="7">
        <f aca="true" t="shared" si="26" ref="M148:M181">SUM(I148:L148)</f>
        <v>931</v>
      </c>
      <c r="N148" s="5"/>
      <c r="O148" s="78"/>
    </row>
    <row r="149" spans="1:15" ht="19.5">
      <c r="A149" s="68"/>
      <c r="B149" s="122"/>
      <c r="C149" s="18" t="s">
        <v>204</v>
      </c>
      <c r="D149" s="4"/>
      <c r="E149" s="4"/>
      <c r="F149" s="4"/>
      <c r="G149" s="4"/>
      <c r="H149" s="7">
        <f t="shared" si="25"/>
        <v>0</v>
      </c>
      <c r="I149" s="13"/>
      <c r="J149" s="7">
        <v>7062</v>
      </c>
      <c r="K149" s="13"/>
      <c r="L149" s="13"/>
      <c r="M149" s="7">
        <f t="shared" si="26"/>
        <v>7062</v>
      </c>
      <c r="N149" s="5"/>
      <c r="O149" s="78"/>
    </row>
    <row r="150" spans="1:15" ht="9.75">
      <c r="A150" s="68"/>
      <c r="B150" s="33" t="s">
        <v>154</v>
      </c>
      <c r="C150" s="29"/>
      <c r="D150" s="6">
        <f>SUM(D146:D147)</f>
        <v>0</v>
      </c>
      <c r="E150" s="6">
        <f>SUM(E146:E147)</f>
        <v>35100</v>
      </c>
      <c r="F150" s="6">
        <f>SUM(F146:F147)</f>
        <v>0</v>
      </c>
      <c r="G150" s="6">
        <f>SUM(G146:G147)</f>
        <v>0</v>
      </c>
      <c r="H150" s="6">
        <f t="shared" si="25"/>
        <v>35100</v>
      </c>
      <c r="I150" s="6">
        <f>SUM(I146:I149)</f>
        <v>0</v>
      </c>
      <c r="J150" s="6">
        <f>SUM(J146:J149)</f>
        <v>20212</v>
      </c>
      <c r="K150" s="6">
        <f>SUM(K146:K149)</f>
        <v>0</v>
      </c>
      <c r="L150" s="6">
        <f>SUM(L146:L149)</f>
        <v>0</v>
      </c>
      <c r="M150" s="6">
        <f t="shared" si="26"/>
        <v>20212</v>
      </c>
      <c r="N150" s="28">
        <f>M150/H150</f>
        <v>0.5758404558404558</v>
      </c>
      <c r="O150" s="78"/>
    </row>
    <row r="151" spans="1:15" ht="48" customHeight="1">
      <c r="A151" s="68"/>
      <c r="B151" s="120" t="s">
        <v>209</v>
      </c>
      <c r="C151" s="18" t="s">
        <v>104</v>
      </c>
      <c r="D151" s="4"/>
      <c r="E151" s="4"/>
      <c r="F151" s="4"/>
      <c r="G151" s="4"/>
      <c r="H151" s="7">
        <f t="shared" si="25"/>
        <v>0</v>
      </c>
      <c r="I151" s="7">
        <v>25793</v>
      </c>
      <c r="J151" s="13"/>
      <c r="K151" s="13"/>
      <c r="L151" s="13"/>
      <c r="M151" s="7">
        <f t="shared" si="26"/>
        <v>25793</v>
      </c>
      <c r="N151" s="5"/>
      <c r="O151" s="78"/>
    </row>
    <row r="152" spans="1:15" ht="9.75">
      <c r="A152" s="68"/>
      <c r="B152" s="121"/>
      <c r="C152" s="18" t="s">
        <v>72</v>
      </c>
      <c r="D152" s="4"/>
      <c r="E152" s="4"/>
      <c r="F152" s="4"/>
      <c r="G152" s="4"/>
      <c r="H152" s="7">
        <f t="shared" si="25"/>
        <v>0</v>
      </c>
      <c r="I152" s="7">
        <v>5292</v>
      </c>
      <c r="J152" s="13"/>
      <c r="K152" s="13"/>
      <c r="L152" s="13"/>
      <c r="M152" s="7">
        <f t="shared" si="26"/>
        <v>5292</v>
      </c>
      <c r="N152" s="5"/>
      <c r="O152" s="78"/>
    </row>
    <row r="153" spans="1:15" ht="39">
      <c r="A153" s="68"/>
      <c r="B153" s="121"/>
      <c r="C153" s="18" t="s">
        <v>235</v>
      </c>
      <c r="D153" s="4"/>
      <c r="E153" s="4"/>
      <c r="F153" s="4"/>
      <c r="G153" s="4"/>
      <c r="H153" s="7">
        <f t="shared" si="25"/>
        <v>0</v>
      </c>
      <c r="I153" s="7">
        <v>20040</v>
      </c>
      <c r="J153" s="13"/>
      <c r="K153" s="13"/>
      <c r="L153" s="13"/>
      <c r="M153" s="7">
        <f t="shared" si="26"/>
        <v>20040</v>
      </c>
      <c r="N153" s="5"/>
      <c r="O153" s="78"/>
    </row>
    <row r="154" spans="1:15" ht="39" hidden="1">
      <c r="A154" s="68"/>
      <c r="B154" s="121"/>
      <c r="C154" s="18" t="s">
        <v>83</v>
      </c>
      <c r="D154" s="4"/>
      <c r="E154" s="4"/>
      <c r="F154" s="4"/>
      <c r="G154" s="4"/>
      <c r="H154" s="7">
        <f t="shared" si="25"/>
        <v>0</v>
      </c>
      <c r="I154" s="7"/>
      <c r="J154" s="7"/>
      <c r="K154" s="13"/>
      <c r="L154" s="13"/>
      <c r="M154" s="7">
        <f t="shared" si="26"/>
        <v>0</v>
      </c>
      <c r="N154" s="5"/>
      <c r="O154" s="78"/>
    </row>
    <row r="155" spans="1:15" ht="29.25">
      <c r="A155" s="68"/>
      <c r="B155" s="122"/>
      <c r="C155" s="18" t="s">
        <v>211</v>
      </c>
      <c r="D155" s="4"/>
      <c r="E155" s="4"/>
      <c r="F155" s="4"/>
      <c r="G155" s="4"/>
      <c r="H155" s="7">
        <f t="shared" si="25"/>
        <v>0</v>
      </c>
      <c r="I155" s="7">
        <v>111461</v>
      </c>
      <c r="J155" s="13"/>
      <c r="K155" s="13"/>
      <c r="L155" s="13"/>
      <c r="M155" s="7">
        <f t="shared" si="26"/>
        <v>111461</v>
      </c>
      <c r="N155" s="5"/>
      <c r="O155" s="78"/>
    </row>
    <row r="156" spans="1:15" ht="9.75">
      <c r="A156" s="68"/>
      <c r="B156" s="33" t="s">
        <v>210</v>
      </c>
      <c r="C156" s="29"/>
      <c r="D156" s="6">
        <f>SUM(D151:D152)</f>
        <v>0</v>
      </c>
      <c r="E156" s="6">
        <f>SUM(E151:E152)</f>
        <v>0</v>
      </c>
      <c r="F156" s="6">
        <f>SUM(F151:F152)</f>
        <v>0</v>
      </c>
      <c r="G156" s="6">
        <f>SUM(G151:G152)</f>
        <v>0</v>
      </c>
      <c r="H156" s="6">
        <f t="shared" si="25"/>
        <v>0</v>
      </c>
      <c r="I156" s="6">
        <f>SUM(I151:I155)</f>
        <v>162586</v>
      </c>
      <c r="J156" s="6">
        <f>SUM(J151:J155)</f>
        <v>0</v>
      </c>
      <c r="K156" s="6">
        <f>SUM(K151:K155)</f>
        <v>0</v>
      </c>
      <c r="L156" s="6">
        <f>SUM(L151:L155)</f>
        <v>0</v>
      </c>
      <c r="M156" s="6">
        <f t="shared" si="26"/>
        <v>162586</v>
      </c>
      <c r="N156" s="28"/>
      <c r="O156" s="78"/>
    </row>
    <row r="157" spans="1:15" s="10" customFormat="1" ht="11.25" customHeight="1">
      <c r="A157" s="69"/>
      <c r="B157" s="120" t="s">
        <v>40</v>
      </c>
      <c r="C157" s="18" t="s">
        <v>71</v>
      </c>
      <c r="D157" s="13"/>
      <c r="E157" s="13"/>
      <c r="F157" s="13"/>
      <c r="G157" s="13"/>
      <c r="H157" s="7">
        <f t="shared" si="25"/>
        <v>0</v>
      </c>
      <c r="I157" s="13">
        <v>40</v>
      </c>
      <c r="J157" s="13"/>
      <c r="K157" s="13"/>
      <c r="L157" s="13"/>
      <c r="M157" s="7">
        <f t="shared" si="26"/>
        <v>40</v>
      </c>
      <c r="N157" s="5"/>
      <c r="O157" s="80"/>
    </row>
    <row r="158" spans="1:15" ht="58.5">
      <c r="A158" s="68"/>
      <c r="B158" s="121"/>
      <c r="C158" s="27" t="s">
        <v>104</v>
      </c>
      <c r="D158" s="4">
        <v>271286</v>
      </c>
      <c r="E158" s="4"/>
      <c r="F158" s="4"/>
      <c r="G158" s="4"/>
      <c r="H158" s="7">
        <f t="shared" si="25"/>
        <v>271286</v>
      </c>
      <c r="I158" s="7">
        <v>101525</v>
      </c>
      <c r="J158" s="7"/>
      <c r="K158" s="7"/>
      <c r="L158" s="7"/>
      <c r="M158" s="7">
        <f t="shared" si="26"/>
        <v>101525</v>
      </c>
      <c r="N158" s="5">
        <f>M158/H158</f>
        <v>0.3742360460915786</v>
      </c>
      <c r="O158" s="78"/>
    </row>
    <row r="159" spans="1:15" ht="9.75">
      <c r="A159" s="68"/>
      <c r="B159" s="121"/>
      <c r="C159" s="18" t="s">
        <v>193</v>
      </c>
      <c r="D159" s="4">
        <v>44865</v>
      </c>
      <c r="E159" s="4"/>
      <c r="F159" s="4"/>
      <c r="G159" s="4"/>
      <c r="H159" s="7">
        <f t="shared" si="25"/>
        <v>44865</v>
      </c>
      <c r="I159" s="7">
        <v>7534</v>
      </c>
      <c r="J159" s="7"/>
      <c r="K159" s="7"/>
      <c r="L159" s="7"/>
      <c r="M159" s="7">
        <f t="shared" si="26"/>
        <v>7534</v>
      </c>
      <c r="N159" s="5">
        <f>M159/H159</f>
        <v>0.1679260002228909</v>
      </c>
      <c r="O159" s="78"/>
    </row>
    <row r="160" spans="1:15" ht="9.75">
      <c r="A160" s="68"/>
      <c r="B160" s="121"/>
      <c r="C160" s="18" t="s">
        <v>72</v>
      </c>
      <c r="D160" s="4"/>
      <c r="E160" s="4"/>
      <c r="F160" s="4"/>
      <c r="G160" s="4"/>
      <c r="H160" s="7">
        <f t="shared" si="25"/>
        <v>0</v>
      </c>
      <c r="I160" s="7">
        <v>5934</v>
      </c>
      <c r="J160" s="7"/>
      <c r="K160" s="7"/>
      <c r="L160" s="7"/>
      <c r="M160" s="7">
        <f t="shared" si="26"/>
        <v>5934</v>
      </c>
      <c r="N160" s="5"/>
      <c r="O160" s="78"/>
    </row>
    <row r="161" spans="1:15" ht="19.5">
      <c r="A161" s="68"/>
      <c r="B161" s="121"/>
      <c r="C161" s="18" t="s">
        <v>208</v>
      </c>
      <c r="D161" s="4"/>
      <c r="E161" s="4"/>
      <c r="F161" s="4"/>
      <c r="G161" s="4"/>
      <c r="H161" s="7">
        <f t="shared" si="25"/>
        <v>0</v>
      </c>
      <c r="I161" s="7">
        <v>19944</v>
      </c>
      <c r="J161" s="7"/>
      <c r="K161" s="7"/>
      <c r="L161" s="7"/>
      <c r="M161" s="7">
        <f t="shared" si="26"/>
        <v>19944</v>
      </c>
      <c r="N161" s="5"/>
      <c r="O161" s="78"/>
    </row>
    <row r="162" spans="1:15" ht="9.75">
      <c r="A162" s="68"/>
      <c r="B162" s="121"/>
      <c r="C162" s="18" t="s">
        <v>74</v>
      </c>
      <c r="D162" s="4"/>
      <c r="E162" s="4"/>
      <c r="F162" s="4"/>
      <c r="G162" s="4"/>
      <c r="H162" s="7">
        <f t="shared" si="25"/>
        <v>0</v>
      </c>
      <c r="I162" s="7">
        <v>7928</v>
      </c>
      <c r="J162" s="7"/>
      <c r="K162" s="7"/>
      <c r="L162" s="7"/>
      <c r="M162" s="7">
        <f t="shared" si="26"/>
        <v>7928</v>
      </c>
      <c r="N162" s="5"/>
      <c r="O162" s="78"/>
    </row>
    <row r="163" spans="1:15" ht="19.5">
      <c r="A163" s="68"/>
      <c r="B163" s="122"/>
      <c r="C163" s="18" t="s">
        <v>204</v>
      </c>
      <c r="D163" s="4"/>
      <c r="E163" s="4"/>
      <c r="F163" s="4"/>
      <c r="G163" s="4"/>
      <c r="H163" s="7">
        <f t="shared" si="25"/>
        <v>0</v>
      </c>
      <c r="I163" s="7">
        <v>58730</v>
      </c>
      <c r="J163" s="7"/>
      <c r="K163" s="7"/>
      <c r="L163" s="7"/>
      <c r="M163" s="7">
        <f t="shared" si="26"/>
        <v>58730</v>
      </c>
      <c r="N163" s="5"/>
      <c r="O163" s="78"/>
    </row>
    <row r="164" spans="1:15" ht="9.75">
      <c r="A164" s="68"/>
      <c r="B164" s="33" t="s">
        <v>155</v>
      </c>
      <c r="C164" s="29"/>
      <c r="D164" s="6">
        <f>SUM(D158:D159)</f>
        <v>316151</v>
      </c>
      <c r="E164" s="6">
        <f>SUM(E158:E159)</f>
        <v>0</v>
      </c>
      <c r="F164" s="6">
        <f>SUM(F158:F159)</f>
        <v>0</v>
      </c>
      <c r="G164" s="6">
        <f>SUM(G158:G159)</f>
        <v>0</v>
      </c>
      <c r="H164" s="6">
        <f t="shared" si="25"/>
        <v>316151</v>
      </c>
      <c r="I164" s="6">
        <f>SUM(I157:I163)</f>
        <v>201635</v>
      </c>
      <c r="J164" s="6">
        <f>SUM(J157:J163)</f>
        <v>0</v>
      </c>
      <c r="K164" s="6">
        <f>SUM(K157:K163)</f>
        <v>0</v>
      </c>
      <c r="L164" s="6">
        <f>SUM(L157:L163)</f>
        <v>0</v>
      </c>
      <c r="M164" s="6">
        <f t="shared" si="26"/>
        <v>201635</v>
      </c>
      <c r="N164" s="28">
        <f aca="true" t="shared" si="27" ref="N164:N182">M164/H164</f>
        <v>0.637780680750654</v>
      </c>
      <c r="O164" s="78"/>
    </row>
    <row r="165" spans="1:15" ht="58.5">
      <c r="A165" s="68"/>
      <c r="B165" s="120" t="s">
        <v>41</v>
      </c>
      <c r="C165" s="18" t="s">
        <v>104</v>
      </c>
      <c r="D165" s="4"/>
      <c r="E165" s="4">
        <v>178500</v>
      </c>
      <c r="F165" s="4"/>
      <c r="G165" s="4"/>
      <c r="H165" s="7">
        <f t="shared" si="25"/>
        <v>178500</v>
      </c>
      <c r="I165" s="7"/>
      <c r="J165" s="7">
        <v>105162</v>
      </c>
      <c r="K165" s="7"/>
      <c r="L165" s="7"/>
      <c r="M165" s="7">
        <f t="shared" si="26"/>
        <v>105162</v>
      </c>
      <c r="N165" s="5">
        <f t="shared" si="27"/>
        <v>0.5891428571428572</v>
      </c>
      <c r="O165" s="78"/>
    </row>
    <row r="166" spans="1:15" ht="9.75">
      <c r="A166" s="68"/>
      <c r="B166" s="121"/>
      <c r="C166" s="18" t="s">
        <v>193</v>
      </c>
      <c r="D166" s="4"/>
      <c r="E166" s="4">
        <v>4578</v>
      </c>
      <c r="F166" s="4"/>
      <c r="G166" s="4"/>
      <c r="H166" s="7">
        <f t="shared" si="25"/>
        <v>4578</v>
      </c>
      <c r="I166" s="7"/>
      <c r="J166" s="7"/>
      <c r="K166" s="7"/>
      <c r="L166" s="7"/>
      <c r="M166" s="7">
        <f t="shared" si="26"/>
        <v>0</v>
      </c>
      <c r="N166" s="5">
        <f t="shared" si="27"/>
        <v>0</v>
      </c>
      <c r="O166" s="78"/>
    </row>
    <row r="167" spans="1:15" ht="9.75">
      <c r="A167" s="68"/>
      <c r="B167" s="121"/>
      <c r="C167" s="18" t="s">
        <v>72</v>
      </c>
      <c r="D167" s="4"/>
      <c r="E167" s="4"/>
      <c r="F167" s="4"/>
      <c r="G167" s="4"/>
      <c r="H167" s="7">
        <f t="shared" si="25"/>
        <v>0</v>
      </c>
      <c r="I167" s="7"/>
      <c r="J167" s="7">
        <v>8971</v>
      </c>
      <c r="K167" s="7"/>
      <c r="L167" s="7"/>
      <c r="M167" s="7">
        <f t="shared" si="26"/>
        <v>8971</v>
      </c>
      <c r="N167" s="5"/>
      <c r="O167" s="78"/>
    </row>
    <row r="168" spans="1:15" ht="19.5">
      <c r="A168" s="68"/>
      <c r="B168" s="121"/>
      <c r="C168" s="18" t="s">
        <v>208</v>
      </c>
      <c r="D168" s="4"/>
      <c r="E168" s="4"/>
      <c r="F168" s="4"/>
      <c r="G168" s="4"/>
      <c r="H168" s="7">
        <f t="shared" si="25"/>
        <v>0</v>
      </c>
      <c r="I168" s="7"/>
      <c r="J168" s="7">
        <v>112433</v>
      </c>
      <c r="K168" s="7"/>
      <c r="L168" s="7"/>
      <c r="M168" s="7">
        <f t="shared" si="26"/>
        <v>112433</v>
      </c>
      <c r="N168" s="5"/>
      <c r="O168" s="78"/>
    </row>
    <row r="169" spans="1:15" ht="9.75">
      <c r="A169" s="68"/>
      <c r="B169" s="121"/>
      <c r="C169" s="18" t="s">
        <v>74</v>
      </c>
      <c r="D169" s="4"/>
      <c r="E169" s="4"/>
      <c r="F169" s="4"/>
      <c r="G169" s="4"/>
      <c r="H169" s="7">
        <f t="shared" si="25"/>
        <v>0</v>
      </c>
      <c r="I169" s="7"/>
      <c r="J169" s="7">
        <v>4975</v>
      </c>
      <c r="K169" s="7"/>
      <c r="L169" s="7"/>
      <c r="M169" s="7">
        <f t="shared" si="26"/>
        <v>4975</v>
      </c>
      <c r="N169" s="5"/>
      <c r="O169" s="78"/>
    </row>
    <row r="170" spans="1:15" ht="19.5">
      <c r="A170" s="68"/>
      <c r="B170" s="122"/>
      <c r="C170" s="18" t="s">
        <v>204</v>
      </c>
      <c r="D170" s="4"/>
      <c r="E170" s="4"/>
      <c r="F170" s="4"/>
      <c r="G170" s="4"/>
      <c r="H170" s="7">
        <f t="shared" si="25"/>
        <v>0</v>
      </c>
      <c r="I170" s="7"/>
      <c r="J170" s="7">
        <v>406240</v>
      </c>
      <c r="K170" s="7"/>
      <c r="L170" s="7"/>
      <c r="M170" s="7">
        <f t="shared" si="26"/>
        <v>406240</v>
      </c>
      <c r="N170" s="5"/>
      <c r="O170" s="78"/>
    </row>
    <row r="171" spans="1:15" ht="9.75">
      <c r="A171" s="68"/>
      <c r="B171" s="33" t="s">
        <v>156</v>
      </c>
      <c r="C171" s="29"/>
      <c r="D171" s="6">
        <f>SUM(D165:D166)</f>
        <v>0</v>
      </c>
      <c r="E171" s="6">
        <f>SUM(E165:E166)</f>
        <v>183078</v>
      </c>
      <c r="F171" s="6">
        <f>SUM(F165:F166)</f>
        <v>0</v>
      </c>
      <c r="G171" s="6">
        <f>SUM(G165:G166)</f>
        <v>0</v>
      </c>
      <c r="H171" s="6">
        <f t="shared" si="25"/>
        <v>183078</v>
      </c>
      <c r="I171" s="6">
        <f>SUM(I165:I170)</f>
        <v>0</v>
      </c>
      <c r="J171" s="6">
        <f>SUM(J165:J170)</f>
        <v>637781</v>
      </c>
      <c r="K171" s="6">
        <f>SUM(K165:K170)</f>
        <v>0</v>
      </c>
      <c r="L171" s="6">
        <f>SUM(L165:L170)</f>
        <v>0</v>
      </c>
      <c r="M171" s="6">
        <f t="shared" si="26"/>
        <v>637781</v>
      </c>
      <c r="N171" s="28">
        <f t="shared" si="27"/>
        <v>3.483657238991031</v>
      </c>
      <c r="O171" s="78"/>
    </row>
    <row r="172" spans="1:15" ht="58.5">
      <c r="A172" s="68"/>
      <c r="B172" s="120" t="s">
        <v>157</v>
      </c>
      <c r="C172" s="27" t="s">
        <v>104</v>
      </c>
      <c r="D172" s="7"/>
      <c r="E172" s="4">
        <v>156001</v>
      </c>
      <c r="F172" s="4"/>
      <c r="G172" s="4"/>
      <c r="H172" s="7">
        <f t="shared" si="25"/>
        <v>156001</v>
      </c>
      <c r="I172" s="7"/>
      <c r="J172" s="7">
        <v>51270</v>
      </c>
      <c r="K172" s="7"/>
      <c r="L172" s="7"/>
      <c r="M172" s="7">
        <f t="shared" si="26"/>
        <v>51270</v>
      </c>
      <c r="N172" s="5">
        <f t="shared" si="27"/>
        <v>0.3286517394119268</v>
      </c>
      <c r="O172" s="78"/>
    </row>
    <row r="173" spans="1:15" ht="9.75">
      <c r="A173" s="68"/>
      <c r="B173" s="121"/>
      <c r="C173" s="18" t="s">
        <v>193</v>
      </c>
      <c r="D173" s="4"/>
      <c r="E173" s="4">
        <v>30658</v>
      </c>
      <c r="F173" s="4"/>
      <c r="G173" s="4"/>
      <c r="H173" s="7">
        <f t="shared" si="25"/>
        <v>30658</v>
      </c>
      <c r="I173" s="7"/>
      <c r="J173" s="7">
        <v>43464</v>
      </c>
      <c r="K173" s="7"/>
      <c r="L173" s="7"/>
      <c r="M173" s="7">
        <f t="shared" si="26"/>
        <v>43464</v>
      </c>
      <c r="N173" s="5">
        <f t="shared" si="27"/>
        <v>1.4177050035879706</v>
      </c>
      <c r="O173" s="78"/>
    </row>
    <row r="174" spans="1:15" ht="9.75">
      <c r="A174" s="68"/>
      <c r="B174" s="121"/>
      <c r="C174" s="18" t="s">
        <v>237</v>
      </c>
      <c r="D174" s="4"/>
      <c r="E174" s="4">
        <v>26000</v>
      </c>
      <c r="F174" s="4"/>
      <c r="G174" s="4"/>
      <c r="H174" s="7">
        <f t="shared" si="25"/>
        <v>26000</v>
      </c>
      <c r="I174" s="7"/>
      <c r="J174" s="7">
        <v>15650</v>
      </c>
      <c r="K174" s="7"/>
      <c r="L174" s="7"/>
      <c r="M174" s="7">
        <f t="shared" si="26"/>
        <v>15650</v>
      </c>
      <c r="N174" s="5">
        <f t="shared" si="27"/>
        <v>0.6019230769230769</v>
      </c>
      <c r="O174" s="78"/>
    </row>
    <row r="175" spans="1:15" ht="19.5">
      <c r="A175" s="68"/>
      <c r="B175" s="121"/>
      <c r="C175" s="18" t="s">
        <v>161</v>
      </c>
      <c r="D175" s="4"/>
      <c r="E175" s="4"/>
      <c r="F175" s="4"/>
      <c r="G175" s="4"/>
      <c r="H175" s="7">
        <f t="shared" si="25"/>
        <v>0</v>
      </c>
      <c r="I175" s="7"/>
      <c r="J175" s="7">
        <v>12156</v>
      </c>
      <c r="K175" s="7"/>
      <c r="L175" s="7"/>
      <c r="M175" s="7">
        <f t="shared" si="26"/>
        <v>12156</v>
      </c>
      <c r="N175" s="5"/>
      <c r="O175" s="78"/>
    </row>
    <row r="176" spans="1:15" ht="9.75">
      <c r="A176" s="68"/>
      <c r="B176" s="121"/>
      <c r="C176" s="18" t="s">
        <v>72</v>
      </c>
      <c r="D176" s="4"/>
      <c r="E176" s="4"/>
      <c r="F176" s="4"/>
      <c r="G176" s="4"/>
      <c r="H176" s="7">
        <f t="shared" si="25"/>
        <v>0</v>
      </c>
      <c r="I176" s="7"/>
      <c r="J176" s="7">
        <v>7567</v>
      </c>
      <c r="K176" s="7"/>
      <c r="L176" s="7"/>
      <c r="M176" s="7">
        <f t="shared" si="26"/>
        <v>7567</v>
      </c>
      <c r="N176" s="5"/>
      <c r="O176" s="78"/>
    </row>
    <row r="177" spans="1:15" ht="19.5">
      <c r="A177" s="68"/>
      <c r="B177" s="121"/>
      <c r="C177" s="18" t="s">
        <v>208</v>
      </c>
      <c r="D177" s="4"/>
      <c r="E177" s="4"/>
      <c r="F177" s="4"/>
      <c r="G177" s="4"/>
      <c r="H177" s="7">
        <f aca="true" t="shared" si="28" ref="H177:H196">SUM(D177:G177)</f>
        <v>0</v>
      </c>
      <c r="I177" s="7"/>
      <c r="J177" s="7">
        <v>3284</v>
      </c>
      <c r="K177" s="7"/>
      <c r="L177" s="7"/>
      <c r="M177" s="7">
        <f t="shared" si="26"/>
        <v>3284</v>
      </c>
      <c r="N177" s="5"/>
      <c r="O177" s="78"/>
    </row>
    <row r="178" spans="1:15" ht="9.75">
      <c r="A178" s="68"/>
      <c r="B178" s="121"/>
      <c r="C178" s="18" t="s">
        <v>74</v>
      </c>
      <c r="D178" s="4"/>
      <c r="E178" s="4"/>
      <c r="F178" s="4"/>
      <c r="G178" s="4"/>
      <c r="H178" s="7">
        <f t="shared" si="28"/>
        <v>0</v>
      </c>
      <c r="I178" s="7"/>
      <c r="J178" s="7">
        <v>5170</v>
      </c>
      <c r="K178" s="7"/>
      <c r="L178" s="7"/>
      <c r="M178" s="7">
        <f t="shared" si="26"/>
        <v>5170</v>
      </c>
      <c r="N178" s="5"/>
      <c r="O178" s="78"/>
    </row>
    <row r="179" spans="1:15" ht="19.5">
      <c r="A179" s="68"/>
      <c r="B179" s="122"/>
      <c r="C179" s="18" t="s">
        <v>204</v>
      </c>
      <c r="D179" s="4"/>
      <c r="E179" s="4"/>
      <c r="F179" s="4"/>
      <c r="G179" s="4"/>
      <c r="H179" s="7">
        <f t="shared" si="28"/>
        <v>0</v>
      </c>
      <c r="I179" s="7"/>
      <c r="J179" s="7">
        <v>118913</v>
      </c>
      <c r="K179" s="7"/>
      <c r="L179" s="7"/>
      <c r="M179" s="7">
        <f t="shared" si="26"/>
        <v>118913</v>
      </c>
      <c r="N179" s="5"/>
      <c r="O179" s="78"/>
    </row>
    <row r="180" spans="1:15" ht="9.75">
      <c r="A180" s="68"/>
      <c r="B180" s="33" t="s">
        <v>158</v>
      </c>
      <c r="C180" s="29"/>
      <c r="D180" s="6">
        <f>SUM(D172:D174)</f>
        <v>0</v>
      </c>
      <c r="E180" s="6">
        <f>SUM(E172:E174)</f>
        <v>212659</v>
      </c>
      <c r="F180" s="6">
        <f>SUM(F172:F174)</f>
        <v>0</v>
      </c>
      <c r="G180" s="6">
        <f>SUM(G172:G174)</f>
        <v>0</v>
      </c>
      <c r="H180" s="6">
        <f t="shared" si="28"/>
        <v>212659</v>
      </c>
      <c r="I180" s="6">
        <f>SUM(I172:I179)</f>
        <v>0</v>
      </c>
      <c r="J180" s="6">
        <f>SUM(J172:J179)</f>
        <v>257474</v>
      </c>
      <c r="K180" s="6">
        <f>SUM(K172:K179)</f>
        <v>0</v>
      </c>
      <c r="L180" s="6">
        <f>SUM(L172:L179)</f>
        <v>0</v>
      </c>
      <c r="M180" s="6">
        <f t="shared" si="26"/>
        <v>257474</v>
      </c>
      <c r="N180" s="28">
        <f t="shared" si="27"/>
        <v>1.210736437206984</v>
      </c>
      <c r="O180" s="78"/>
    </row>
    <row r="181" spans="1:15" ht="48.75" customHeight="1">
      <c r="A181" s="68"/>
      <c r="B181" s="120" t="s">
        <v>42</v>
      </c>
      <c r="C181" s="27" t="s">
        <v>104</v>
      </c>
      <c r="D181" s="4"/>
      <c r="E181" s="4">
        <v>28000</v>
      </c>
      <c r="F181" s="4"/>
      <c r="G181" s="4"/>
      <c r="H181" s="7">
        <f t="shared" si="28"/>
        <v>28000</v>
      </c>
      <c r="I181" s="9"/>
      <c r="J181" s="7">
        <v>12983</v>
      </c>
      <c r="K181" s="9"/>
      <c r="L181" s="9"/>
      <c r="M181" s="7">
        <f t="shared" si="26"/>
        <v>12983</v>
      </c>
      <c r="N181" s="5">
        <f t="shared" si="27"/>
        <v>0.46367857142857144</v>
      </c>
      <c r="O181" s="78"/>
    </row>
    <row r="182" spans="1:15" ht="9.75">
      <c r="A182" s="68"/>
      <c r="B182" s="121"/>
      <c r="C182" s="18" t="s">
        <v>193</v>
      </c>
      <c r="D182" s="4"/>
      <c r="E182" s="4">
        <v>150</v>
      </c>
      <c r="F182" s="4"/>
      <c r="G182" s="4"/>
      <c r="H182" s="7">
        <f t="shared" si="28"/>
        <v>150</v>
      </c>
      <c r="I182" s="7"/>
      <c r="J182" s="7"/>
      <c r="K182" s="7"/>
      <c r="L182" s="7"/>
      <c r="M182" s="7">
        <f aca="true" t="shared" si="29" ref="M182:M196">SUM(I182:L182)</f>
        <v>0</v>
      </c>
      <c r="N182" s="5">
        <f t="shared" si="27"/>
        <v>0</v>
      </c>
      <c r="O182" s="78"/>
    </row>
    <row r="183" spans="1:15" ht="9.75">
      <c r="A183" s="68"/>
      <c r="B183" s="121"/>
      <c r="C183" s="18" t="s">
        <v>72</v>
      </c>
      <c r="D183" s="4"/>
      <c r="E183" s="4"/>
      <c r="F183" s="4"/>
      <c r="G183" s="4"/>
      <c r="H183" s="7">
        <f t="shared" si="28"/>
        <v>0</v>
      </c>
      <c r="I183" s="7"/>
      <c r="J183" s="7">
        <v>611</v>
      </c>
      <c r="K183" s="7"/>
      <c r="L183" s="7"/>
      <c r="M183" s="7">
        <f t="shared" si="29"/>
        <v>611</v>
      </c>
      <c r="N183" s="5"/>
      <c r="O183" s="78"/>
    </row>
    <row r="184" spans="1:15" ht="9.75">
      <c r="A184" s="68"/>
      <c r="B184" s="122"/>
      <c r="C184" s="18" t="s">
        <v>74</v>
      </c>
      <c r="D184" s="4"/>
      <c r="E184" s="4"/>
      <c r="F184" s="4"/>
      <c r="G184" s="4"/>
      <c r="H184" s="7">
        <f t="shared" si="28"/>
        <v>0</v>
      </c>
      <c r="I184" s="7"/>
      <c r="J184" s="7">
        <v>122</v>
      </c>
      <c r="K184" s="7"/>
      <c r="L184" s="7"/>
      <c r="M184" s="7">
        <f t="shared" si="29"/>
        <v>122</v>
      </c>
      <c r="N184" s="5"/>
      <c r="O184" s="78"/>
    </row>
    <row r="185" spans="1:15" ht="13.5" customHeight="1">
      <c r="A185" s="68"/>
      <c r="B185" s="33" t="s">
        <v>159</v>
      </c>
      <c r="C185" s="29"/>
      <c r="D185" s="6">
        <f>SUM(D181:D182)</f>
        <v>0</v>
      </c>
      <c r="E185" s="6">
        <f>SUM(E181:E182)</f>
        <v>28150</v>
      </c>
      <c r="F185" s="6">
        <f>SUM(F181:F182)</f>
        <v>0</v>
      </c>
      <c r="G185" s="6">
        <f>SUM(G181:G182)</f>
        <v>0</v>
      </c>
      <c r="H185" s="6">
        <f t="shared" si="28"/>
        <v>28150</v>
      </c>
      <c r="I185" s="6">
        <f>SUM(I181:I184)</f>
        <v>0</v>
      </c>
      <c r="J185" s="6">
        <f>SUM(J181:J184)</f>
        <v>13716</v>
      </c>
      <c r="K185" s="6">
        <f>SUM(K181:K184)</f>
        <v>0</v>
      </c>
      <c r="L185" s="6">
        <f>SUM(L181:L184)</f>
        <v>0</v>
      </c>
      <c r="M185" s="6">
        <f t="shared" si="29"/>
        <v>13716</v>
      </c>
      <c r="N185" s="28">
        <f>M185/H185</f>
        <v>0.487246891651865</v>
      </c>
      <c r="O185" s="78"/>
    </row>
    <row r="186" spans="1:15" ht="38.25" customHeight="1">
      <c r="A186" s="68"/>
      <c r="B186" s="23" t="s">
        <v>43</v>
      </c>
      <c r="C186" s="27" t="s">
        <v>83</v>
      </c>
      <c r="D186" s="4"/>
      <c r="E186" s="4">
        <v>500000</v>
      </c>
      <c r="F186" s="4"/>
      <c r="G186" s="4"/>
      <c r="H186" s="7">
        <f t="shared" si="28"/>
        <v>500000</v>
      </c>
      <c r="I186" s="7"/>
      <c r="J186" s="7">
        <v>11587</v>
      </c>
      <c r="K186" s="7"/>
      <c r="L186" s="7"/>
      <c r="M186" s="7">
        <f t="shared" si="29"/>
        <v>11587</v>
      </c>
      <c r="N186" s="5">
        <f>M186/H186</f>
        <v>0.023174</v>
      </c>
      <c r="O186" s="78"/>
    </row>
    <row r="187" spans="1:15" ht="12.75" customHeight="1">
      <c r="A187" s="68"/>
      <c r="B187" s="33" t="s">
        <v>160</v>
      </c>
      <c r="C187" s="29"/>
      <c r="D187" s="6">
        <f>SUM(D186)</f>
        <v>0</v>
      </c>
      <c r="E187" s="6">
        <f>SUM(E186)</f>
        <v>500000</v>
      </c>
      <c r="F187" s="6">
        <f>SUM(F186)</f>
        <v>0</v>
      </c>
      <c r="G187" s="6">
        <f>SUM(G186)</f>
        <v>0</v>
      </c>
      <c r="H187" s="6">
        <f t="shared" si="28"/>
        <v>500000</v>
      </c>
      <c r="I187" s="6">
        <f>SUM(I186)</f>
        <v>0</v>
      </c>
      <c r="J187" s="6">
        <f>SUM(J186)</f>
        <v>11587</v>
      </c>
      <c r="K187" s="6">
        <f>SUM(K186)</f>
        <v>0</v>
      </c>
      <c r="L187" s="6">
        <f>SUM(L186)</f>
        <v>0</v>
      </c>
      <c r="M187" s="6">
        <f t="shared" si="29"/>
        <v>11587</v>
      </c>
      <c r="N187" s="28">
        <f>M187/H187</f>
        <v>0.023174</v>
      </c>
      <c r="O187" s="78"/>
    </row>
    <row r="188" spans="1:15" ht="9.75">
      <c r="A188" s="68"/>
      <c r="B188" s="120" t="s">
        <v>195</v>
      </c>
      <c r="C188" s="18" t="s">
        <v>193</v>
      </c>
      <c r="D188" s="4"/>
      <c r="E188" s="4">
        <v>16250</v>
      </c>
      <c r="F188" s="4"/>
      <c r="G188" s="4"/>
      <c r="H188" s="7">
        <f t="shared" si="28"/>
        <v>16250</v>
      </c>
      <c r="I188" s="7"/>
      <c r="J188" s="7">
        <v>12875</v>
      </c>
      <c r="K188" s="7"/>
      <c r="L188" s="7"/>
      <c r="M188" s="7">
        <f t="shared" si="29"/>
        <v>12875</v>
      </c>
      <c r="N188" s="5">
        <f>M188/H188</f>
        <v>0.7923076923076923</v>
      </c>
      <c r="O188" s="78"/>
    </row>
    <row r="189" spans="1:15" ht="9.75">
      <c r="A189" s="68"/>
      <c r="B189" s="121"/>
      <c r="C189" s="18" t="s">
        <v>72</v>
      </c>
      <c r="D189" s="4"/>
      <c r="E189" s="4"/>
      <c r="F189" s="4"/>
      <c r="G189" s="4"/>
      <c r="H189" s="7">
        <f t="shared" si="28"/>
        <v>0</v>
      </c>
      <c r="I189" s="7"/>
      <c r="J189" s="7">
        <v>547</v>
      </c>
      <c r="K189" s="7"/>
      <c r="L189" s="7"/>
      <c r="M189" s="7">
        <f t="shared" si="29"/>
        <v>547</v>
      </c>
      <c r="N189" s="5"/>
      <c r="O189" s="78"/>
    </row>
    <row r="190" spans="1:15" ht="9.75">
      <c r="A190" s="68"/>
      <c r="B190" s="121"/>
      <c r="C190" s="18" t="s">
        <v>74</v>
      </c>
      <c r="D190" s="4"/>
      <c r="E190" s="4"/>
      <c r="F190" s="4"/>
      <c r="G190" s="4"/>
      <c r="H190" s="7">
        <f t="shared" si="28"/>
        <v>0</v>
      </c>
      <c r="I190" s="7"/>
      <c r="J190" s="7">
        <v>30</v>
      </c>
      <c r="K190" s="7"/>
      <c r="L190" s="7"/>
      <c r="M190" s="7">
        <f t="shared" si="29"/>
        <v>30</v>
      </c>
      <c r="N190" s="5"/>
      <c r="O190" s="78"/>
    </row>
    <row r="191" spans="1:15" ht="19.5">
      <c r="A191" s="68"/>
      <c r="B191" s="122"/>
      <c r="C191" s="18" t="s">
        <v>204</v>
      </c>
      <c r="D191" s="4"/>
      <c r="E191" s="4"/>
      <c r="F191" s="4"/>
      <c r="G191" s="4"/>
      <c r="H191" s="7">
        <f t="shared" si="28"/>
        <v>0</v>
      </c>
      <c r="I191" s="7"/>
      <c r="J191" s="7">
        <v>38671</v>
      </c>
      <c r="K191" s="7"/>
      <c r="L191" s="7"/>
      <c r="M191" s="7">
        <f t="shared" si="29"/>
        <v>38671</v>
      </c>
      <c r="N191" s="5"/>
      <c r="O191" s="78"/>
    </row>
    <row r="192" spans="1:15" ht="12.75" customHeight="1">
      <c r="A192" s="68"/>
      <c r="B192" s="33" t="s">
        <v>195</v>
      </c>
      <c r="C192" s="29"/>
      <c r="D192" s="6">
        <f>SUM(D188)</f>
        <v>0</v>
      </c>
      <c r="E192" s="6">
        <f>SUM(E188)</f>
        <v>16250</v>
      </c>
      <c r="F192" s="6">
        <f>SUM(F188)</f>
        <v>0</v>
      </c>
      <c r="G192" s="6">
        <f>SUM(G188)</f>
        <v>0</v>
      </c>
      <c r="H192" s="6">
        <f t="shared" si="28"/>
        <v>16250</v>
      </c>
      <c r="I192" s="6">
        <f>SUM(I188:I191)</f>
        <v>0</v>
      </c>
      <c r="J192" s="6">
        <f>SUM(J188:J191)</f>
        <v>52123</v>
      </c>
      <c r="K192" s="6">
        <f>SUM(K188:K191)</f>
        <v>0</v>
      </c>
      <c r="L192" s="6">
        <f>SUM(L188:L191)</f>
        <v>0</v>
      </c>
      <c r="M192" s="6">
        <f t="shared" si="29"/>
        <v>52123</v>
      </c>
      <c r="N192" s="28">
        <f>M192/H192</f>
        <v>3.2075692307692307</v>
      </c>
      <c r="O192" s="78"/>
    </row>
    <row r="193" spans="1:15" ht="19.5">
      <c r="A193" s="68"/>
      <c r="B193" s="23" t="s">
        <v>212</v>
      </c>
      <c r="C193" s="18" t="s">
        <v>74</v>
      </c>
      <c r="D193" s="4"/>
      <c r="E193" s="4"/>
      <c r="F193" s="4"/>
      <c r="G193" s="4"/>
      <c r="H193" s="7">
        <f t="shared" si="28"/>
        <v>0</v>
      </c>
      <c r="I193" s="7">
        <v>80</v>
      </c>
      <c r="J193" s="7"/>
      <c r="K193" s="7"/>
      <c r="L193" s="7"/>
      <c r="M193" s="7">
        <f t="shared" si="29"/>
        <v>80</v>
      </c>
      <c r="N193" s="5"/>
      <c r="O193" s="78"/>
    </row>
    <row r="194" spans="1:15" ht="12" customHeight="1">
      <c r="A194" s="68"/>
      <c r="B194" s="33" t="s">
        <v>213</v>
      </c>
      <c r="C194" s="29"/>
      <c r="D194" s="6">
        <f>SUM(D193)</f>
        <v>0</v>
      </c>
      <c r="E194" s="6">
        <f>SUM(E193)</f>
        <v>0</v>
      </c>
      <c r="F194" s="6">
        <f>SUM(F193)</f>
        <v>0</v>
      </c>
      <c r="G194" s="6">
        <f>SUM(G193)</f>
        <v>0</v>
      </c>
      <c r="H194" s="6">
        <f t="shared" si="28"/>
        <v>0</v>
      </c>
      <c r="I194" s="6">
        <f>SUM(I193)</f>
        <v>80</v>
      </c>
      <c r="J194" s="6">
        <f>SUM(J193)</f>
        <v>0</v>
      </c>
      <c r="K194" s="6">
        <f>SUM(K193)</f>
        <v>0</v>
      </c>
      <c r="L194" s="6">
        <f>SUM(L193)</f>
        <v>0</v>
      </c>
      <c r="M194" s="6">
        <f t="shared" si="29"/>
        <v>80</v>
      </c>
      <c r="N194" s="28"/>
      <c r="O194" s="78"/>
    </row>
    <row r="195" spans="1:15" ht="39">
      <c r="A195" s="68"/>
      <c r="B195" s="23" t="s">
        <v>214</v>
      </c>
      <c r="C195" s="18" t="s">
        <v>216</v>
      </c>
      <c r="D195" s="4"/>
      <c r="E195" s="4"/>
      <c r="F195" s="4"/>
      <c r="G195" s="4"/>
      <c r="H195" s="7">
        <f t="shared" si="28"/>
        <v>0</v>
      </c>
      <c r="I195" s="7">
        <v>908</v>
      </c>
      <c r="J195" s="7"/>
      <c r="K195" s="7"/>
      <c r="L195" s="7"/>
      <c r="M195" s="7">
        <f t="shared" si="29"/>
        <v>908</v>
      </c>
      <c r="N195" s="5"/>
      <c r="O195" s="78"/>
    </row>
    <row r="196" spans="1:15" ht="9.75">
      <c r="A196" s="68"/>
      <c r="B196" s="33" t="s">
        <v>215</v>
      </c>
      <c r="C196" s="29"/>
      <c r="D196" s="6">
        <f>SUM(D195)</f>
        <v>0</v>
      </c>
      <c r="E196" s="6">
        <f>SUM(E195)</f>
        <v>0</v>
      </c>
      <c r="F196" s="6">
        <f>SUM(F195)</f>
        <v>0</v>
      </c>
      <c r="G196" s="6">
        <f>SUM(G195)</f>
        <v>0</v>
      </c>
      <c r="H196" s="6">
        <f t="shared" si="28"/>
        <v>0</v>
      </c>
      <c r="I196" s="6">
        <f>SUM(I195)</f>
        <v>908</v>
      </c>
      <c r="J196" s="6">
        <f>SUM(J195)</f>
        <v>0</v>
      </c>
      <c r="K196" s="6">
        <f>SUM(K195)</f>
        <v>0</v>
      </c>
      <c r="L196" s="6">
        <f>SUM(L195)</f>
        <v>0</v>
      </c>
      <c r="M196" s="6">
        <f t="shared" si="29"/>
        <v>908</v>
      </c>
      <c r="N196" s="28"/>
      <c r="O196" s="78"/>
    </row>
    <row r="197" spans="1:15" ht="11.25">
      <c r="A197" s="53" t="s">
        <v>44</v>
      </c>
      <c r="B197" s="38"/>
      <c r="C197" s="24"/>
      <c r="D197" s="25">
        <f aca="true" t="shared" si="30" ref="D197:M197">SUM(D196,D194,D192,D187,D185,D180,D171,D164,D156,D150,D145)</f>
        <v>1741763</v>
      </c>
      <c r="E197" s="25">
        <f t="shared" si="30"/>
        <v>975237</v>
      </c>
      <c r="F197" s="25">
        <f t="shared" si="30"/>
        <v>0</v>
      </c>
      <c r="G197" s="25">
        <f t="shared" si="30"/>
        <v>0</v>
      </c>
      <c r="H197" s="25">
        <f t="shared" si="30"/>
        <v>2717000</v>
      </c>
      <c r="I197" s="25">
        <f t="shared" si="30"/>
        <v>1310089</v>
      </c>
      <c r="J197" s="25">
        <f t="shared" si="30"/>
        <v>992893</v>
      </c>
      <c r="K197" s="25">
        <f t="shared" si="30"/>
        <v>0</v>
      </c>
      <c r="L197" s="25">
        <f t="shared" si="30"/>
        <v>0</v>
      </c>
      <c r="M197" s="25">
        <f t="shared" si="30"/>
        <v>2302982</v>
      </c>
      <c r="N197" s="30">
        <f>M197/H197</f>
        <v>0.8476194331983805</v>
      </c>
      <c r="O197" s="78"/>
    </row>
    <row r="198" spans="1:15" ht="19.5">
      <c r="A198" s="54" t="s">
        <v>45</v>
      </c>
      <c r="B198" s="120" t="s">
        <v>63</v>
      </c>
      <c r="C198" s="18" t="s">
        <v>161</v>
      </c>
      <c r="D198" s="4">
        <v>230000</v>
      </c>
      <c r="E198" s="4"/>
      <c r="F198" s="4"/>
      <c r="G198" s="4"/>
      <c r="H198" s="7">
        <f aca="true" t="shared" si="31" ref="H198:H212">SUM(D198:G198)</f>
        <v>230000</v>
      </c>
      <c r="I198" s="13">
        <v>187057</v>
      </c>
      <c r="J198" s="13"/>
      <c r="K198" s="13"/>
      <c r="L198" s="13"/>
      <c r="M198" s="7">
        <f aca="true" t="shared" si="32" ref="M198:M212">SUM(I198:L198)</f>
        <v>187057</v>
      </c>
      <c r="N198" s="5">
        <f>M198/H198</f>
        <v>0.813291304347826</v>
      </c>
      <c r="O198" s="78"/>
    </row>
    <row r="199" spans="1:15" ht="9.75" hidden="1">
      <c r="A199" s="54"/>
      <c r="B199" s="122"/>
      <c r="C199" s="18" t="s">
        <v>74</v>
      </c>
      <c r="D199" s="4"/>
      <c r="E199" s="4"/>
      <c r="F199" s="4"/>
      <c r="G199" s="4"/>
      <c r="H199" s="7">
        <f t="shared" si="31"/>
        <v>0</v>
      </c>
      <c r="I199" s="13"/>
      <c r="J199" s="13"/>
      <c r="K199" s="13"/>
      <c r="L199" s="13"/>
      <c r="M199" s="7">
        <f t="shared" si="32"/>
        <v>0</v>
      </c>
      <c r="N199" s="5"/>
      <c r="O199" s="78"/>
    </row>
    <row r="200" spans="1:15" ht="9.75">
      <c r="A200" s="68"/>
      <c r="B200" s="33" t="s">
        <v>162</v>
      </c>
      <c r="C200" s="29"/>
      <c r="D200" s="6">
        <f>SUM(D198)</f>
        <v>230000</v>
      </c>
      <c r="E200" s="6">
        <f>SUM(E198)</f>
        <v>0</v>
      </c>
      <c r="F200" s="6">
        <f>SUM(F198)</f>
        <v>0</v>
      </c>
      <c r="G200" s="6">
        <f>SUM(G198)</f>
        <v>0</v>
      </c>
      <c r="H200" s="31">
        <f t="shared" si="31"/>
        <v>230000</v>
      </c>
      <c r="I200" s="6">
        <f>SUM(I198:I199)</f>
        <v>187057</v>
      </c>
      <c r="J200" s="6">
        <f>SUM(J198:J199)</f>
        <v>0</v>
      </c>
      <c r="K200" s="6">
        <f>SUM(K198:K199)</f>
        <v>0</v>
      </c>
      <c r="L200" s="6">
        <f>SUM(L198:L199)</f>
        <v>0</v>
      </c>
      <c r="M200" s="6">
        <f t="shared" si="32"/>
        <v>187057</v>
      </c>
      <c r="N200" s="28">
        <f>M200/H200</f>
        <v>0.813291304347826</v>
      </c>
      <c r="O200" s="78"/>
    </row>
    <row r="201" spans="1:15" ht="39">
      <c r="A201" s="68"/>
      <c r="B201" s="23" t="s">
        <v>217</v>
      </c>
      <c r="C201" s="18" t="s">
        <v>216</v>
      </c>
      <c r="D201" s="4"/>
      <c r="E201" s="4"/>
      <c r="F201" s="4"/>
      <c r="G201" s="4"/>
      <c r="H201" s="7">
        <f t="shared" si="31"/>
        <v>0</v>
      </c>
      <c r="I201" s="7">
        <v>325</v>
      </c>
      <c r="J201" s="7"/>
      <c r="K201" s="7"/>
      <c r="L201" s="7"/>
      <c r="M201" s="7">
        <f t="shared" si="32"/>
        <v>325</v>
      </c>
      <c r="N201" s="5"/>
      <c r="O201" s="78"/>
    </row>
    <row r="202" spans="1:15" ht="9.75">
      <c r="A202" s="68"/>
      <c r="B202" s="33" t="s">
        <v>218</v>
      </c>
      <c r="C202" s="29"/>
      <c r="D202" s="6">
        <f>SUM(D201)</f>
        <v>0</v>
      </c>
      <c r="E202" s="6">
        <f>SUM(E201)</f>
        <v>0</v>
      </c>
      <c r="F202" s="6">
        <f>SUM(F201)</f>
        <v>0</v>
      </c>
      <c r="G202" s="6">
        <f>SUM(G201)</f>
        <v>0</v>
      </c>
      <c r="H202" s="6">
        <f t="shared" si="31"/>
        <v>0</v>
      </c>
      <c r="I202" s="6">
        <f>SUM(I201)</f>
        <v>325</v>
      </c>
      <c r="J202" s="6">
        <f>SUM(J201)</f>
        <v>0</v>
      </c>
      <c r="K202" s="6">
        <f>SUM(K201)</f>
        <v>0</v>
      </c>
      <c r="L202" s="6">
        <f>SUM(L201)</f>
        <v>0</v>
      </c>
      <c r="M202" s="6">
        <f t="shared" si="32"/>
        <v>325</v>
      </c>
      <c r="N202" s="28"/>
      <c r="O202" s="78"/>
    </row>
    <row r="203" spans="1:15" s="10" customFormat="1" ht="9.75">
      <c r="A203" s="69"/>
      <c r="B203" s="130" t="s">
        <v>219</v>
      </c>
      <c r="C203" s="18" t="s">
        <v>72</v>
      </c>
      <c r="D203" s="13"/>
      <c r="E203" s="13"/>
      <c r="F203" s="13"/>
      <c r="G203" s="13"/>
      <c r="H203" s="7">
        <f t="shared" si="31"/>
        <v>0</v>
      </c>
      <c r="I203" s="7">
        <v>62</v>
      </c>
      <c r="J203" s="13"/>
      <c r="K203" s="13"/>
      <c r="L203" s="13"/>
      <c r="M203" s="7">
        <f t="shared" si="32"/>
        <v>62</v>
      </c>
      <c r="N203" s="5"/>
      <c r="O203" s="80"/>
    </row>
    <row r="204" spans="1:15" ht="39">
      <c r="A204" s="68"/>
      <c r="B204" s="131"/>
      <c r="C204" s="18" t="s">
        <v>216</v>
      </c>
      <c r="D204" s="4"/>
      <c r="E204" s="4"/>
      <c r="F204" s="4"/>
      <c r="G204" s="4"/>
      <c r="H204" s="7">
        <f t="shared" si="31"/>
        <v>0</v>
      </c>
      <c r="I204" s="7">
        <v>26968</v>
      </c>
      <c r="J204" s="7"/>
      <c r="K204" s="7"/>
      <c r="L204" s="7"/>
      <c r="M204" s="7">
        <f t="shared" si="32"/>
        <v>26968</v>
      </c>
      <c r="N204" s="5"/>
      <c r="O204" s="78"/>
    </row>
    <row r="205" spans="1:15" ht="9.75">
      <c r="A205" s="68"/>
      <c r="B205" s="33" t="s">
        <v>220</v>
      </c>
      <c r="C205" s="29"/>
      <c r="D205" s="6">
        <f>SUM(D204)</f>
        <v>0</v>
      </c>
      <c r="E205" s="6">
        <f>SUM(E204)</f>
        <v>0</v>
      </c>
      <c r="F205" s="6">
        <f>SUM(F204)</f>
        <v>0</v>
      </c>
      <c r="G205" s="6">
        <f>SUM(G204)</f>
        <v>0</v>
      </c>
      <c r="H205" s="6">
        <f t="shared" si="31"/>
        <v>0</v>
      </c>
      <c r="I205" s="6">
        <f>SUM(I203:I204)</f>
        <v>27030</v>
      </c>
      <c r="J205" s="6">
        <f>SUM(J203:J204)</f>
        <v>0</v>
      </c>
      <c r="K205" s="6">
        <f>SUM(K203:K204)</f>
        <v>0</v>
      </c>
      <c r="L205" s="6">
        <f>SUM(L203:L204)</f>
        <v>0</v>
      </c>
      <c r="M205" s="6">
        <f t="shared" si="32"/>
        <v>27030</v>
      </c>
      <c r="N205" s="28"/>
      <c r="O205" s="78"/>
    </row>
    <row r="206" spans="1:15" ht="48.75">
      <c r="A206" s="68"/>
      <c r="B206" s="23" t="s">
        <v>163</v>
      </c>
      <c r="C206" s="27" t="s">
        <v>69</v>
      </c>
      <c r="D206" s="4"/>
      <c r="E206" s="4"/>
      <c r="F206" s="4"/>
      <c r="G206" s="4">
        <v>1576000</v>
      </c>
      <c r="H206" s="7">
        <f t="shared" si="31"/>
        <v>1576000</v>
      </c>
      <c r="I206" s="7"/>
      <c r="J206" s="7"/>
      <c r="K206" s="7"/>
      <c r="L206" s="7">
        <v>549680</v>
      </c>
      <c r="M206" s="7">
        <f t="shared" si="32"/>
        <v>549680</v>
      </c>
      <c r="N206" s="5">
        <f>M206/H206</f>
        <v>0.3487817258883249</v>
      </c>
      <c r="O206" s="78"/>
    </row>
    <row r="207" spans="1:15" ht="9.75">
      <c r="A207" s="68"/>
      <c r="B207" s="33" t="s">
        <v>164</v>
      </c>
      <c r="C207" s="29"/>
      <c r="D207" s="6">
        <f>SUM(D206)</f>
        <v>0</v>
      </c>
      <c r="E207" s="6">
        <f>SUM(E206)</f>
        <v>0</v>
      </c>
      <c r="F207" s="6">
        <f>SUM(F206)</f>
        <v>0</v>
      </c>
      <c r="G207" s="6">
        <f>SUM(G206)</f>
        <v>1576000</v>
      </c>
      <c r="H207" s="6">
        <f t="shared" si="31"/>
        <v>1576000</v>
      </c>
      <c r="I207" s="6">
        <f>SUM(I206)</f>
        <v>0</v>
      </c>
      <c r="J207" s="6">
        <f>SUM(J206)</f>
        <v>0</v>
      </c>
      <c r="K207" s="6">
        <f>SUM(K206)</f>
        <v>0</v>
      </c>
      <c r="L207" s="6">
        <f>SUM(L206)</f>
        <v>549680</v>
      </c>
      <c r="M207" s="6">
        <f t="shared" si="32"/>
        <v>549680</v>
      </c>
      <c r="N207" s="28">
        <f>M207/H207</f>
        <v>0.3487817258883249</v>
      </c>
      <c r="O207" s="78"/>
    </row>
    <row r="208" spans="1:15" ht="9.75">
      <c r="A208" s="68"/>
      <c r="B208" s="120" t="s">
        <v>221</v>
      </c>
      <c r="C208" s="50" t="s">
        <v>71</v>
      </c>
      <c r="D208" s="4"/>
      <c r="E208" s="4"/>
      <c r="F208" s="4"/>
      <c r="G208" s="4"/>
      <c r="H208" s="7">
        <f t="shared" si="31"/>
        <v>0</v>
      </c>
      <c r="I208" s="7">
        <v>844</v>
      </c>
      <c r="J208" s="7"/>
      <c r="K208" s="7"/>
      <c r="L208" s="7"/>
      <c r="M208" s="7">
        <f t="shared" si="32"/>
        <v>844</v>
      </c>
      <c r="N208" s="5"/>
      <c r="O208" s="78"/>
    </row>
    <row r="209" spans="1:15" ht="9.75">
      <c r="A209" s="68"/>
      <c r="B209" s="122"/>
      <c r="C209" s="18" t="s">
        <v>193</v>
      </c>
      <c r="D209" s="4"/>
      <c r="E209" s="4"/>
      <c r="F209" s="4"/>
      <c r="G209" s="4"/>
      <c r="H209" s="7">
        <f t="shared" si="31"/>
        <v>0</v>
      </c>
      <c r="I209" s="7">
        <v>26162</v>
      </c>
      <c r="J209" s="7"/>
      <c r="K209" s="7"/>
      <c r="L209" s="7"/>
      <c r="M209" s="7">
        <f t="shared" si="32"/>
        <v>26162</v>
      </c>
      <c r="N209" s="5"/>
      <c r="O209" s="78"/>
    </row>
    <row r="210" spans="1:15" ht="9.75">
      <c r="A210" s="68"/>
      <c r="B210" s="33" t="s">
        <v>222</v>
      </c>
      <c r="C210" s="29"/>
      <c r="D210" s="6">
        <f>SUM(D208)</f>
        <v>0</v>
      </c>
      <c r="E210" s="6">
        <f>SUM(E208)</f>
        <v>0</v>
      </c>
      <c r="F210" s="6">
        <f>SUM(F208)</f>
        <v>0</v>
      </c>
      <c r="G210" s="6">
        <f>SUM(G208)</f>
        <v>0</v>
      </c>
      <c r="H210" s="6">
        <f t="shared" si="31"/>
        <v>0</v>
      </c>
      <c r="I210" s="6">
        <f>SUM(I208:I209)</f>
        <v>27006</v>
      </c>
      <c r="J210" s="6">
        <f>SUM(J208:J209)</f>
        <v>0</v>
      </c>
      <c r="K210" s="6">
        <f>SUM(K208:K209)</f>
        <v>0</v>
      </c>
      <c r="L210" s="6">
        <f>SUM(L208:L209)</f>
        <v>0</v>
      </c>
      <c r="M210" s="6">
        <f t="shared" si="32"/>
        <v>27006</v>
      </c>
      <c r="N210" s="28"/>
      <c r="O210" s="78"/>
    </row>
    <row r="211" spans="1:15" ht="39">
      <c r="A211" s="68"/>
      <c r="B211" s="22" t="s">
        <v>223</v>
      </c>
      <c r="C211" s="18" t="s">
        <v>216</v>
      </c>
      <c r="D211" s="4"/>
      <c r="E211" s="4"/>
      <c r="F211" s="4"/>
      <c r="G211" s="4"/>
      <c r="H211" s="7">
        <f t="shared" si="31"/>
        <v>0</v>
      </c>
      <c r="I211" s="7">
        <v>1225</v>
      </c>
      <c r="J211" s="7"/>
      <c r="K211" s="7"/>
      <c r="L211" s="7"/>
      <c r="M211" s="7">
        <f t="shared" si="32"/>
        <v>1225</v>
      </c>
      <c r="N211" s="5"/>
      <c r="O211" s="78"/>
    </row>
    <row r="212" spans="1:15" ht="9.75">
      <c r="A212" s="68"/>
      <c r="B212" s="33" t="s">
        <v>223</v>
      </c>
      <c r="C212" s="29"/>
      <c r="D212" s="6">
        <f>SUM(D211)</f>
        <v>0</v>
      </c>
      <c r="E212" s="6">
        <f>SUM(E211)</f>
        <v>0</v>
      </c>
      <c r="F212" s="6">
        <f>SUM(F211)</f>
        <v>0</v>
      </c>
      <c r="G212" s="6">
        <f>SUM(G211)</f>
        <v>0</v>
      </c>
      <c r="H212" s="6">
        <f t="shared" si="31"/>
        <v>0</v>
      </c>
      <c r="I212" s="6">
        <f>SUM(I211:I211)</f>
        <v>1225</v>
      </c>
      <c r="J212" s="6">
        <f>SUM(J211:J211)</f>
        <v>0</v>
      </c>
      <c r="K212" s="6">
        <f>SUM(K211:K211)</f>
        <v>0</v>
      </c>
      <c r="L212" s="6">
        <f>SUM(L211:L211)</f>
        <v>0</v>
      </c>
      <c r="M212" s="6">
        <f t="shared" si="32"/>
        <v>1225</v>
      </c>
      <c r="N212" s="28"/>
      <c r="O212" s="78"/>
    </row>
    <row r="213" spans="1:15" ht="11.25">
      <c r="A213" s="56" t="s">
        <v>46</v>
      </c>
      <c r="B213" s="35"/>
      <c r="C213" s="24"/>
      <c r="D213" s="25">
        <f aca="true" t="shared" si="33" ref="D213:M213">SUM(D212,D210,D207,D205,D202,D200)</f>
        <v>230000</v>
      </c>
      <c r="E213" s="25">
        <f t="shared" si="33"/>
        <v>0</v>
      </c>
      <c r="F213" s="25">
        <f t="shared" si="33"/>
        <v>0</v>
      </c>
      <c r="G213" s="25">
        <f t="shared" si="33"/>
        <v>1576000</v>
      </c>
      <c r="H213" s="25">
        <f t="shared" si="33"/>
        <v>1806000</v>
      </c>
      <c r="I213" s="25">
        <f t="shared" si="33"/>
        <v>242643</v>
      </c>
      <c r="J213" s="25">
        <f t="shared" si="33"/>
        <v>0</v>
      </c>
      <c r="K213" s="25">
        <f t="shared" si="33"/>
        <v>0</v>
      </c>
      <c r="L213" s="25">
        <f t="shared" si="33"/>
        <v>549680</v>
      </c>
      <c r="M213" s="25">
        <f t="shared" si="33"/>
        <v>792323</v>
      </c>
      <c r="N213" s="30">
        <f>M213/H213</f>
        <v>0.4387170542635659</v>
      </c>
      <c r="O213" s="78"/>
    </row>
    <row r="214" spans="1:15" s="10" customFormat="1" ht="49.5" customHeight="1">
      <c r="A214" s="114" t="s">
        <v>106</v>
      </c>
      <c r="B214" s="120" t="s">
        <v>107</v>
      </c>
      <c r="C214" s="18" t="s">
        <v>104</v>
      </c>
      <c r="D214" s="47"/>
      <c r="E214" s="47"/>
      <c r="F214" s="47"/>
      <c r="G214" s="47"/>
      <c r="H214" s="7">
        <f aca="true" t="shared" si="34" ref="H214:H222">SUM(D214:G214)</f>
        <v>0</v>
      </c>
      <c r="I214" s="47"/>
      <c r="J214" s="7">
        <v>1388</v>
      </c>
      <c r="K214" s="47"/>
      <c r="L214" s="47"/>
      <c r="M214" s="7">
        <f aca="true" t="shared" si="35" ref="M214:M236">SUM(I214:L214)</f>
        <v>1388</v>
      </c>
      <c r="N214" s="8"/>
      <c r="O214" s="80"/>
    </row>
    <row r="215" spans="1:15" s="10" customFormat="1" ht="11.25">
      <c r="A215" s="115"/>
      <c r="B215" s="121"/>
      <c r="C215" s="18" t="s">
        <v>193</v>
      </c>
      <c r="D215" s="47"/>
      <c r="E215" s="47"/>
      <c r="F215" s="47"/>
      <c r="G215" s="47"/>
      <c r="H215" s="7">
        <f t="shared" si="34"/>
        <v>0</v>
      </c>
      <c r="I215" s="47"/>
      <c r="J215" s="7">
        <v>1366</v>
      </c>
      <c r="K215" s="47"/>
      <c r="L215" s="47"/>
      <c r="M215" s="7">
        <f t="shared" si="35"/>
        <v>1366</v>
      </c>
      <c r="N215" s="8"/>
      <c r="O215" s="80"/>
    </row>
    <row r="216" spans="1:15" s="10" customFormat="1" ht="11.25">
      <c r="A216" s="115"/>
      <c r="B216" s="49"/>
      <c r="C216" s="18" t="s">
        <v>72</v>
      </c>
      <c r="D216" s="47"/>
      <c r="E216" s="47"/>
      <c r="F216" s="47"/>
      <c r="G216" s="47"/>
      <c r="H216" s="7">
        <f t="shared" si="34"/>
        <v>0</v>
      </c>
      <c r="I216" s="47"/>
      <c r="J216" s="7">
        <v>944</v>
      </c>
      <c r="K216" s="47"/>
      <c r="L216" s="47"/>
      <c r="M216" s="7">
        <f t="shared" si="35"/>
        <v>944</v>
      </c>
      <c r="N216" s="8"/>
      <c r="O216" s="80"/>
    </row>
    <row r="217" spans="1:15" ht="32.25" customHeight="1">
      <c r="A217" s="115"/>
      <c r="B217" s="51"/>
      <c r="C217" s="18" t="s">
        <v>83</v>
      </c>
      <c r="D217" s="4"/>
      <c r="E217" s="4">
        <f>100000+103660</f>
        <v>203660</v>
      </c>
      <c r="F217" s="4"/>
      <c r="G217" s="4"/>
      <c r="H217" s="7">
        <f t="shared" si="34"/>
        <v>203660</v>
      </c>
      <c r="I217" s="7"/>
      <c r="J217" s="7">
        <v>21019</v>
      </c>
      <c r="K217" s="7"/>
      <c r="L217" s="7"/>
      <c r="M217" s="7">
        <f t="shared" si="35"/>
        <v>21019</v>
      </c>
      <c r="N217" s="5">
        <f>M217/H217</f>
        <v>0.10320632426593342</v>
      </c>
      <c r="O217" s="78"/>
    </row>
    <row r="218" spans="1:15" ht="9.75">
      <c r="A218" s="55"/>
      <c r="B218" s="33" t="s">
        <v>165</v>
      </c>
      <c r="C218" s="29"/>
      <c r="D218" s="6">
        <f>SUM(D217)</f>
        <v>0</v>
      </c>
      <c r="E218" s="6">
        <f>SUM(E217)</f>
        <v>203660</v>
      </c>
      <c r="F218" s="6">
        <f>SUM(F217)</f>
        <v>0</v>
      </c>
      <c r="G218" s="6">
        <f>SUM(G217)</f>
        <v>0</v>
      </c>
      <c r="H218" s="6">
        <f t="shared" si="34"/>
        <v>203660</v>
      </c>
      <c r="I218" s="6">
        <f>SUM(I214:I217)</f>
        <v>0</v>
      </c>
      <c r="J218" s="6">
        <f>SUM(J214:J217)</f>
        <v>24717</v>
      </c>
      <c r="K218" s="6">
        <f>SUM(K214:K217)</f>
        <v>0</v>
      </c>
      <c r="L218" s="6">
        <f>SUM(L214:L217)</f>
        <v>0</v>
      </c>
      <c r="M218" s="6">
        <f t="shared" si="35"/>
        <v>24717</v>
      </c>
      <c r="N218" s="28">
        <f>M218/H218</f>
        <v>0.12136403810272021</v>
      </c>
      <c r="O218" s="78"/>
    </row>
    <row r="219" spans="1:15" s="10" customFormat="1" ht="9.75">
      <c r="A219" s="69"/>
      <c r="B219" s="120" t="s">
        <v>108</v>
      </c>
      <c r="C219" s="50" t="s">
        <v>71</v>
      </c>
      <c r="D219" s="13"/>
      <c r="E219" s="13"/>
      <c r="F219" s="13"/>
      <c r="G219" s="13"/>
      <c r="H219" s="7">
        <f t="shared" si="34"/>
        <v>0</v>
      </c>
      <c r="I219" s="7">
        <v>1055</v>
      </c>
      <c r="J219" s="13"/>
      <c r="K219" s="13"/>
      <c r="L219" s="13"/>
      <c r="M219" s="7">
        <f t="shared" si="35"/>
        <v>1055</v>
      </c>
      <c r="N219" s="5"/>
      <c r="O219" s="80"/>
    </row>
    <row r="220" spans="1:15" ht="9.75">
      <c r="A220" s="68"/>
      <c r="B220" s="121"/>
      <c r="C220" s="17" t="s">
        <v>76</v>
      </c>
      <c r="D220" s="4"/>
      <c r="E220" s="4">
        <v>420000</v>
      </c>
      <c r="F220" s="4"/>
      <c r="G220" s="4"/>
      <c r="H220" s="7">
        <f t="shared" si="34"/>
        <v>420000</v>
      </c>
      <c r="I220" s="7"/>
      <c r="J220" s="7">
        <v>130090</v>
      </c>
      <c r="K220" s="7"/>
      <c r="L220" s="7"/>
      <c r="M220" s="7">
        <f t="shared" si="35"/>
        <v>130090</v>
      </c>
      <c r="N220" s="5">
        <f>M220/H220</f>
        <v>0.30973809523809526</v>
      </c>
      <c r="O220" s="78"/>
    </row>
    <row r="221" spans="1:15" ht="9.75">
      <c r="A221" s="68"/>
      <c r="B221" s="121"/>
      <c r="C221" s="18" t="s">
        <v>72</v>
      </c>
      <c r="D221" s="4"/>
      <c r="E221" s="4"/>
      <c r="F221" s="4"/>
      <c r="G221" s="4"/>
      <c r="H221" s="7">
        <f t="shared" si="34"/>
        <v>0</v>
      </c>
      <c r="I221" s="7"/>
      <c r="J221" s="7">
        <v>448</v>
      </c>
      <c r="K221" s="7"/>
      <c r="L221" s="7"/>
      <c r="M221" s="7">
        <f t="shared" si="35"/>
        <v>448</v>
      </c>
      <c r="N221" s="5"/>
      <c r="O221" s="78"/>
    </row>
    <row r="222" spans="1:15" ht="9.75">
      <c r="A222" s="68"/>
      <c r="B222" s="121"/>
      <c r="C222" s="18" t="s">
        <v>74</v>
      </c>
      <c r="D222" s="4"/>
      <c r="E222" s="4"/>
      <c r="F222" s="4"/>
      <c r="G222" s="4"/>
      <c r="H222" s="7">
        <f t="shared" si="34"/>
        <v>0</v>
      </c>
      <c r="I222" s="7"/>
      <c r="J222" s="7">
        <v>714</v>
      </c>
      <c r="K222" s="7"/>
      <c r="L222" s="7"/>
      <c r="M222" s="7">
        <f t="shared" si="35"/>
        <v>714</v>
      </c>
      <c r="N222" s="5"/>
      <c r="O222" s="78"/>
    </row>
    <row r="223" spans="1:15" ht="29.25">
      <c r="A223" s="68"/>
      <c r="B223" s="122"/>
      <c r="C223" s="22" t="s">
        <v>73</v>
      </c>
      <c r="D223" s="4"/>
      <c r="E223" s="4">
        <v>1397760</v>
      </c>
      <c r="F223" s="4"/>
      <c r="G223" s="4"/>
      <c r="H223" s="7">
        <f aca="true" t="shared" si="36" ref="H223:H228">SUM(D223:G223)</f>
        <v>1397760</v>
      </c>
      <c r="I223" s="7"/>
      <c r="J223" s="7">
        <v>527930</v>
      </c>
      <c r="K223" s="7"/>
      <c r="L223" s="7"/>
      <c r="M223" s="7">
        <f t="shared" si="35"/>
        <v>527930</v>
      </c>
      <c r="N223" s="5">
        <f aca="true" t="shared" si="37" ref="N223:N228">M223/H223</f>
        <v>0.3776971726190476</v>
      </c>
      <c r="O223" s="78"/>
    </row>
    <row r="224" spans="1:15" ht="9.75">
      <c r="A224" s="68"/>
      <c r="B224" s="33" t="s">
        <v>166</v>
      </c>
      <c r="C224" s="29"/>
      <c r="D224" s="6">
        <f>SUM(D220:D223)</f>
        <v>0</v>
      </c>
      <c r="E224" s="6">
        <f>SUM(E220:E223)</f>
        <v>1817760</v>
      </c>
      <c r="F224" s="6">
        <f>SUM(F220:F223)</f>
        <v>0</v>
      </c>
      <c r="G224" s="6">
        <f>SUM(G220:G223)</f>
        <v>0</v>
      </c>
      <c r="H224" s="6">
        <f t="shared" si="36"/>
        <v>1817760</v>
      </c>
      <c r="I224" s="6">
        <f>SUM(I219:I223)</f>
        <v>1055</v>
      </c>
      <c r="J224" s="6">
        <f>SUM(J219:J223)</f>
        <v>659182</v>
      </c>
      <c r="K224" s="6">
        <f>SUM(K219:K223)</f>
        <v>0</v>
      </c>
      <c r="L224" s="6">
        <f>SUM(L219:L223)</f>
        <v>0</v>
      </c>
      <c r="M224" s="6">
        <f t="shared" si="35"/>
        <v>660237</v>
      </c>
      <c r="N224" s="28">
        <f t="shared" si="37"/>
        <v>0.3632146157908635</v>
      </c>
      <c r="O224" s="78"/>
    </row>
    <row r="225" spans="1:15" ht="9.75">
      <c r="A225" s="68"/>
      <c r="B225" s="124" t="s">
        <v>109</v>
      </c>
      <c r="C225" s="17" t="s">
        <v>76</v>
      </c>
      <c r="D225" s="4">
        <v>355000</v>
      </c>
      <c r="E225" s="4"/>
      <c r="F225" s="4"/>
      <c r="G225" s="4"/>
      <c r="H225" s="7">
        <f t="shared" si="36"/>
        <v>355000</v>
      </c>
      <c r="I225" s="7">
        <v>105967</v>
      </c>
      <c r="J225" s="7"/>
      <c r="K225" s="7"/>
      <c r="L225" s="7"/>
      <c r="M225" s="7">
        <f t="shared" si="35"/>
        <v>105967</v>
      </c>
      <c r="N225" s="5">
        <f t="shared" si="37"/>
        <v>0.29849859154929576</v>
      </c>
      <c r="O225" s="78"/>
    </row>
    <row r="226" spans="1:15" ht="48.75">
      <c r="A226" s="68"/>
      <c r="B226" s="124"/>
      <c r="C226" s="18" t="s">
        <v>129</v>
      </c>
      <c r="D226" s="4"/>
      <c r="E226" s="4"/>
      <c r="F226" s="4">
        <f>556360-89080</f>
        <v>467280</v>
      </c>
      <c r="G226" s="4"/>
      <c r="H226" s="7">
        <f t="shared" si="36"/>
        <v>467280</v>
      </c>
      <c r="I226" s="7"/>
      <c r="J226" s="7"/>
      <c r="K226" s="7">
        <v>160225</v>
      </c>
      <c r="L226" s="7"/>
      <c r="M226" s="7">
        <f t="shared" si="35"/>
        <v>160225</v>
      </c>
      <c r="N226" s="5">
        <f t="shared" si="37"/>
        <v>0.34288863208354736</v>
      </c>
      <c r="O226" s="78"/>
    </row>
    <row r="227" spans="1:15" ht="29.25">
      <c r="A227" s="68"/>
      <c r="B227" s="124"/>
      <c r="C227" s="22" t="s">
        <v>77</v>
      </c>
      <c r="D227" s="4">
        <v>350</v>
      </c>
      <c r="E227" s="4"/>
      <c r="F227" s="4"/>
      <c r="G227" s="4"/>
      <c r="H227" s="7">
        <f t="shared" si="36"/>
        <v>350</v>
      </c>
      <c r="I227" s="7">
        <v>67</v>
      </c>
      <c r="J227" s="7"/>
      <c r="K227" s="7"/>
      <c r="L227" s="7"/>
      <c r="M227" s="7">
        <f t="shared" si="35"/>
        <v>67</v>
      </c>
      <c r="N227" s="5">
        <f t="shared" si="37"/>
        <v>0.19142857142857142</v>
      </c>
      <c r="O227" s="78"/>
    </row>
    <row r="228" spans="1:15" ht="9.75">
      <c r="A228" s="68"/>
      <c r="B228" s="33" t="s">
        <v>167</v>
      </c>
      <c r="C228" s="29"/>
      <c r="D228" s="6">
        <f>SUM(D225:D227)</f>
        <v>355350</v>
      </c>
      <c r="E228" s="6">
        <f>SUM(E225:E227)</f>
        <v>0</v>
      </c>
      <c r="F228" s="6">
        <f>SUM(F225:F227)</f>
        <v>467280</v>
      </c>
      <c r="G228" s="6">
        <f>SUM(G225:G227)</f>
        <v>0</v>
      </c>
      <c r="H228" s="6">
        <f t="shared" si="36"/>
        <v>822630</v>
      </c>
      <c r="I228" s="6">
        <f>SUM(I225:I227)</f>
        <v>106034</v>
      </c>
      <c r="J228" s="6">
        <f>SUM(J225:J227)</f>
        <v>0</v>
      </c>
      <c r="K228" s="6">
        <f>SUM(K225:K227)</f>
        <v>160225</v>
      </c>
      <c r="L228" s="6">
        <f>SUM(L225:L227)</f>
        <v>0</v>
      </c>
      <c r="M228" s="6">
        <f t="shared" si="35"/>
        <v>266259</v>
      </c>
      <c r="N228" s="28">
        <f t="shared" si="37"/>
        <v>0.32366799168520477</v>
      </c>
      <c r="O228" s="78"/>
    </row>
    <row r="229" spans="1:15" s="10" customFormat="1" ht="9.75">
      <c r="A229" s="69"/>
      <c r="B229" s="119" t="s">
        <v>196</v>
      </c>
      <c r="C229" s="18" t="s">
        <v>74</v>
      </c>
      <c r="D229" s="13"/>
      <c r="E229" s="13"/>
      <c r="F229" s="13"/>
      <c r="G229" s="13"/>
      <c r="H229" s="7">
        <f aca="true" t="shared" si="38" ref="H229:H255">SUM(D229:G229)</f>
        <v>0</v>
      </c>
      <c r="I229" s="13"/>
      <c r="J229" s="7">
        <v>274</v>
      </c>
      <c r="K229" s="13"/>
      <c r="L229" s="13"/>
      <c r="M229" s="7">
        <f t="shared" si="35"/>
        <v>274</v>
      </c>
      <c r="N229" s="5"/>
      <c r="O229" s="80"/>
    </row>
    <row r="230" spans="1:15" ht="30" customHeight="1">
      <c r="A230" s="68"/>
      <c r="B230" s="119"/>
      <c r="C230" s="18" t="s">
        <v>83</v>
      </c>
      <c r="D230" s="4"/>
      <c r="E230" s="4">
        <f>46700+30478</f>
        <v>77178</v>
      </c>
      <c r="F230" s="4"/>
      <c r="G230" s="4"/>
      <c r="H230" s="7">
        <f t="shared" si="38"/>
        <v>77178</v>
      </c>
      <c r="I230" s="7"/>
      <c r="J230" s="7">
        <v>16805</v>
      </c>
      <c r="K230" s="7"/>
      <c r="L230" s="7"/>
      <c r="M230" s="7">
        <f t="shared" si="35"/>
        <v>16805</v>
      </c>
      <c r="N230" s="5">
        <f>M230/H230</f>
        <v>0.21774339837777604</v>
      </c>
      <c r="O230" s="78"/>
    </row>
    <row r="231" spans="1:15" ht="9.75">
      <c r="A231" s="68"/>
      <c r="B231" s="33" t="s">
        <v>197</v>
      </c>
      <c r="C231" s="29"/>
      <c r="D231" s="6">
        <f>SUM(D230)</f>
        <v>0</v>
      </c>
      <c r="E231" s="6">
        <f>SUM(E230)</f>
        <v>77178</v>
      </c>
      <c r="F231" s="6">
        <f>SUM(F230)</f>
        <v>0</v>
      </c>
      <c r="G231" s="6">
        <f>SUM(G230)</f>
        <v>0</v>
      </c>
      <c r="H231" s="6">
        <f t="shared" si="38"/>
        <v>77178</v>
      </c>
      <c r="I231" s="6">
        <f>SUM(I229:I230)</f>
        <v>0</v>
      </c>
      <c r="J231" s="6">
        <f>SUM(J229:J230)</f>
        <v>17079</v>
      </c>
      <c r="K231" s="6">
        <f>SUM(K229:K230)</f>
        <v>0</v>
      </c>
      <c r="L231" s="6">
        <f>SUM(L229:L230)</f>
        <v>0</v>
      </c>
      <c r="M231" s="6">
        <f t="shared" si="35"/>
        <v>17079</v>
      </c>
      <c r="N231" s="28">
        <f>M231/H231</f>
        <v>0.22129363290056753</v>
      </c>
      <c r="O231" s="78"/>
    </row>
    <row r="232" spans="1:15" s="10" customFormat="1" ht="9.75">
      <c r="A232" s="69"/>
      <c r="B232" s="120" t="s">
        <v>168</v>
      </c>
      <c r="C232" s="18" t="s">
        <v>72</v>
      </c>
      <c r="D232" s="13"/>
      <c r="E232" s="13"/>
      <c r="F232" s="13"/>
      <c r="G232" s="13"/>
      <c r="H232" s="7">
        <f t="shared" si="38"/>
        <v>0</v>
      </c>
      <c r="I232" s="7">
        <v>15688</v>
      </c>
      <c r="J232" s="13"/>
      <c r="K232" s="13"/>
      <c r="L232" s="13"/>
      <c r="M232" s="7">
        <f t="shared" si="35"/>
        <v>15688</v>
      </c>
      <c r="N232" s="5"/>
      <c r="O232" s="80"/>
    </row>
    <row r="233" spans="1:15" ht="48.75">
      <c r="A233" s="68"/>
      <c r="B233" s="121"/>
      <c r="C233" s="17" t="s">
        <v>129</v>
      </c>
      <c r="D233" s="4"/>
      <c r="E233" s="4"/>
      <c r="F233" s="4">
        <v>32400310</v>
      </c>
      <c r="G233" s="4"/>
      <c r="H233" s="7">
        <f t="shared" si="38"/>
        <v>32400310</v>
      </c>
      <c r="I233" s="7"/>
      <c r="J233" s="7"/>
      <c r="K233" s="7">
        <v>10300000</v>
      </c>
      <c r="L233" s="7"/>
      <c r="M233" s="7">
        <f t="shared" si="35"/>
        <v>10300000</v>
      </c>
      <c r="N233" s="5">
        <f aca="true" t="shared" si="39" ref="N233:N249">M233/H233</f>
        <v>0.3178981929493884</v>
      </c>
      <c r="O233" s="78"/>
    </row>
    <row r="234" spans="1:15" ht="38.25" customHeight="1">
      <c r="A234" s="68"/>
      <c r="B234" s="122"/>
      <c r="C234" s="22" t="s">
        <v>69</v>
      </c>
      <c r="D234" s="4"/>
      <c r="E234" s="4"/>
      <c r="F234" s="4"/>
      <c r="G234" s="4">
        <v>41800</v>
      </c>
      <c r="H234" s="7">
        <f t="shared" si="38"/>
        <v>41800</v>
      </c>
      <c r="I234" s="7"/>
      <c r="J234" s="7"/>
      <c r="K234" s="7"/>
      <c r="L234" s="7">
        <v>20800</v>
      </c>
      <c r="M234" s="7">
        <f t="shared" si="35"/>
        <v>20800</v>
      </c>
      <c r="N234" s="5">
        <f t="shared" si="39"/>
        <v>0.49760765550239233</v>
      </c>
      <c r="O234" s="78"/>
    </row>
    <row r="235" spans="1:15" ht="9.75">
      <c r="A235" s="68"/>
      <c r="B235" s="33" t="s">
        <v>169</v>
      </c>
      <c r="C235" s="29"/>
      <c r="D235" s="6">
        <f>SUM(D233:D234)</f>
        <v>0</v>
      </c>
      <c r="E235" s="6">
        <f>SUM(E233:E234)</f>
        <v>0</v>
      </c>
      <c r="F235" s="6">
        <f>SUM(F233:F234)</f>
        <v>32400310</v>
      </c>
      <c r="G235" s="6">
        <f>SUM(G233:G234)</f>
        <v>41800</v>
      </c>
      <c r="H235" s="6">
        <f t="shared" si="38"/>
        <v>32442110</v>
      </c>
      <c r="I235" s="6">
        <f>SUM(I232:I234)</f>
        <v>15688</v>
      </c>
      <c r="J235" s="6">
        <f>SUM(J232:J234)</f>
        <v>0</v>
      </c>
      <c r="K235" s="6">
        <f>SUM(K232:K234)</f>
        <v>10300000</v>
      </c>
      <c r="L235" s="6">
        <f>SUM(L232:L234)</f>
        <v>20800</v>
      </c>
      <c r="M235" s="6">
        <f t="shared" si="35"/>
        <v>10336488</v>
      </c>
      <c r="N235" s="28">
        <f t="shared" si="39"/>
        <v>0.31861330844387126</v>
      </c>
      <c r="O235" s="78"/>
    </row>
    <row r="236" spans="1:15" ht="68.25">
      <c r="A236" s="68"/>
      <c r="B236" s="23" t="s">
        <v>170</v>
      </c>
      <c r="C236" s="27" t="s">
        <v>129</v>
      </c>
      <c r="D236" s="4"/>
      <c r="E236" s="4"/>
      <c r="F236" s="4">
        <v>428490</v>
      </c>
      <c r="G236" s="4"/>
      <c r="H236" s="7">
        <f t="shared" si="38"/>
        <v>428490</v>
      </c>
      <c r="I236" s="7"/>
      <c r="J236" s="7"/>
      <c r="K236" s="7">
        <v>148330</v>
      </c>
      <c r="L236" s="7"/>
      <c r="M236" s="7">
        <f t="shared" si="35"/>
        <v>148330</v>
      </c>
      <c r="N236" s="5">
        <f t="shared" si="39"/>
        <v>0.3461691054633714</v>
      </c>
      <c r="O236" s="78"/>
    </row>
    <row r="237" spans="1:15" ht="9.75">
      <c r="A237" s="68"/>
      <c r="B237" s="33" t="s">
        <v>171</v>
      </c>
      <c r="C237" s="29"/>
      <c r="D237" s="6">
        <f>SUM(D236)</f>
        <v>0</v>
      </c>
      <c r="E237" s="6">
        <f>SUM(E236)</f>
        <v>0</v>
      </c>
      <c r="F237" s="6">
        <f>SUM(F236)</f>
        <v>428490</v>
      </c>
      <c r="G237" s="6">
        <f>SUM(G236)</f>
        <v>0</v>
      </c>
      <c r="H237" s="6">
        <f t="shared" si="38"/>
        <v>428490</v>
      </c>
      <c r="I237" s="6">
        <f>SUM(I236)</f>
        <v>0</v>
      </c>
      <c r="J237" s="6">
        <f>SUM(J236)</f>
        <v>0</v>
      </c>
      <c r="K237" s="6">
        <f>SUM(K236)</f>
        <v>148330</v>
      </c>
      <c r="L237" s="6">
        <f>SUM(L236)</f>
        <v>0</v>
      </c>
      <c r="M237" s="6">
        <f>SUM(M236)</f>
        <v>148330</v>
      </c>
      <c r="N237" s="28">
        <f t="shared" si="39"/>
        <v>0.3461691054633714</v>
      </c>
      <c r="O237" s="78"/>
    </row>
    <row r="238" spans="1:15" s="10" customFormat="1" ht="9.75">
      <c r="A238" s="69"/>
      <c r="B238" s="120" t="s">
        <v>172</v>
      </c>
      <c r="C238" s="18" t="s">
        <v>74</v>
      </c>
      <c r="D238" s="13"/>
      <c r="E238" s="13"/>
      <c r="F238" s="13"/>
      <c r="G238" s="13"/>
      <c r="H238" s="7">
        <f t="shared" si="38"/>
        <v>0</v>
      </c>
      <c r="I238" s="7">
        <v>4276</v>
      </c>
      <c r="J238" s="13"/>
      <c r="K238" s="13"/>
      <c r="L238" s="13"/>
      <c r="M238" s="7">
        <f aca="true" t="shared" si="40" ref="M238:M261">SUM(I238:L238)</f>
        <v>4276</v>
      </c>
      <c r="N238" s="5"/>
      <c r="O238" s="80"/>
    </row>
    <row r="239" spans="1:15" ht="48.75">
      <c r="A239" s="68"/>
      <c r="B239" s="121"/>
      <c r="C239" s="17" t="s">
        <v>129</v>
      </c>
      <c r="D239" s="4"/>
      <c r="E239" s="4"/>
      <c r="F239" s="4">
        <v>5053200</v>
      </c>
      <c r="G239" s="4"/>
      <c r="H239" s="7">
        <f t="shared" si="38"/>
        <v>5053200</v>
      </c>
      <c r="I239" s="7"/>
      <c r="J239" s="7"/>
      <c r="K239" s="7">
        <v>1701000</v>
      </c>
      <c r="L239" s="7"/>
      <c r="M239" s="7">
        <f t="shared" si="40"/>
        <v>1701000</v>
      </c>
      <c r="N239" s="5">
        <f t="shared" si="39"/>
        <v>0.3366183804322014</v>
      </c>
      <c r="O239" s="78"/>
    </row>
    <row r="240" spans="1:15" ht="29.25">
      <c r="A240" s="68"/>
      <c r="B240" s="122"/>
      <c r="C240" s="22" t="s">
        <v>101</v>
      </c>
      <c r="D240" s="4">
        <v>283500</v>
      </c>
      <c r="E240" s="4"/>
      <c r="F240" s="4"/>
      <c r="G240" s="4"/>
      <c r="H240" s="7">
        <f t="shared" si="38"/>
        <v>283500</v>
      </c>
      <c r="I240" s="7">
        <v>94500</v>
      </c>
      <c r="J240" s="7"/>
      <c r="K240" s="7"/>
      <c r="L240" s="7"/>
      <c r="M240" s="7">
        <f t="shared" si="40"/>
        <v>94500</v>
      </c>
      <c r="N240" s="5">
        <f t="shared" si="39"/>
        <v>0.3333333333333333</v>
      </c>
      <c r="O240" s="78"/>
    </row>
    <row r="241" spans="1:15" ht="9.75">
      <c r="A241" s="68"/>
      <c r="B241" s="33" t="s">
        <v>173</v>
      </c>
      <c r="C241" s="29"/>
      <c r="D241" s="6">
        <f>SUM(D239:D240)</f>
        <v>283500</v>
      </c>
      <c r="E241" s="6">
        <f>SUM(E239:E240)</f>
        <v>0</v>
      </c>
      <c r="F241" s="6">
        <f>SUM(F239:F240)</f>
        <v>5053200</v>
      </c>
      <c r="G241" s="6">
        <f>SUM(G239:G240)</f>
        <v>0</v>
      </c>
      <c r="H241" s="6">
        <f t="shared" si="38"/>
        <v>5336700</v>
      </c>
      <c r="I241" s="6">
        <f>SUM(I238:I240)</f>
        <v>98776</v>
      </c>
      <c r="J241" s="6">
        <f>SUM(J239:J240)</f>
        <v>0</v>
      </c>
      <c r="K241" s="6">
        <f>SUM(K239:K240)</f>
        <v>1701000</v>
      </c>
      <c r="L241" s="6">
        <f>SUM(L239:L240)</f>
        <v>0</v>
      </c>
      <c r="M241" s="6">
        <f t="shared" si="40"/>
        <v>1799776</v>
      </c>
      <c r="N241" s="28">
        <f t="shared" si="39"/>
        <v>0.33724511402177376</v>
      </c>
      <c r="O241" s="78"/>
    </row>
    <row r="242" spans="1:15" s="10" customFormat="1" ht="9.75">
      <c r="A242" s="69"/>
      <c r="B242" s="120" t="s">
        <v>224</v>
      </c>
      <c r="C242" s="18" t="s">
        <v>72</v>
      </c>
      <c r="D242" s="13"/>
      <c r="E242" s="13"/>
      <c r="F242" s="13"/>
      <c r="G242" s="13"/>
      <c r="H242" s="7">
        <f t="shared" si="38"/>
        <v>0</v>
      </c>
      <c r="I242" s="7">
        <v>73</v>
      </c>
      <c r="J242" s="13"/>
      <c r="K242" s="13"/>
      <c r="L242" s="13"/>
      <c r="M242" s="7">
        <f t="shared" si="40"/>
        <v>73</v>
      </c>
      <c r="N242" s="5"/>
      <c r="O242" s="80"/>
    </row>
    <row r="243" spans="1:15" ht="9.75">
      <c r="A243" s="68"/>
      <c r="B243" s="121"/>
      <c r="C243" s="18" t="s">
        <v>74</v>
      </c>
      <c r="D243" s="4"/>
      <c r="E243" s="4"/>
      <c r="F243" s="4">
        <v>5053200</v>
      </c>
      <c r="G243" s="4"/>
      <c r="H243" s="7">
        <f t="shared" si="38"/>
        <v>5053200</v>
      </c>
      <c r="I243" s="7">
        <v>3030</v>
      </c>
      <c r="J243" s="7"/>
      <c r="K243" s="7"/>
      <c r="L243" s="7"/>
      <c r="M243" s="7">
        <f t="shared" si="40"/>
        <v>3030</v>
      </c>
      <c r="N243" s="5">
        <f t="shared" si="39"/>
        <v>0.0005996200427451912</v>
      </c>
      <c r="O243" s="78"/>
    </row>
    <row r="244" spans="1:15" ht="9.75">
      <c r="A244" s="68"/>
      <c r="B244" s="33" t="s">
        <v>225</v>
      </c>
      <c r="C244" s="29"/>
      <c r="D244" s="6">
        <f>SUM(D243:D243)</f>
        <v>0</v>
      </c>
      <c r="E244" s="6">
        <f>SUM(E243:E243)</f>
        <v>0</v>
      </c>
      <c r="F244" s="6">
        <f>SUM(F243:F243)</f>
        <v>5053200</v>
      </c>
      <c r="G244" s="6">
        <f>SUM(G243:G243)</f>
        <v>0</v>
      </c>
      <c r="H244" s="6">
        <f t="shared" si="38"/>
        <v>5053200</v>
      </c>
      <c r="I244" s="6">
        <f>SUM(I242:I243)</f>
        <v>3103</v>
      </c>
      <c r="J244" s="6">
        <f>SUM(J242:J243)</f>
        <v>0</v>
      </c>
      <c r="K244" s="6">
        <f>SUM(K242:K243)</f>
        <v>0</v>
      </c>
      <c r="L244" s="6">
        <f>SUM(L242:L243)</f>
        <v>0</v>
      </c>
      <c r="M244" s="6">
        <f t="shared" si="40"/>
        <v>3103</v>
      </c>
      <c r="N244" s="28">
        <f t="shared" si="39"/>
        <v>0.0006140663342040687</v>
      </c>
      <c r="O244" s="78"/>
    </row>
    <row r="245" spans="1:15" s="10" customFormat="1" ht="11.25" customHeight="1">
      <c r="A245" s="69"/>
      <c r="B245" s="120" t="s">
        <v>110</v>
      </c>
      <c r="C245" s="17" t="s">
        <v>76</v>
      </c>
      <c r="D245" s="13"/>
      <c r="E245" s="13"/>
      <c r="F245" s="13"/>
      <c r="G245" s="13"/>
      <c r="H245" s="7">
        <f t="shared" si="38"/>
        <v>0</v>
      </c>
      <c r="I245" s="13">
        <v>190</v>
      </c>
      <c r="J245" s="13"/>
      <c r="K245" s="13"/>
      <c r="L245" s="13"/>
      <c r="M245" s="7">
        <f t="shared" si="40"/>
        <v>190</v>
      </c>
      <c r="N245" s="5"/>
      <c r="O245" s="80"/>
    </row>
    <row r="246" spans="1:15" s="10" customFormat="1" ht="9.75" customHeight="1">
      <c r="A246" s="69"/>
      <c r="B246" s="121"/>
      <c r="C246" s="18" t="s">
        <v>74</v>
      </c>
      <c r="D246" s="13"/>
      <c r="E246" s="13"/>
      <c r="F246" s="13"/>
      <c r="G246" s="13"/>
      <c r="H246" s="7">
        <f t="shared" si="38"/>
        <v>0</v>
      </c>
      <c r="I246" s="7">
        <v>616</v>
      </c>
      <c r="J246" s="13"/>
      <c r="K246" s="13"/>
      <c r="L246" s="13"/>
      <c r="M246" s="7">
        <f t="shared" si="40"/>
        <v>616</v>
      </c>
      <c r="N246" s="5"/>
      <c r="O246" s="80"/>
    </row>
    <row r="247" spans="1:15" ht="29.25">
      <c r="A247" s="68"/>
      <c r="B247" s="122"/>
      <c r="C247" s="18" t="s">
        <v>101</v>
      </c>
      <c r="D247" s="4">
        <v>1104210</v>
      </c>
      <c r="E247" s="4"/>
      <c r="F247" s="4"/>
      <c r="G247" s="4"/>
      <c r="H247" s="7">
        <f t="shared" si="38"/>
        <v>1104210</v>
      </c>
      <c r="I247" s="7">
        <v>424700</v>
      </c>
      <c r="J247" s="7"/>
      <c r="K247" s="7"/>
      <c r="L247" s="7"/>
      <c r="M247" s="7">
        <f t="shared" si="40"/>
        <v>424700</v>
      </c>
      <c r="N247" s="5">
        <f t="shared" si="39"/>
        <v>0.3846188677878302</v>
      </c>
      <c r="O247" s="78"/>
    </row>
    <row r="248" spans="1:15" ht="9.75">
      <c r="A248" s="68"/>
      <c r="B248" s="33" t="s">
        <v>174</v>
      </c>
      <c r="C248" s="29"/>
      <c r="D248" s="6">
        <f>SUM(D247)</f>
        <v>1104210</v>
      </c>
      <c r="E248" s="6">
        <f>SUM(E247)</f>
        <v>0</v>
      </c>
      <c r="F248" s="6">
        <f>SUM(F247)</f>
        <v>0</v>
      </c>
      <c r="G248" s="6">
        <f>SUM(G247)</f>
        <v>0</v>
      </c>
      <c r="H248" s="6">
        <f t="shared" si="38"/>
        <v>1104210</v>
      </c>
      <c r="I248" s="6">
        <f>SUM(I245:I247)</f>
        <v>425506</v>
      </c>
      <c r="J248" s="6">
        <f>SUM(J245:J247)</f>
        <v>0</v>
      </c>
      <c r="K248" s="6">
        <f>SUM(K245:K247)</f>
        <v>0</v>
      </c>
      <c r="L248" s="6">
        <f>SUM(L245:L247)</f>
        <v>0</v>
      </c>
      <c r="M248" s="6">
        <f t="shared" si="40"/>
        <v>425506</v>
      </c>
      <c r="N248" s="28">
        <f t="shared" si="39"/>
        <v>0.38534880140552974</v>
      </c>
      <c r="O248" s="78"/>
    </row>
    <row r="249" spans="1:15" ht="9.75">
      <c r="A249" s="68"/>
      <c r="B249" s="130" t="s">
        <v>175</v>
      </c>
      <c r="C249" s="17" t="s">
        <v>76</v>
      </c>
      <c r="D249" s="4">
        <v>360000</v>
      </c>
      <c r="E249" s="4"/>
      <c r="F249" s="7"/>
      <c r="G249" s="4"/>
      <c r="H249" s="7">
        <f t="shared" si="38"/>
        <v>360000</v>
      </c>
      <c r="I249" s="7">
        <v>109040</v>
      </c>
      <c r="J249" s="9"/>
      <c r="K249" s="9"/>
      <c r="L249" s="9"/>
      <c r="M249" s="7">
        <f t="shared" si="40"/>
        <v>109040</v>
      </c>
      <c r="N249" s="5">
        <f t="shared" si="39"/>
        <v>0.3028888888888889</v>
      </c>
      <c r="O249" s="78"/>
    </row>
    <row r="250" spans="1:15" ht="9.75">
      <c r="A250" s="68"/>
      <c r="B250" s="124"/>
      <c r="C250" s="18" t="s">
        <v>72</v>
      </c>
      <c r="D250" s="4"/>
      <c r="E250" s="4"/>
      <c r="F250" s="7"/>
      <c r="G250" s="4"/>
      <c r="H250" s="7">
        <f t="shared" si="38"/>
        <v>0</v>
      </c>
      <c r="I250" s="7">
        <v>7851</v>
      </c>
      <c r="J250" s="9"/>
      <c r="K250" s="9"/>
      <c r="L250" s="9"/>
      <c r="M250" s="7">
        <f t="shared" si="40"/>
        <v>7851</v>
      </c>
      <c r="N250" s="5"/>
      <c r="O250" s="78"/>
    </row>
    <row r="251" spans="1:15" ht="47.25" customHeight="1">
      <c r="A251" s="68"/>
      <c r="B251" s="124"/>
      <c r="C251" s="18" t="s">
        <v>129</v>
      </c>
      <c r="D251" s="4"/>
      <c r="E251" s="4"/>
      <c r="F251" s="4">
        <v>248420</v>
      </c>
      <c r="G251" s="4"/>
      <c r="H251" s="7">
        <f t="shared" si="38"/>
        <v>248420</v>
      </c>
      <c r="I251" s="7"/>
      <c r="J251" s="7"/>
      <c r="K251" s="7">
        <v>95550</v>
      </c>
      <c r="L251" s="7"/>
      <c r="M251" s="7">
        <f t="shared" si="40"/>
        <v>95550</v>
      </c>
      <c r="N251" s="5">
        <f>M251/H251</f>
        <v>0.38463086707994526</v>
      </c>
      <c r="O251" s="78"/>
    </row>
    <row r="252" spans="1:15" ht="27" customHeight="1">
      <c r="A252" s="68"/>
      <c r="B252" s="131"/>
      <c r="C252" s="22" t="s">
        <v>77</v>
      </c>
      <c r="D252" s="4">
        <v>750</v>
      </c>
      <c r="E252" s="4"/>
      <c r="F252" s="4"/>
      <c r="G252" s="4"/>
      <c r="H252" s="7">
        <f t="shared" si="38"/>
        <v>750</v>
      </c>
      <c r="I252" s="7">
        <v>215</v>
      </c>
      <c r="J252" s="7"/>
      <c r="K252" s="7"/>
      <c r="L252" s="7"/>
      <c r="M252" s="7">
        <f t="shared" si="40"/>
        <v>215</v>
      </c>
      <c r="N252" s="5">
        <f>M252/H252</f>
        <v>0.2866666666666667</v>
      </c>
      <c r="O252" s="78"/>
    </row>
    <row r="253" spans="1:15" ht="9.75">
      <c r="A253" s="68"/>
      <c r="B253" s="33" t="s">
        <v>176</v>
      </c>
      <c r="C253" s="29"/>
      <c r="D253" s="6">
        <f>SUM(D249:D252)</f>
        <v>360750</v>
      </c>
      <c r="E253" s="6">
        <f>SUM(E249:E252)</f>
        <v>0</v>
      </c>
      <c r="F253" s="6">
        <f>SUM(F249:F252)</f>
        <v>248420</v>
      </c>
      <c r="G253" s="6">
        <f>SUM(G249:G252)</f>
        <v>0</v>
      </c>
      <c r="H253" s="6">
        <f t="shared" si="38"/>
        <v>609170</v>
      </c>
      <c r="I253" s="6">
        <f>SUM(I249:I252)</f>
        <v>117106</v>
      </c>
      <c r="J253" s="6">
        <f>SUM(J249:J252)</f>
        <v>0</v>
      </c>
      <c r="K253" s="6">
        <f>SUM(K249:K252)</f>
        <v>95550</v>
      </c>
      <c r="L253" s="6">
        <f>SUM(L249:L252)</f>
        <v>0</v>
      </c>
      <c r="M253" s="6">
        <f t="shared" si="40"/>
        <v>212656</v>
      </c>
      <c r="N253" s="28">
        <f>M253/H253</f>
        <v>0.34909138664083916</v>
      </c>
      <c r="O253" s="78"/>
    </row>
    <row r="254" spans="1:15" ht="29.25">
      <c r="A254" s="68"/>
      <c r="B254" s="119" t="s">
        <v>190</v>
      </c>
      <c r="C254" s="18" t="s">
        <v>101</v>
      </c>
      <c r="D254" s="4">
        <v>197344</v>
      </c>
      <c r="E254" s="4"/>
      <c r="F254" s="4"/>
      <c r="G254" s="4"/>
      <c r="H254" s="7">
        <f t="shared" si="38"/>
        <v>197344</v>
      </c>
      <c r="I254" s="7">
        <v>131600</v>
      </c>
      <c r="J254" s="9"/>
      <c r="K254" s="9"/>
      <c r="L254" s="9"/>
      <c r="M254" s="7">
        <f t="shared" si="40"/>
        <v>131600</v>
      </c>
      <c r="N254" s="5">
        <f>M254/H254</f>
        <v>0.6668558456299659</v>
      </c>
      <c r="O254" s="78"/>
    </row>
    <row r="255" spans="1:15" ht="37.5" customHeight="1">
      <c r="A255" s="68"/>
      <c r="B255" s="119"/>
      <c r="C255" s="18" t="s">
        <v>216</v>
      </c>
      <c r="D255" s="4"/>
      <c r="E255" s="4"/>
      <c r="F255" s="4"/>
      <c r="G255" s="4"/>
      <c r="H255" s="7">
        <f t="shared" si="38"/>
        <v>0</v>
      </c>
      <c r="I255" s="7">
        <v>110</v>
      </c>
      <c r="J255" s="9"/>
      <c r="K255" s="9"/>
      <c r="L255" s="9"/>
      <c r="M255" s="7">
        <f t="shared" si="40"/>
        <v>110</v>
      </c>
      <c r="N255" s="5"/>
      <c r="O255" s="78"/>
    </row>
    <row r="256" spans="1:15" ht="9.75">
      <c r="A256" s="68"/>
      <c r="B256" s="37" t="s">
        <v>191</v>
      </c>
      <c r="C256" s="34"/>
      <c r="D256" s="6">
        <f>SUM(D254)</f>
        <v>197344</v>
      </c>
      <c r="E256" s="6">
        <f>SUM(E254)</f>
        <v>0</v>
      </c>
      <c r="F256" s="6">
        <f>SUM(F254)</f>
        <v>0</v>
      </c>
      <c r="G256" s="6">
        <f>SUM(G254)</f>
        <v>0</v>
      </c>
      <c r="H256" s="6">
        <f>SUM(D256:G256)</f>
        <v>197344</v>
      </c>
      <c r="I256" s="6">
        <f>SUM(I254:I255)</f>
        <v>131710</v>
      </c>
      <c r="J256" s="6">
        <f>SUM(J254:J255)</f>
        <v>0</v>
      </c>
      <c r="K256" s="6">
        <f>SUM(K254:K255)</f>
        <v>0</v>
      </c>
      <c r="L256" s="6">
        <f>SUM(L254:L255)</f>
        <v>0</v>
      </c>
      <c r="M256" s="6">
        <f t="shared" si="40"/>
        <v>131710</v>
      </c>
      <c r="N256" s="28">
        <f>M256/H256</f>
        <v>0.6674132479325442</v>
      </c>
      <c r="O256" s="78"/>
    </row>
    <row r="257" spans="1:15" ht="11.25">
      <c r="A257" s="56" t="s">
        <v>105</v>
      </c>
      <c r="B257" s="36"/>
      <c r="C257" s="24"/>
      <c r="D257" s="25">
        <f>SUM(D256,D253,D248,D231,D241,D237,D235,D228,D224,D218)</f>
        <v>2301154</v>
      </c>
      <c r="E257" s="25">
        <f>SUM(E256,E253,E248,E231,E241,E237,E235,E228,E224,E218)</f>
        <v>2098598</v>
      </c>
      <c r="F257" s="25">
        <f>SUM(F256,F253,F248,F231,F241,F237,F235,F228,F224,F218)</f>
        <v>38597700</v>
      </c>
      <c r="G257" s="25">
        <f>SUM(G256,G253,G248,G231,G241,G237,G235,G228,G224,G218)</f>
        <v>41800</v>
      </c>
      <c r="H257" s="25">
        <f>SUM(D257:G257)</f>
        <v>43039252</v>
      </c>
      <c r="I257" s="25">
        <f>SUM(I256,I253,I248,I244,I241,I237,I235,I231,I228,I224,I218)</f>
        <v>898978</v>
      </c>
      <c r="J257" s="25">
        <f>SUM(J256,J253,J248,J244,J241,J237,J235,J231,J228,J224,J218)</f>
        <v>700978</v>
      </c>
      <c r="K257" s="25">
        <f>SUM(K256,K253,K248,K244,K241,K237,K235,K231,K228,K224,K218)</f>
        <v>12405105</v>
      </c>
      <c r="L257" s="25">
        <f>SUM(L256,L253,L248,L244,L241,L237,L235,L231,L228,L224,L218)</f>
        <v>20800</v>
      </c>
      <c r="M257" s="25">
        <f t="shared" si="40"/>
        <v>14025861</v>
      </c>
      <c r="N257" s="30">
        <f>M257/H257</f>
        <v>0.3258853336949257</v>
      </c>
      <c r="O257" s="78"/>
    </row>
    <row r="258" spans="1:15" s="10" customFormat="1" ht="11.25">
      <c r="A258" s="132" t="s">
        <v>111</v>
      </c>
      <c r="B258" s="120" t="s">
        <v>47</v>
      </c>
      <c r="C258" s="18" t="s">
        <v>76</v>
      </c>
      <c r="D258" s="4">
        <v>165000</v>
      </c>
      <c r="E258" s="47"/>
      <c r="F258" s="47"/>
      <c r="G258" s="47"/>
      <c r="H258" s="7">
        <f aca="true" t="shared" si="41" ref="H258:H267">SUM(D258:G258)</f>
        <v>165000</v>
      </c>
      <c r="I258" s="7">
        <v>56250</v>
      </c>
      <c r="J258" s="47"/>
      <c r="K258" s="47"/>
      <c r="L258" s="47"/>
      <c r="M258" s="7">
        <f t="shared" si="40"/>
        <v>56250</v>
      </c>
      <c r="N258" s="5"/>
      <c r="O258" s="80"/>
    </row>
    <row r="259" spans="1:15" ht="9" customHeight="1">
      <c r="A259" s="132"/>
      <c r="B259" s="122"/>
      <c r="C259" s="18" t="s">
        <v>72</v>
      </c>
      <c r="E259" s="4"/>
      <c r="F259" s="4"/>
      <c r="G259" s="4"/>
      <c r="H259" s="7">
        <f t="shared" si="41"/>
        <v>0</v>
      </c>
      <c r="I259" s="11">
        <v>424</v>
      </c>
      <c r="J259" s="7"/>
      <c r="K259" s="7"/>
      <c r="L259" s="7"/>
      <c r="M259" s="7">
        <f t="shared" si="40"/>
        <v>424</v>
      </c>
      <c r="N259" s="5" t="e">
        <f>M259/H259</f>
        <v>#DIV/0!</v>
      </c>
      <c r="O259" s="78"/>
    </row>
    <row r="260" spans="1:15" ht="9.75">
      <c r="A260" s="132"/>
      <c r="B260" s="29" t="s">
        <v>177</v>
      </c>
      <c r="C260" s="29"/>
      <c r="D260" s="6">
        <f>SUM(D258)</f>
        <v>165000</v>
      </c>
      <c r="E260" s="6">
        <f>SUM(E259)</f>
        <v>0</v>
      </c>
      <c r="F260" s="6">
        <f>SUM(F259)</f>
        <v>0</v>
      </c>
      <c r="G260" s="6">
        <f>SUM(G259)</f>
        <v>0</v>
      </c>
      <c r="H260" s="6">
        <f t="shared" si="41"/>
        <v>165000</v>
      </c>
      <c r="I260" s="6">
        <f>SUM(I258:I259)</f>
        <v>56674</v>
      </c>
      <c r="J260" s="6">
        <f>SUM(J258:J259)</f>
        <v>0</v>
      </c>
      <c r="K260" s="6">
        <f>SUM(K258:K259)</f>
        <v>0</v>
      </c>
      <c r="L260" s="6">
        <f>SUM(L258:L259)</f>
        <v>0</v>
      </c>
      <c r="M260" s="6">
        <f t="shared" si="40"/>
        <v>56674</v>
      </c>
      <c r="N260" s="28">
        <f>M260/H260</f>
        <v>0.3434787878787879</v>
      </c>
      <c r="O260" s="78"/>
    </row>
    <row r="261" spans="1:15" ht="39">
      <c r="A261" s="132"/>
      <c r="B261" s="45" t="s">
        <v>226</v>
      </c>
      <c r="C261" s="18" t="s">
        <v>216</v>
      </c>
      <c r="D261" s="4"/>
      <c r="E261" s="4"/>
      <c r="F261" s="4"/>
      <c r="G261" s="4"/>
      <c r="H261" s="7">
        <f t="shared" si="41"/>
        <v>0</v>
      </c>
      <c r="I261" s="7">
        <v>6</v>
      </c>
      <c r="J261" s="9"/>
      <c r="K261" s="9"/>
      <c r="L261" s="9"/>
      <c r="M261" s="7">
        <f t="shared" si="40"/>
        <v>6</v>
      </c>
      <c r="N261" s="5"/>
      <c r="O261" s="78"/>
    </row>
    <row r="262" spans="1:15" ht="9.75">
      <c r="A262" s="132"/>
      <c r="B262" s="37" t="s">
        <v>226</v>
      </c>
      <c r="C262" s="29"/>
      <c r="D262" s="6">
        <f>SUM(D261)</f>
        <v>0</v>
      </c>
      <c r="E262" s="6">
        <f>SUM(E261)</f>
        <v>0</v>
      </c>
      <c r="F262" s="6">
        <f>SUM(F261)</f>
        <v>0</v>
      </c>
      <c r="G262" s="6">
        <f>SUM(G261)</f>
        <v>0</v>
      </c>
      <c r="H262" s="6">
        <f t="shared" si="41"/>
        <v>0</v>
      </c>
      <c r="I262" s="6">
        <f>SUM(I261)</f>
        <v>6</v>
      </c>
      <c r="J262" s="6">
        <f>SUM(J261)</f>
        <v>0</v>
      </c>
      <c r="K262" s="6">
        <f>SUM(K261)</f>
        <v>0</v>
      </c>
      <c r="L262" s="6">
        <f>SUM(L261)</f>
        <v>0</v>
      </c>
      <c r="M262" s="6">
        <f>SUM(M261)</f>
        <v>6</v>
      </c>
      <c r="N262" s="28"/>
      <c r="O262" s="78"/>
    </row>
    <row r="263" spans="1:15" ht="38.25" customHeight="1">
      <c r="A263" s="132"/>
      <c r="B263" s="120" t="s">
        <v>178</v>
      </c>
      <c r="C263" s="18" t="s">
        <v>69</v>
      </c>
      <c r="D263" s="4"/>
      <c r="E263" s="4"/>
      <c r="F263" s="4"/>
      <c r="G263" s="4">
        <v>255000</v>
      </c>
      <c r="H263" s="7">
        <f t="shared" si="41"/>
        <v>255000</v>
      </c>
      <c r="I263" s="13"/>
      <c r="J263" s="13"/>
      <c r="K263" s="13"/>
      <c r="L263" s="7">
        <v>93670</v>
      </c>
      <c r="M263" s="7">
        <f aca="true" t="shared" si="42" ref="M263:M295">SUM(I263:L263)</f>
        <v>93670</v>
      </c>
      <c r="N263" s="5">
        <f>M263/H263</f>
        <v>0.36733333333333335</v>
      </c>
      <c r="O263" s="78"/>
    </row>
    <row r="264" spans="1:15" ht="30" customHeight="1">
      <c r="A264" s="132"/>
      <c r="B264" s="122"/>
      <c r="C264" s="18" t="s">
        <v>83</v>
      </c>
      <c r="D264" s="4"/>
      <c r="E264" s="4">
        <v>44840</v>
      </c>
      <c r="F264" s="4"/>
      <c r="G264" s="4"/>
      <c r="H264" s="7">
        <f t="shared" si="41"/>
        <v>44840</v>
      </c>
      <c r="I264" s="13"/>
      <c r="J264" s="7">
        <v>16402</v>
      </c>
      <c r="K264" s="13"/>
      <c r="L264" s="13"/>
      <c r="M264" s="7">
        <f t="shared" si="42"/>
        <v>16402</v>
      </c>
      <c r="N264" s="5"/>
      <c r="O264" s="78"/>
    </row>
    <row r="265" spans="1:15" ht="9.75">
      <c r="A265" s="132"/>
      <c r="B265" s="46" t="s">
        <v>179</v>
      </c>
      <c r="C265" s="29"/>
      <c r="D265" s="6">
        <f>SUM(D263:D264)</f>
        <v>0</v>
      </c>
      <c r="E265" s="6">
        <f>SUM(E263:E264)</f>
        <v>44840</v>
      </c>
      <c r="F265" s="6">
        <f>SUM(F263:F264)</f>
        <v>0</v>
      </c>
      <c r="G265" s="6">
        <f>SUM(G263:G264)</f>
        <v>255000</v>
      </c>
      <c r="H265" s="6">
        <f t="shared" si="41"/>
        <v>299840</v>
      </c>
      <c r="I265" s="6">
        <f>SUM(I263:I264)</f>
        <v>0</v>
      </c>
      <c r="J265" s="6">
        <f>SUM(J263:J264)</f>
        <v>16402</v>
      </c>
      <c r="K265" s="6">
        <f>SUM(K263:K264)</f>
        <v>0</v>
      </c>
      <c r="L265" s="6">
        <f>SUM(L263:L264)</f>
        <v>93670</v>
      </c>
      <c r="M265" s="6">
        <f t="shared" si="42"/>
        <v>110072</v>
      </c>
      <c r="N265" s="28">
        <f aca="true" t="shared" si="43" ref="N265:N271">M265/H265</f>
        <v>0.367102454642476</v>
      </c>
      <c r="O265" s="78"/>
    </row>
    <row r="266" spans="1:15" s="10" customFormat="1" ht="48" customHeight="1">
      <c r="A266" s="132"/>
      <c r="B266" s="120" t="s">
        <v>48</v>
      </c>
      <c r="C266" s="18" t="s">
        <v>104</v>
      </c>
      <c r="D266" s="13"/>
      <c r="E266" s="13"/>
      <c r="F266" s="13"/>
      <c r="G266" s="13"/>
      <c r="H266" s="7">
        <f t="shared" si="41"/>
        <v>0</v>
      </c>
      <c r="I266" s="13"/>
      <c r="J266" s="7">
        <v>600</v>
      </c>
      <c r="K266" s="13"/>
      <c r="L266" s="13"/>
      <c r="M266" s="7">
        <f t="shared" si="42"/>
        <v>600</v>
      </c>
      <c r="N266" s="5"/>
      <c r="O266" s="80"/>
    </row>
    <row r="267" spans="1:15" s="10" customFormat="1" ht="9.75">
      <c r="A267" s="132"/>
      <c r="B267" s="121"/>
      <c r="C267" s="18" t="s">
        <v>72</v>
      </c>
      <c r="D267" s="13"/>
      <c r="E267" s="13"/>
      <c r="F267" s="13"/>
      <c r="G267" s="13"/>
      <c r="H267" s="7">
        <f t="shared" si="41"/>
        <v>0</v>
      </c>
      <c r="I267" s="13"/>
      <c r="J267" s="7">
        <v>2555</v>
      </c>
      <c r="K267" s="13"/>
      <c r="L267" s="13"/>
      <c r="M267" s="7">
        <f t="shared" si="42"/>
        <v>2555</v>
      </c>
      <c r="N267" s="5"/>
      <c r="O267" s="80"/>
    </row>
    <row r="268" spans="1:15" ht="27.75" customHeight="1">
      <c r="A268" s="132"/>
      <c r="B268" s="122"/>
      <c r="C268" s="18" t="s">
        <v>83</v>
      </c>
      <c r="D268" s="4"/>
      <c r="E268" s="4">
        <v>144478</v>
      </c>
      <c r="F268" s="4"/>
      <c r="G268" s="4"/>
      <c r="H268" s="7">
        <f aca="true" t="shared" si="44" ref="H268:H308">SUM(D268:G268)</f>
        <v>144478</v>
      </c>
      <c r="I268" s="9"/>
      <c r="J268" s="7">
        <v>42672</v>
      </c>
      <c r="K268" s="9"/>
      <c r="L268" s="9"/>
      <c r="M268" s="7">
        <f t="shared" si="42"/>
        <v>42672</v>
      </c>
      <c r="N268" s="5">
        <f t="shared" si="43"/>
        <v>0.29535292570495164</v>
      </c>
      <c r="O268" s="78"/>
    </row>
    <row r="269" spans="1:15" ht="9.75">
      <c r="A269" s="132"/>
      <c r="B269" s="46" t="s">
        <v>180</v>
      </c>
      <c r="C269" s="29"/>
      <c r="D269" s="6">
        <f>SUM(D268)</f>
        <v>0</v>
      </c>
      <c r="E269" s="6">
        <f>SUM(E268)</f>
        <v>144478</v>
      </c>
      <c r="F269" s="6">
        <f>SUM(F268)</f>
        <v>0</v>
      </c>
      <c r="G269" s="6">
        <f>SUM(G268)</f>
        <v>0</v>
      </c>
      <c r="H269" s="6">
        <f t="shared" si="44"/>
        <v>144478</v>
      </c>
      <c r="I269" s="6">
        <f>SUM(I266:I268)</f>
        <v>0</v>
      </c>
      <c r="J269" s="6">
        <f>SUM(J266:J268)</f>
        <v>45827</v>
      </c>
      <c r="K269" s="6">
        <f>SUM(K266:K268)</f>
        <v>0</v>
      </c>
      <c r="L269" s="6">
        <f>SUM(L266:L268)</f>
        <v>0</v>
      </c>
      <c r="M269" s="6">
        <f t="shared" si="42"/>
        <v>45827</v>
      </c>
      <c r="N269" s="28">
        <f t="shared" si="43"/>
        <v>0.3171901604396517</v>
      </c>
      <c r="O269" s="78"/>
    </row>
    <row r="270" spans="1:15" ht="11.25">
      <c r="A270" s="72" t="s">
        <v>112</v>
      </c>
      <c r="B270" s="39"/>
      <c r="C270" s="40"/>
      <c r="D270" s="25">
        <f>SUM(D269,D265,D260)</f>
        <v>165000</v>
      </c>
      <c r="E270" s="25">
        <f>SUM(E269,E265,E260)</f>
        <v>189318</v>
      </c>
      <c r="F270" s="25">
        <f>SUM(F269,F265,F260)</f>
        <v>0</v>
      </c>
      <c r="G270" s="25">
        <f>SUM(G269,G265,G260)</f>
        <v>255000</v>
      </c>
      <c r="H270" s="25">
        <f t="shared" si="44"/>
        <v>609318</v>
      </c>
      <c r="I270" s="25">
        <f>SUM(I269,I265,I262,I260)</f>
        <v>56680</v>
      </c>
      <c r="J270" s="25">
        <f>SUM(J269,J265,J262,J260)</f>
        <v>62229</v>
      </c>
      <c r="K270" s="25">
        <f>SUM(K269,K265,K262,K260)</f>
        <v>0</v>
      </c>
      <c r="L270" s="25">
        <f>SUM(L269,L265,L262,L260)</f>
        <v>93670</v>
      </c>
      <c r="M270" s="25">
        <f t="shared" si="42"/>
        <v>212579</v>
      </c>
      <c r="N270" s="30">
        <f t="shared" si="43"/>
        <v>0.34888022346295366</v>
      </c>
      <c r="O270" s="78"/>
    </row>
    <row r="271" spans="1:15" ht="9.75">
      <c r="A271" s="114" t="s">
        <v>49</v>
      </c>
      <c r="B271" s="126" t="s">
        <v>198</v>
      </c>
      <c r="C271" s="18" t="s">
        <v>76</v>
      </c>
      <c r="D271" s="4">
        <v>2058386</v>
      </c>
      <c r="E271" s="4">
        <v>9000</v>
      </c>
      <c r="F271" s="4"/>
      <c r="G271" s="4"/>
      <c r="H271" s="7">
        <f t="shared" si="44"/>
        <v>2067386</v>
      </c>
      <c r="I271" s="7">
        <v>648844</v>
      </c>
      <c r="J271" s="7">
        <v>2920</v>
      </c>
      <c r="K271" s="7"/>
      <c r="L271" s="7"/>
      <c r="M271" s="7">
        <f t="shared" si="42"/>
        <v>651764</v>
      </c>
      <c r="N271" s="5">
        <f t="shared" si="43"/>
        <v>0.3152599466185802</v>
      </c>
      <c r="O271" s="78"/>
    </row>
    <row r="272" spans="1:15" ht="9.75">
      <c r="A272" s="115"/>
      <c r="B272" s="128"/>
      <c r="C272" s="18" t="s">
        <v>72</v>
      </c>
      <c r="D272" s="4"/>
      <c r="E272" s="4"/>
      <c r="F272" s="4"/>
      <c r="G272" s="4"/>
      <c r="H272" s="7">
        <f t="shared" si="44"/>
        <v>0</v>
      </c>
      <c r="I272" s="7">
        <v>154</v>
      </c>
      <c r="J272" s="7">
        <v>7</v>
      </c>
      <c r="K272" s="7"/>
      <c r="L272" s="7"/>
      <c r="M272" s="7">
        <f t="shared" si="42"/>
        <v>161</v>
      </c>
      <c r="N272" s="5"/>
      <c r="O272" s="78"/>
    </row>
    <row r="273" spans="1:15" ht="18" customHeight="1">
      <c r="A273" s="115"/>
      <c r="B273" s="128"/>
      <c r="C273" s="18" t="s">
        <v>208</v>
      </c>
      <c r="D273" s="4"/>
      <c r="E273" s="4"/>
      <c r="F273" s="4"/>
      <c r="G273" s="4"/>
      <c r="H273" s="7">
        <f t="shared" si="44"/>
        <v>0</v>
      </c>
      <c r="I273" s="7">
        <v>5359</v>
      </c>
      <c r="J273" s="7"/>
      <c r="K273" s="7"/>
      <c r="L273" s="7"/>
      <c r="M273" s="7">
        <f t="shared" si="42"/>
        <v>5359</v>
      </c>
      <c r="N273" s="5"/>
      <c r="O273" s="78"/>
    </row>
    <row r="274" spans="1:15" ht="17.25" customHeight="1">
      <c r="A274" s="115"/>
      <c r="B274" s="127"/>
      <c r="C274" s="18" t="s">
        <v>204</v>
      </c>
      <c r="D274" s="4"/>
      <c r="E274" s="4"/>
      <c r="F274" s="4"/>
      <c r="G274" s="4"/>
      <c r="H274" s="7">
        <f t="shared" si="44"/>
        <v>0</v>
      </c>
      <c r="I274" s="7">
        <v>254299</v>
      </c>
      <c r="J274" s="7">
        <v>3581</v>
      </c>
      <c r="K274" s="7"/>
      <c r="L274" s="7"/>
      <c r="M274" s="7">
        <f t="shared" si="42"/>
        <v>257880</v>
      </c>
      <c r="N274" s="5"/>
      <c r="O274" s="78"/>
    </row>
    <row r="275" spans="1:15" ht="8.25" customHeight="1">
      <c r="A275" s="115"/>
      <c r="B275" s="63" t="s">
        <v>198</v>
      </c>
      <c r="C275" s="29"/>
      <c r="D275" s="6">
        <f>SUM(D271)</f>
        <v>2058386</v>
      </c>
      <c r="E275" s="6">
        <f>SUM(E271)</f>
        <v>9000</v>
      </c>
      <c r="F275" s="6">
        <f>SUM(F271)</f>
        <v>0</v>
      </c>
      <c r="G275" s="6">
        <f>SUM(G271)</f>
        <v>0</v>
      </c>
      <c r="H275" s="6">
        <f t="shared" si="44"/>
        <v>2067386</v>
      </c>
      <c r="I275" s="6">
        <f>SUM(I271:I274)</f>
        <v>908656</v>
      </c>
      <c r="J275" s="6">
        <f>SUM(J271:J274)</f>
        <v>6508</v>
      </c>
      <c r="K275" s="6">
        <f>SUM(K271:K274)</f>
        <v>0</v>
      </c>
      <c r="L275" s="6">
        <f>SUM(L271:L274)</f>
        <v>0</v>
      </c>
      <c r="M275" s="6">
        <f t="shared" si="42"/>
        <v>915164</v>
      </c>
      <c r="N275" s="28">
        <f>M275/H275</f>
        <v>0.44266721357308214</v>
      </c>
      <c r="O275" s="78"/>
    </row>
    <row r="276" spans="1:15" ht="47.25" customHeight="1">
      <c r="A276" s="115"/>
      <c r="B276" s="126" t="s">
        <v>50</v>
      </c>
      <c r="C276" s="18" t="s">
        <v>104</v>
      </c>
      <c r="D276" s="4"/>
      <c r="E276" s="4">
        <v>17800</v>
      </c>
      <c r="F276" s="4"/>
      <c r="G276" s="4"/>
      <c r="H276" s="7">
        <f t="shared" si="44"/>
        <v>17800</v>
      </c>
      <c r="I276" s="7"/>
      <c r="J276" s="7">
        <v>4863</v>
      </c>
      <c r="K276" s="7"/>
      <c r="L276" s="7"/>
      <c r="M276" s="7">
        <f t="shared" si="42"/>
        <v>4863</v>
      </c>
      <c r="N276" s="5">
        <f>M276/H276</f>
        <v>0.2732022471910112</v>
      </c>
      <c r="O276" s="78"/>
    </row>
    <row r="277" spans="1:15" ht="9.75">
      <c r="A277" s="115"/>
      <c r="B277" s="128"/>
      <c r="C277" s="27" t="s">
        <v>76</v>
      </c>
      <c r="D277" s="4"/>
      <c r="E277" s="4">
        <v>5000</v>
      </c>
      <c r="F277" s="4"/>
      <c r="G277" s="4"/>
      <c r="H277" s="7">
        <f t="shared" si="44"/>
        <v>5000</v>
      </c>
      <c r="I277" s="7"/>
      <c r="J277" s="7">
        <v>4913</v>
      </c>
      <c r="K277" s="7"/>
      <c r="L277" s="7"/>
      <c r="M277" s="7">
        <f t="shared" si="42"/>
        <v>4913</v>
      </c>
      <c r="N277" s="5">
        <f>M277/H277</f>
        <v>0.9826</v>
      </c>
      <c r="O277" s="78"/>
    </row>
    <row r="278" spans="1:15" ht="9.75">
      <c r="A278" s="115"/>
      <c r="B278" s="128"/>
      <c r="C278" s="18" t="s">
        <v>72</v>
      </c>
      <c r="D278" s="4"/>
      <c r="E278" s="4"/>
      <c r="F278" s="4"/>
      <c r="G278" s="4"/>
      <c r="H278" s="7">
        <f t="shared" si="44"/>
        <v>0</v>
      </c>
      <c r="I278" s="7"/>
      <c r="J278" s="7">
        <v>1638</v>
      </c>
      <c r="K278" s="7"/>
      <c r="L278" s="7"/>
      <c r="M278" s="7">
        <f t="shared" si="42"/>
        <v>1638</v>
      </c>
      <c r="N278" s="5"/>
      <c r="O278" s="78"/>
    </row>
    <row r="279" spans="1:15" ht="19.5">
      <c r="A279" s="115"/>
      <c r="B279" s="128"/>
      <c r="C279" s="18" t="s">
        <v>208</v>
      </c>
      <c r="D279" s="4"/>
      <c r="E279" s="4"/>
      <c r="F279" s="4"/>
      <c r="G279" s="4"/>
      <c r="H279" s="7">
        <f t="shared" si="44"/>
        <v>0</v>
      </c>
      <c r="I279" s="7"/>
      <c r="J279" s="7">
        <v>1200</v>
      </c>
      <c r="K279" s="7"/>
      <c r="L279" s="7"/>
      <c r="M279" s="7">
        <f t="shared" si="42"/>
        <v>1200</v>
      </c>
      <c r="N279" s="5"/>
      <c r="O279" s="78"/>
    </row>
    <row r="280" spans="1:15" ht="9.75">
      <c r="A280" s="115"/>
      <c r="B280" s="128"/>
      <c r="C280" s="18" t="s">
        <v>74</v>
      </c>
      <c r="D280" s="4"/>
      <c r="E280" s="4"/>
      <c r="F280" s="4"/>
      <c r="G280" s="4"/>
      <c r="H280" s="7">
        <f t="shared" si="44"/>
        <v>0</v>
      </c>
      <c r="I280" s="7"/>
      <c r="J280" s="7"/>
      <c r="K280" s="7"/>
      <c r="L280" s="7"/>
      <c r="M280" s="7">
        <f t="shared" si="42"/>
        <v>0</v>
      </c>
      <c r="N280" s="5"/>
      <c r="O280" s="78"/>
    </row>
    <row r="281" spans="1:15" ht="18" customHeight="1">
      <c r="A281" s="115"/>
      <c r="B281" s="127"/>
      <c r="C281" s="18" t="s">
        <v>204</v>
      </c>
      <c r="D281" s="4"/>
      <c r="E281" s="4"/>
      <c r="F281" s="4"/>
      <c r="G281" s="4"/>
      <c r="H281" s="7">
        <f t="shared" si="44"/>
        <v>0</v>
      </c>
      <c r="I281" s="7"/>
      <c r="J281" s="7">
        <v>66420</v>
      </c>
      <c r="K281" s="7"/>
      <c r="L281" s="7"/>
      <c r="M281" s="7">
        <f t="shared" si="42"/>
        <v>66420</v>
      </c>
      <c r="N281" s="5"/>
      <c r="O281" s="78"/>
    </row>
    <row r="282" spans="1:15" ht="9.75">
      <c r="A282" s="115"/>
      <c r="B282" s="46" t="s">
        <v>181</v>
      </c>
      <c r="C282" s="29"/>
      <c r="D282" s="6">
        <f>SUM(D276:D277)</f>
        <v>0</v>
      </c>
      <c r="E282" s="6">
        <f>SUM(E276:E277)</f>
        <v>22800</v>
      </c>
      <c r="F282" s="6">
        <f>SUM(F276:F277)</f>
        <v>0</v>
      </c>
      <c r="G282" s="6">
        <f>SUM(G276:G277)</f>
        <v>0</v>
      </c>
      <c r="H282" s="6">
        <f t="shared" si="44"/>
        <v>22800</v>
      </c>
      <c r="I282" s="6">
        <f>SUM(I276:I281)</f>
        <v>0</v>
      </c>
      <c r="J282" s="6">
        <f>SUM(J276:J281)</f>
        <v>79034</v>
      </c>
      <c r="K282" s="6">
        <f>SUM(K276:K281)</f>
        <v>0</v>
      </c>
      <c r="L282" s="6">
        <f>SUM(L276:L281)</f>
        <v>0</v>
      </c>
      <c r="M282" s="6">
        <f t="shared" si="42"/>
        <v>79034</v>
      </c>
      <c r="N282" s="28">
        <f aca="true" t="shared" si="45" ref="N282:N288">M282/H282</f>
        <v>3.46640350877193</v>
      </c>
      <c r="O282" s="78"/>
    </row>
    <row r="283" spans="1:15" ht="9.75">
      <c r="A283" s="115"/>
      <c r="B283" s="120" t="s">
        <v>199</v>
      </c>
      <c r="C283" s="18" t="s">
        <v>76</v>
      </c>
      <c r="D283" s="4"/>
      <c r="E283" s="4">
        <v>14</v>
      </c>
      <c r="F283" s="4"/>
      <c r="G283" s="4"/>
      <c r="H283" s="7">
        <f t="shared" si="44"/>
        <v>14</v>
      </c>
      <c r="I283" s="7"/>
      <c r="J283" s="7"/>
      <c r="K283" s="7"/>
      <c r="L283" s="7"/>
      <c r="M283" s="7">
        <f t="shared" si="42"/>
        <v>0</v>
      </c>
      <c r="N283" s="5">
        <f t="shared" si="45"/>
        <v>0</v>
      </c>
      <c r="O283" s="78"/>
    </row>
    <row r="284" spans="1:15" ht="9.75">
      <c r="A284" s="115"/>
      <c r="B284" s="121"/>
      <c r="C284" s="18" t="s">
        <v>72</v>
      </c>
      <c r="D284" s="4"/>
      <c r="E284" s="4"/>
      <c r="F284" s="4"/>
      <c r="G284" s="4"/>
      <c r="H284" s="7">
        <f t="shared" si="44"/>
        <v>0</v>
      </c>
      <c r="I284" s="7"/>
      <c r="J284" s="7">
        <v>731</v>
      </c>
      <c r="K284" s="7"/>
      <c r="L284" s="7"/>
      <c r="M284" s="7">
        <f t="shared" si="42"/>
        <v>731</v>
      </c>
      <c r="N284" s="5"/>
      <c r="O284" s="78"/>
    </row>
    <row r="285" spans="1:15" ht="9.75">
      <c r="A285" s="115"/>
      <c r="B285" s="122"/>
      <c r="C285" s="18" t="s">
        <v>74</v>
      </c>
      <c r="D285" s="4"/>
      <c r="E285" s="4"/>
      <c r="F285" s="4"/>
      <c r="G285" s="4"/>
      <c r="H285" s="7">
        <f t="shared" si="44"/>
        <v>0</v>
      </c>
      <c r="I285" s="7"/>
      <c r="J285" s="7">
        <v>11</v>
      </c>
      <c r="K285" s="7"/>
      <c r="L285" s="7"/>
      <c r="M285" s="7">
        <f t="shared" si="42"/>
        <v>11</v>
      </c>
      <c r="N285" s="5"/>
      <c r="O285" s="78"/>
    </row>
    <row r="286" spans="1:15" ht="9.75">
      <c r="A286" s="115"/>
      <c r="B286" s="46" t="s">
        <v>200</v>
      </c>
      <c r="C286" s="29"/>
      <c r="D286" s="6">
        <f>SUM(D283)</f>
        <v>0</v>
      </c>
      <c r="E286" s="6">
        <f>SUM(E283)</f>
        <v>14</v>
      </c>
      <c r="F286" s="6">
        <f>SUM(F283)</f>
        <v>0</v>
      </c>
      <c r="G286" s="6">
        <f>SUM(G283)</f>
        <v>0</v>
      </c>
      <c r="H286" s="6">
        <f t="shared" si="44"/>
        <v>14</v>
      </c>
      <c r="I286" s="6">
        <f>SUM(I283:I284)</f>
        <v>0</v>
      </c>
      <c r="J286" s="6">
        <f>SUM(J283:J285)</f>
        <v>742</v>
      </c>
      <c r="K286" s="6">
        <f>SUM(K283:K285)</f>
        <v>0</v>
      </c>
      <c r="L286" s="6">
        <f>SUM(L283:L285)</f>
        <v>0</v>
      </c>
      <c r="M286" s="6">
        <f t="shared" si="42"/>
        <v>742</v>
      </c>
      <c r="N286" s="28">
        <f t="shared" si="45"/>
        <v>53</v>
      </c>
      <c r="O286" s="78"/>
    </row>
    <row r="287" spans="1:15" ht="49.5" customHeight="1">
      <c r="A287" s="115"/>
      <c r="B287" s="126" t="s">
        <v>51</v>
      </c>
      <c r="C287" s="18" t="s">
        <v>104</v>
      </c>
      <c r="D287" s="4"/>
      <c r="E287" s="4">
        <v>11000</v>
      </c>
      <c r="F287" s="4"/>
      <c r="G287" s="4"/>
      <c r="H287" s="7">
        <f t="shared" si="44"/>
        <v>11000</v>
      </c>
      <c r="I287" s="7"/>
      <c r="J287" s="7">
        <v>1447</v>
      </c>
      <c r="K287" s="7"/>
      <c r="L287" s="7"/>
      <c r="M287" s="7">
        <f t="shared" si="42"/>
        <v>1447</v>
      </c>
      <c r="N287" s="5">
        <f t="shared" si="45"/>
        <v>0.13154545454545455</v>
      </c>
      <c r="O287" s="78"/>
    </row>
    <row r="288" spans="1:15" ht="9.75">
      <c r="A288" s="115"/>
      <c r="B288" s="128"/>
      <c r="C288" s="18" t="s">
        <v>76</v>
      </c>
      <c r="D288" s="4"/>
      <c r="E288" s="4">
        <v>360</v>
      </c>
      <c r="F288" s="4"/>
      <c r="G288" s="4"/>
      <c r="H288" s="7">
        <f t="shared" si="44"/>
        <v>360</v>
      </c>
      <c r="I288" s="7"/>
      <c r="J288" s="7"/>
      <c r="K288" s="7"/>
      <c r="L288" s="7"/>
      <c r="M288" s="7">
        <f t="shared" si="42"/>
        <v>0</v>
      </c>
      <c r="N288" s="5">
        <f t="shared" si="45"/>
        <v>0</v>
      </c>
      <c r="O288" s="78"/>
    </row>
    <row r="289" spans="1:15" ht="9.75">
      <c r="A289" s="115"/>
      <c r="B289" s="127"/>
      <c r="C289" s="18" t="s">
        <v>72</v>
      </c>
      <c r="D289" s="4"/>
      <c r="E289" s="4"/>
      <c r="F289" s="4"/>
      <c r="G289" s="4"/>
      <c r="H289" s="7">
        <f t="shared" si="44"/>
        <v>0</v>
      </c>
      <c r="I289" s="7"/>
      <c r="J289" s="7">
        <v>706</v>
      </c>
      <c r="K289" s="7"/>
      <c r="L289" s="7"/>
      <c r="M289" s="7">
        <f t="shared" si="42"/>
        <v>706</v>
      </c>
      <c r="N289" s="5"/>
      <c r="O289" s="78"/>
    </row>
    <row r="290" spans="1:15" ht="9.75">
      <c r="A290" s="115"/>
      <c r="B290" s="46" t="s">
        <v>182</v>
      </c>
      <c r="C290" s="29"/>
      <c r="D290" s="6">
        <f>SUM(D287:D288)</f>
        <v>0</v>
      </c>
      <c r="E290" s="6">
        <f>SUM(E287:E288)</f>
        <v>11360</v>
      </c>
      <c r="F290" s="6">
        <f>SUM(F287:F288)</f>
        <v>0</v>
      </c>
      <c r="G290" s="6">
        <f>SUM(G287:G288)</f>
        <v>0</v>
      </c>
      <c r="H290" s="6">
        <f t="shared" si="44"/>
        <v>11360</v>
      </c>
      <c r="I290" s="6">
        <f>SUM(I287:I289)</f>
        <v>0</v>
      </c>
      <c r="J290" s="6">
        <f>SUM(J287:J289)</f>
        <v>2153</v>
      </c>
      <c r="K290" s="6">
        <f>SUM(K287:K289)</f>
        <v>0</v>
      </c>
      <c r="L290" s="6">
        <f>SUM(L287:L289)</f>
        <v>0</v>
      </c>
      <c r="M290" s="6">
        <f t="shared" si="42"/>
        <v>2153</v>
      </c>
      <c r="N290" s="28">
        <f>M290/H290</f>
        <v>0.18952464788732395</v>
      </c>
      <c r="O290" s="78"/>
    </row>
    <row r="291" spans="1:15" ht="48.75" customHeight="1">
      <c r="A291" s="115"/>
      <c r="B291" s="126" t="s">
        <v>52</v>
      </c>
      <c r="C291" s="27" t="s">
        <v>104</v>
      </c>
      <c r="D291" s="7"/>
      <c r="E291" s="4">
        <v>248500</v>
      </c>
      <c r="F291" s="4"/>
      <c r="G291" s="4"/>
      <c r="H291" s="7">
        <f t="shared" si="44"/>
        <v>248500</v>
      </c>
      <c r="I291" s="7"/>
      <c r="J291" s="7">
        <v>16860</v>
      </c>
      <c r="K291" s="7"/>
      <c r="L291" s="7"/>
      <c r="M291" s="7">
        <f t="shared" si="42"/>
        <v>16860</v>
      </c>
      <c r="N291" s="5">
        <f>M291/H291</f>
        <v>0.06784708249496982</v>
      </c>
      <c r="O291" s="80"/>
    </row>
    <row r="292" spans="1:15" ht="9.75">
      <c r="A292" s="115"/>
      <c r="B292" s="128"/>
      <c r="C292" s="18" t="s">
        <v>76</v>
      </c>
      <c r="D292" s="4"/>
      <c r="E292" s="4">
        <v>55397</v>
      </c>
      <c r="F292" s="4"/>
      <c r="G292" s="4"/>
      <c r="H292" s="7">
        <f t="shared" si="44"/>
        <v>55397</v>
      </c>
      <c r="I292" s="7"/>
      <c r="J292" s="7">
        <v>53863</v>
      </c>
      <c r="K292" s="7"/>
      <c r="L292" s="7"/>
      <c r="M292" s="7">
        <f t="shared" si="42"/>
        <v>53863</v>
      </c>
      <c r="N292" s="5">
        <f>M292/H292</f>
        <v>0.9723089697998086</v>
      </c>
      <c r="O292" s="78"/>
    </row>
    <row r="293" spans="1:15" ht="9.75">
      <c r="A293" s="115"/>
      <c r="B293" s="128"/>
      <c r="C293" s="18" t="s">
        <v>72</v>
      </c>
      <c r="D293" s="4"/>
      <c r="E293" s="4"/>
      <c r="F293" s="4"/>
      <c r="G293" s="4"/>
      <c r="H293" s="7">
        <f t="shared" si="44"/>
        <v>0</v>
      </c>
      <c r="I293" s="7"/>
      <c r="J293" s="7">
        <v>385</v>
      </c>
      <c r="K293" s="7"/>
      <c r="L293" s="7"/>
      <c r="M293" s="7">
        <f t="shared" si="42"/>
        <v>385</v>
      </c>
      <c r="N293" s="5"/>
      <c r="O293" s="78"/>
    </row>
    <row r="294" spans="1:15" ht="19.5">
      <c r="A294" s="115"/>
      <c r="B294" s="128"/>
      <c r="C294" s="18" t="s">
        <v>208</v>
      </c>
      <c r="D294" s="4"/>
      <c r="E294" s="4"/>
      <c r="F294" s="4"/>
      <c r="G294" s="4"/>
      <c r="H294" s="7">
        <f t="shared" si="44"/>
        <v>0</v>
      </c>
      <c r="I294" s="7"/>
      <c r="J294" s="7">
        <v>29401</v>
      </c>
      <c r="K294" s="7"/>
      <c r="L294" s="7"/>
      <c r="M294" s="7">
        <f t="shared" si="42"/>
        <v>29401</v>
      </c>
      <c r="N294" s="5"/>
      <c r="O294" s="78"/>
    </row>
    <row r="295" spans="1:15" ht="19.5">
      <c r="A295" s="115"/>
      <c r="B295" s="127"/>
      <c r="C295" s="18" t="s">
        <v>204</v>
      </c>
      <c r="D295" s="4"/>
      <c r="E295" s="4"/>
      <c r="F295" s="4"/>
      <c r="G295" s="4"/>
      <c r="H295" s="7">
        <f t="shared" si="44"/>
        <v>0</v>
      </c>
      <c r="I295" s="7"/>
      <c r="J295" s="7">
        <v>155789</v>
      </c>
      <c r="K295" s="7"/>
      <c r="L295" s="7"/>
      <c r="M295" s="7">
        <f t="shared" si="42"/>
        <v>155789</v>
      </c>
      <c r="N295" s="5"/>
      <c r="O295" s="78"/>
    </row>
    <row r="296" spans="1:15" ht="9.75">
      <c r="A296" s="115"/>
      <c r="B296" s="64" t="s">
        <v>183</v>
      </c>
      <c r="C296" s="34"/>
      <c r="D296" s="6">
        <f>SUM(D291:D292)</f>
        <v>0</v>
      </c>
      <c r="E296" s="6">
        <f>SUM(E291:E292)</f>
        <v>303897</v>
      </c>
      <c r="F296" s="6">
        <f>SUM(F291:F292)</f>
        <v>0</v>
      </c>
      <c r="G296" s="6">
        <f>SUM(G291:G292)</f>
        <v>0</v>
      </c>
      <c r="H296" s="6">
        <f t="shared" si="44"/>
        <v>303897</v>
      </c>
      <c r="I296" s="6">
        <f>SUM(I291:I295)</f>
        <v>0</v>
      </c>
      <c r="J296" s="6">
        <f>SUM(J291:J295)</f>
        <v>256298</v>
      </c>
      <c r="K296" s="6">
        <f>SUM(K291:K295)</f>
        <v>0</v>
      </c>
      <c r="L296" s="6">
        <f>SUM(L291:L295)</f>
        <v>0</v>
      </c>
      <c r="M296" s="6">
        <f aca="true" t="shared" si="46" ref="M296:M329">SUM(I296:L296)</f>
        <v>256298</v>
      </c>
      <c r="N296" s="28">
        <f>M296/H296</f>
        <v>0.8433712738197482</v>
      </c>
      <c r="O296" s="78"/>
    </row>
    <row r="297" spans="1:15" ht="9.75">
      <c r="A297" s="54"/>
      <c r="B297" s="120" t="s">
        <v>201</v>
      </c>
      <c r="C297" s="18" t="s">
        <v>76</v>
      </c>
      <c r="D297" s="7">
        <v>5360</v>
      </c>
      <c r="E297" s="4"/>
      <c r="F297" s="4"/>
      <c r="G297" s="4"/>
      <c r="H297" s="7">
        <f t="shared" si="44"/>
        <v>5360</v>
      </c>
      <c r="I297" s="7">
        <v>5360</v>
      </c>
      <c r="J297" s="7"/>
      <c r="K297" s="7"/>
      <c r="L297" s="7"/>
      <c r="M297" s="7">
        <f t="shared" si="46"/>
        <v>5360</v>
      </c>
      <c r="N297" s="5">
        <f>M297/H297</f>
        <v>1</v>
      </c>
      <c r="O297" s="80"/>
    </row>
    <row r="298" spans="1:15" ht="9.75">
      <c r="A298" s="54"/>
      <c r="B298" s="121"/>
      <c r="C298" s="18" t="s">
        <v>72</v>
      </c>
      <c r="D298" s="7"/>
      <c r="E298" s="4"/>
      <c r="F298" s="4"/>
      <c r="G298" s="4"/>
      <c r="H298" s="7">
        <f t="shared" si="44"/>
        <v>0</v>
      </c>
      <c r="I298" s="7">
        <v>19</v>
      </c>
      <c r="J298" s="7"/>
      <c r="K298" s="7"/>
      <c r="L298" s="7"/>
      <c r="M298" s="7">
        <f t="shared" si="46"/>
        <v>19</v>
      </c>
      <c r="N298" s="5"/>
      <c r="O298" s="80"/>
    </row>
    <row r="299" spans="1:15" ht="19.5">
      <c r="A299" s="54"/>
      <c r="B299" s="121"/>
      <c r="C299" s="18" t="s">
        <v>208</v>
      </c>
      <c r="D299" s="7"/>
      <c r="E299" s="4"/>
      <c r="F299" s="4"/>
      <c r="G299" s="4"/>
      <c r="H299" s="7">
        <f t="shared" si="44"/>
        <v>0</v>
      </c>
      <c r="I299" s="7">
        <v>1923</v>
      </c>
      <c r="J299" s="7"/>
      <c r="K299" s="7"/>
      <c r="L299" s="7"/>
      <c r="M299" s="7">
        <f t="shared" si="46"/>
        <v>1923</v>
      </c>
      <c r="N299" s="5"/>
      <c r="O299" s="80"/>
    </row>
    <row r="300" spans="1:15" ht="19.5">
      <c r="A300" s="54"/>
      <c r="B300" s="122"/>
      <c r="C300" s="18" t="s">
        <v>204</v>
      </c>
      <c r="D300" s="7"/>
      <c r="E300" s="4"/>
      <c r="F300" s="4"/>
      <c r="G300" s="4"/>
      <c r="H300" s="7">
        <f t="shared" si="44"/>
        <v>0</v>
      </c>
      <c r="I300" s="7">
        <v>3860</v>
      </c>
      <c r="J300" s="7"/>
      <c r="K300" s="7"/>
      <c r="L300" s="7"/>
      <c r="M300" s="7">
        <f t="shared" si="46"/>
        <v>3860</v>
      </c>
      <c r="N300" s="5"/>
      <c r="O300" s="80"/>
    </row>
    <row r="301" spans="1:15" ht="9.75">
      <c r="A301" s="71"/>
      <c r="B301" s="64" t="s">
        <v>201</v>
      </c>
      <c r="C301" s="34"/>
      <c r="D301" s="6">
        <f>SUM(D297:D297)</f>
        <v>5360</v>
      </c>
      <c r="E301" s="6">
        <f>SUM(E297:E297)</f>
        <v>0</v>
      </c>
      <c r="F301" s="6">
        <f>SUM(F297:F297)</f>
        <v>0</v>
      </c>
      <c r="G301" s="6">
        <f>SUM(G297:G297)</f>
        <v>0</v>
      </c>
      <c r="H301" s="6">
        <f t="shared" si="44"/>
        <v>5360</v>
      </c>
      <c r="I301" s="6">
        <f>SUM(I297:I300)</f>
        <v>11162</v>
      </c>
      <c r="J301" s="6">
        <f>SUM(J297:J300)</f>
        <v>0</v>
      </c>
      <c r="K301" s="6">
        <f>SUM(K297:K300)</f>
        <v>0</v>
      </c>
      <c r="L301" s="6">
        <f>SUM(L297:L300)</f>
        <v>0</v>
      </c>
      <c r="M301" s="6">
        <f t="shared" si="46"/>
        <v>11162</v>
      </c>
      <c r="N301" s="28">
        <f>M301/H301</f>
        <v>2.082462686567164</v>
      </c>
      <c r="O301" s="78"/>
    </row>
    <row r="302" spans="1:15" s="10" customFormat="1" ht="11.25" customHeight="1">
      <c r="A302" s="73"/>
      <c r="B302" s="126" t="s">
        <v>227</v>
      </c>
      <c r="C302" s="18" t="s">
        <v>74</v>
      </c>
      <c r="D302" s="13"/>
      <c r="E302" s="13"/>
      <c r="F302" s="13"/>
      <c r="G302" s="13"/>
      <c r="H302" s="7">
        <f t="shared" si="44"/>
        <v>0</v>
      </c>
      <c r="I302" s="13"/>
      <c r="J302" s="13">
        <v>139</v>
      </c>
      <c r="K302" s="13"/>
      <c r="L302" s="13"/>
      <c r="M302" s="7">
        <f t="shared" si="46"/>
        <v>139</v>
      </c>
      <c r="N302" s="5"/>
      <c r="O302" s="80"/>
    </row>
    <row r="303" spans="1:15" ht="29.25">
      <c r="A303" s="71"/>
      <c r="B303" s="127"/>
      <c r="C303" s="18" t="s">
        <v>101</v>
      </c>
      <c r="D303" s="7">
        <v>77685</v>
      </c>
      <c r="E303" s="4"/>
      <c r="F303" s="4"/>
      <c r="G303" s="4"/>
      <c r="H303" s="7">
        <f t="shared" si="44"/>
        <v>77685</v>
      </c>
      <c r="I303" s="7">
        <v>31074</v>
      </c>
      <c r="J303" s="7"/>
      <c r="K303" s="7"/>
      <c r="L303" s="7"/>
      <c r="M303" s="7">
        <f t="shared" si="46"/>
        <v>31074</v>
      </c>
      <c r="N303" s="5">
        <f>M303/H303</f>
        <v>0.4</v>
      </c>
      <c r="O303" s="80"/>
    </row>
    <row r="304" spans="1:15" ht="9.75">
      <c r="A304" s="71"/>
      <c r="B304" s="65" t="s">
        <v>227</v>
      </c>
      <c r="C304" s="34"/>
      <c r="D304" s="6">
        <f>SUM(D303:D303)</f>
        <v>77685</v>
      </c>
      <c r="E304" s="6">
        <f>SUM(E303:E303)</f>
        <v>0</v>
      </c>
      <c r="F304" s="6">
        <f>SUM(F303:F303)</f>
        <v>0</v>
      </c>
      <c r="G304" s="6">
        <f>SUM(G303:G303)</f>
        <v>0</v>
      </c>
      <c r="H304" s="6">
        <f t="shared" si="44"/>
        <v>77685</v>
      </c>
      <c r="I304" s="6">
        <f>SUM(I302:I303)</f>
        <v>31074</v>
      </c>
      <c r="J304" s="6">
        <f>SUM(J302:J303)</f>
        <v>139</v>
      </c>
      <c r="K304" s="6">
        <f>SUM(K302:K303)</f>
        <v>0</v>
      </c>
      <c r="L304" s="6">
        <f>SUM(L302:L303)</f>
        <v>0</v>
      </c>
      <c r="M304" s="6">
        <f t="shared" si="46"/>
        <v>31213</v>
      </c>
      <c r="N304" s="28">
        <f>M304/H304</f>
        <v>0.40178927720924246</v>
      </c>
      <c r="O304" s="78"/>
    </row>
    <row r="305" spans="1:15" ht="10.5" customHeight="1">
      <c r="A305" s="71"/>
      <c r="B305" s="126" t="s">
        <v>202</v>
      </c>
      <c r="C305" s="18" t="s">
        <v>76</v>
      </c>
      <c r="D305" s="7"/>
      <c r="E305" s="4">
        <v>15505</v>
      </c>
      <c r="F305" s="4"/>
      <c r="G305" s="4"/>
      <c r="H305" s="7">
        <f t="shared" si="44"/>
        <v>15505</v>
      </c>
      <c r="I305" s="7"/>
      <c r="J305" s="7">
        <v>19887</v>
      </c>
      <c r="K305" s="7"/>
      <c r="L305" s="7"/>
      <c r="M305" s="7">
        <f t="shared" si="46"/>
        <v>19887</v>
      </c>
      <c r="N305" s="5">
        <f>M305/H305</f>
        <v>1.2826185101580136</v>
      </c>
      <c r="O305" s="80"/>
    </row>
    <row r="306" spans="1:15" ht="11.25" customHeight="1">
      <c r="A306" s="71"/>
      <c r="B306" s="128"/>
      <c r="C306" s="18" t="s">
        <v>72</v>
      </c>
      <c r="D306" s="7"/>
      <c r="E306" s="4"/>
      <c r="F306" s="4"/>
      <c r="G306" s="4"/>
      <c r="H306" s="7">
        <f t="shared" si="44"/>
        <v>0</v>
      </c>
      <c r="I306" s="7"/>
      <c r="J306" s="7">
        <v>2375</v>
      </c>
      <c r="K306" s="7"/>
      <c r="L306" s="7"/>
      <c r="M306" s="7">
        <f t="shared" si="46"/>
        <v>2375</v>
      </c>
      <c r="N306" s="5"/>
      <c r="O306" s="80"/>
    </row>
    <row r="307" spans="1:15" ht="10.5" customHeight="1">
      <c r="A307" s="71"/>
      <c r="B307" s="128"/>
      <c r="C307" s="18" t="s">
        <v>74</v>
      </c>
      <c r="D307" s="7"/>
      <c r="E307" s="4"/>
      <c r="F307" s="4"/>
      <c r="G307" s="4"/>
      <c r="H307" s="7">
        <f t="shared" si="44"/>
        <v>0</v>
      </c>
      <c r="I307" s="7"/>
      <c r="J307" s="7">
        <v>222</v>
      </c>
      <c r="K307" s="7"/>
      <c r="L307" s="7"/>
      <c r="M307" s="7">
        <f t="shared" si="46"/>
        <v>222</v>
      </c>
      <c r="N307" s="5"/>
      <c r="O307" s="80"/>
    </row>
    <row r="308" spans="1:15" ht="18" customHeight="1">
      <c r="A308" s="71"/>
      <c r="B308" s="127"/>
      <c r="C308" s="18" t="s">
        <v>204</v>
      </c>
      <c r="D308" s="7"/>
      <c r="E308" s="4"/>
      <c r="F308" s="4"/>
      <c r="G308" s="4"/>
      <c r="H308" s="7">
        <f t="shared" si="44"/>
        <v>0</v>
      </c>
      <c r="I308" s="7"/>
      <c r="J308" s="7">
        <v>151989</v>
      </c>
      <c r="K308" s="7"/>
      <c r="L308" s="7"/>
      <c r="M308" s="7">
        <f t="shared" si="46"/>
        <v>151989</v>
      </c>
      <c r="N308" s="5"/>
      <c r="O308" s="80"/>
    </row>
    <row r="309" spans="1:15" ht="9.75">
      <c r="A309" s="87"/>
      <c r="B309" s="29" t="s">
        <v>203</v>
      </c>
      <c r="C309" s="34"/>
      <c r="D309" s="6">
        <f>SUM(D305:D305)</f>
        <v>0</v>
      </c>
      <c r="E309" s="6">
        <f>SUM(E305:E305)</f>
        <v>15505</v>
      </c>
      <c r="F309" s="6">
        <f>SUM(F305:F305)</f>
        <v>0</v>
      </c>
      <c r="G309" s="6">
        <f>SUM(G305:G305)</f>
        <v>0</v>
      </c>
      <c r="H309" s="6">
        <f aca="true" t="shared" si="47" ref="H309:H318">SUM(D309:G309)</f>
        <v>15505</v>
      </c>
      <c r="I309" s="6">
        <f>SUM(I305:I308)</f>
        <v>0</v>
      </c>
      <c r="J309" s="6">
        <f>SUM(J305:J308)</f>
        <v>174473</v>
      </c>
      <c r="K309" s="6">
        <f>SUM(K305:K308)</f>
        <v>0</v>
      </c>
      <c r="L309" s="6">
        <f>SUM(L305:L308)</f>
        <v>0</v>
      </c>
      <c r="M309" s="6">
        <f t="shared" si="46"/>
        <v>174473</v>
      </c>
      <c r="N309" s="28">
        <f>M309/H309</f>
        <v>11.252692679780717</v>
      </c>
      <c r="O309" s="78"/>
    </row>
    <row r="310" spans="1:15" ht="37.5" customHeight="1">
      <c r="A310" s="71"/>
      <c r="B310" s="86" t="s">
        <v>250</v>
      </c>
      <c r="C310" s="18" t="s">
        <v>216</v>
      </c>
      <c r="D310" s="7"/>
      <c r="E310" s="4"/>
      <c r="F310" s="4"/>
      <c r="G310" s="4"/>
      <c r="H310" s="7">
        <f>SUM(D310:G310)</f>
        <v>0</v>
      </c>
      <c r="I310" s="7">
        <v>143</v>
      </c>
      <c r="J310" s="7"/>
      <c r="K310" s="7"/>
      <c r="L310" s="7"/>
      <c r="M310" s="7">
        <f>SUM(I310:L310)</f>
        <v>143</v>
      </c>
      <c r="N310" s="8"/>
      <c r="O310" s="80"/>
    </row>
    <row r="311" spans="1:15" ht="9.75">
      <c r="A311" s="74"/>
      <c r="B311" s="46" t="s">
        <v>251</v>
      </c>
      <c r="C311" s="34"/>
      <c r="D311" s="6">
        <f>SUM(D310)</f>
        <v>0</v>
      </c>
      <c r="E311" s="6">
        <f>SUM(E310)</f>
        <v>0</v>
      </c>
      <c r="F311" s="6">
        <f>SUM(F310)</f>
        <v>0</v>
      </c>
      <c r="G311" s="6">
        <f>SUM(G310)</f>
        <v>0</v>
      </c>
      <c r="H311" s="6">
        <f>SUM(D311:G311)</f>
        <v>0</v>
      </c>
      <c r="I311" s="6">
        <f>SUM(I310:I310)</f>
        <v>143</v>
      </c>
      <c r="J311" s="6">
        <f>SUM(J310:J310)</f>
        <v>0</v>
      </c>
      <c r="K311" s="6">
        <f>SUM(K310:K310)</f>
        <v>0</v>
      </c>
      <c r="L311" s="6">
        <f>SUM(L310:L310)</f>
        <v>0</v>
      </c>
      <c r="M311" s="6">
        <f>SUM(I311:L311)</f>
        <v>143</v>
      </c>
      <c r="N311" s="28"/>
      <c r="O311" s="78"/>
    </row>
    <row r="312" spans="1:15" ht="13.5" customHeight="1">
      <c r="A312" s="75" t="s">
        <v>53</v>
      </c>
      <c r="B312" s="26"/>
      <c r="C312" s="24"/>
      <c r="D312" s="25">
        <f>SUM(D311,D309,D304,D275,D282,D286,D290,D296,D301)</f>
        <v>2141431</v>
      </c>
      <c r="E312" s="25">
        <f>SUM(E311,E309,E304,E275,E282,E286,E290,E296,E301)</f>
        <v>362576</v>
      </c>
      <c r="F312" s="25">
        <f>SUM(F311,F309,F304,F275,F282,F286,F290,F296,F301)</f>
        <v>0</v>
      </c>
      <c r="G312" s="25">
        <f>SUM(G311,G309,G304,G275,G282,G286,G290,G296,G301)</f>
        <v>0</v>
      </c>
      <c r="H312" s="25">
        <f t="shared" si="47"/>
        <v>2504007</v>
      </c>
      <c r="I312" s="25">
        <f>SUM(I311,I309,I304,I275,I282,I286,I290,I296,I301)</f>
        <v>951035</v>
      </c>
      <c r="J312" s="25">
        <f>SUM(J311,J309,J304,J275,J282,J286,J290,J296,J301)</f>
        <v>519347</v>
      </c>
      <c r="K312" s="25">
        <f>SUM(K311,K309,K304,K275,K282,K286,K290,K296,K301)</f>
        <v>0</v>
      </c>
      <c r="L312" s="25">
        <f>SUM(L311,L309,L304,L275,L282,L286,L290,L296,L301)</f>
        <v>0</v>
      </c>
      <c r="M312" s="25">
        <f t="shared" si="46"/>
        <v>1470382</v>
      </c>
      <c r="N312" s="30">
        <f>M312/H312</f>
        <v>0.5872116172199199</v>
      </c>
      <c r="O312" s="78"/>
    </row>
    <row r="313" spans="1:15" ht="17.25" customHeight="1">
      <c r="A313" s="114" t="s">
        <v>54</v>
      </c>
      <c r="B313" s="45" t="s">
        <v>228</v>
      </c>
      <c r="C313" s="18" t="s">
        <v>74</v>
      </c>
      <c r="D313" s="4"/>
      <c r="E313" s="4"/>
      <c r="F313" s="4"/>
      <c r="G313" s="4"/>
      <c r="H313" s="7">
        <f t="shared" si="47"/>
        <v>0</v>
      </c>
      <c r="I313" s="7">
        <v>118</v>
      </c>
      <c r="J313" s="7"/>
      <c r="K313" s="7"/>
      <c r="L313" s="7"/>
      <c r="M313" s="7">
        <f t="shared" si="46"/>
        <v>118</v>
      </c>
      <c r="N313" s="8"/>
      <c r="O313" s="78"/>
    </row>
    <row r="314" spans="1:15" ht="9" customHeight="1">
      <c r="A314" s="115"/>
      <c r="B314" s="46" t="s">
        <v>228</v>
      </c>
      <c r="C314" s="29"/>
      <c r="D314" s="6">
        <f>SUM(D313)</f>
        <v>0</v>
      </c>
      <c r="E314" s="6">
        <f>SUM(E313)</f>
        <v>0</v>
      </c>
      <c r="F314" s="6">
        <f>SUM(F313)</f>
        <v>0</v>
      </c>
      <c r="G314" s="6">
        <f>SUM(G313)</f>
        <v>0</v>
      </c>
      <c r="H314" s="6">
        <f t="shared" si="47"/>
        <v>0</v>
      </c>
      <c r="I314" s="6">
        <f>SUM(I313)</f>
        <v>118</v>
      </c>
      <c r="J314" s="6">
        <f>SUM(J313)</f>
        <v>0</v>
      </c>
      <c r="K314" s="6">
        <f>SUM(K313)</f>
        <v>0</v>
      </c>
      <c r="L314" s="6">
        <f>SUM(L313)</f>
        <v>0</v>
      </c>
      <c r="M314" s="6">
        <f t="shared" si="46"/>
        <v>118</v>
      </c>
      <c r="N314" s="28"/>
      <c r="O314" s="78"/>
    </row>
    <row r="315" spans="1:15" ht="19.5">
      <c r="A315" s="115"/>
      <c r="B315" s="45" t="s">
        <v>229</v>
      </c>
      <c r="C315" s="27" t="s">
        <v>194</v>
      </c>
      <c r="D315" s="4"/>
      <c r="E315" s="4"/>
      <c r="F315" s="4"/>
      <c r="G315" s="4"/>
      <c r="H315" s="7">
        <f t="shared" si="47"/>
        <v>0</v>
      </c>
      <c r="I315" s="7">
        <v>23090</v>
      </c>
      <c r="J315" s="7"/>
      <c r="K315" s="7"/>
      <c r="L315" s="7"/>
      <c r="M315" s="7">
        <f t="shared" si="46"/>
        <v>23090</v>
      </c>
      <c r="N315" s="8"/>
      <c r="O315" s="78"/>
    </row>
    <row r="316" spans="1:15" ht="9.75">
      <c r="A316" s="115"/>
      <c r="B316" s="46" t="s">
        <v>230</v>
      </c>
      <c r="C316" s="29"/>
      <c r="D316" s="6">
        <f>SUM(D315)</f>
        <v>0</v>
      </c>
      <c r="E316" s="6">
        <f>SUM(E315)</f>
        <v>0</v>
      </c>
      <c r="F316" s="6">
        <f>SUM(F315)</f>
        <v>0</v>
      </c>
      <c r="G316" s="6">
        <f>SUM(G315)</f>
        <v>0</v>
      </c>
      <c r="H316" s="6">
        <f t="shared" si="47"/>
        <v>0</v>
      </c>
      <c r="I316" s="6">
        <f>SUM(I315)</f>
        <v>23090</v>
      </c>
      <c r="J316" s="6">
        <f>SUM(J315)</f>
        <v>0</v>
      </c>
      <c r="K316" s="6">
        <f>SUM(K315)</f>
        <v>0</v>
      </c>
      <c r="L316" s="6">
        <f>SUM(L315)</f>
        <v>0</v>
      </c>
      <c r="M316" s="6">
        <f t="shared" si="46"/>
        <v>23090</v>
      </c>
      <c r="N316" s="28"/>
      <c r="O316" s="78"/>
    </row>
    <row r="317" spans="1:15" ht="48.75" customHeight="1">
      <c r="A317" s="115"/>
      <c r="B317" s="129" t="s">
        <v>61</v>
      </c>
      <c r="C317" s="18" t="s">
        <v>104</v>
      </c>
      <c r="D317" s="4">
        <v>36690</v>
      </c>
      <c r="E317" s="4"/>
      <c r="F317" s="4"/>
      <c r="G317" s="4"/>
      <c r="H317" s="7">
        <f t="shared" si="47"/>
        <v>36690</v>
      </c>
      <c r="I317" s="7">
        <v>9233</v>
      </c>
      <c r="J317" s="7"/>
      <c r="K317" s="7"/>
      <c r="L317" s="7"/>
      <c r="M317" s="7">
        <f t="shared" si="46"/>
        <v>9233</v>
      </c>
      <c r="N317" s="5">
        <f>M317/H317</f>
        <v>0.2516489506677569</v>
      </c>
      <c r="O317" s="78"/>
    </row>
    <row r="318" spans="1:15" ht="9.75">
      <c r="A318" s="115"/>
      <c r="B318" s="129"/>
      <c r="C318" s="18" t="s">
        <v>72</v>
      </c>
      <c r="D318" s="4"/>
      <c r="E318" s="4"/>
      <c r="F318" s="4"/>
      <c r="G318" s="4"/>
      <c r="H318" s="7">
        <f t="shared" si="47"/>
        <v>0</v>
      </c>
      <c r="I318" s="7">
        <v>5</v>
      </c>
      <c r="J318" s="7"/>
      <c r="K318" s="7"/>
      <c r="L318" s="7"/>
      <c r="M318" s="7">
        <f t="shared" si="46"/>
        <v>5</v>
      </c>
      <c r="N318" s="5"/>
      <c r="O318" s="78"/>
    </row>
    <row r="319" spans="1:15" ht="9.75">
      <c r="A319" s="115"/>
      <c r="B319" s="46" t="s">
        <v>184</v>
      </c>
      <c r="C319" s="29"/>
      <c r="D319" s="6">
        <f>SUM(D317)</f>
        <v>36690</v>
      </c>
      <c r="E319" s="6">
        <f>SUM(E317)</f>
        <v>0</v>
      </c>
      <c r="F319" s="6">
        <f>SUM(F317)</f>
        <v>0</v>
      </c>
      <c r="G319" s="6">
        <f>SUM(G317)</f>
        <v>0</v>
      </c>
      <c r="H319" s="6">
        <f>SUM(D319:G319)</f>
        <v>36690</v>
      </c>
      <c r="I319" s="6">
        <f>SUM(I317:I318)</f>
        <v>9238</v>
      </c>
      <c r="J319" s="6">
        <f>SUM(J317:J318)</f>
        <v>0</v>
      </c>
      <c r="K319" s="6">
        <f>SUM(K317:K318)</f>
        <v>0</v>
      </c>
      <c r="L319" s="6">
        <f>SUM(L317:L318)</f>
        <v>0</v>
      </c>
      <c r="M319" s="6">
        <f t="shared" si="46"/>
        <v>9238</v>
      </c>
      <c r="N319" s="28">
        <f>M319/H319</f>
        <v>0.25178522758244753</v>
      </c>
      <c r="O319" s="78"/>
    </row>
    <row r="320" spans="1:15" ht="48.75">
      <c r="A320" s="115"/>
      <c r="B320" s="129" t="s">
        <v>55</v>
      </c>
      <c r="C320" s="18" t="s">
        <v>102</v>
      </c>
      <c r="D320" s="4">
        <f>1741588-300000</f>
        <v>1441588</v>
      </c>
      <c r="E320" s="4"/>
      <c r="F320" s="4"/>
      <c r="G320" s="4"/>
      <c r="H320" s="7">
        <f>SUM(D320:G320)</f>
        <v>1441588</v>
      </c>
      <c r="I320" s="7">
        <v>1441588</v>
      </c>
      <c r="J320" s="7"/>
      <c r="K320" s="7"/>
      <c r="L320" s="7"/>
      <c r="M320" s="7">
        <f t="shared" si="46"/>
        <v>1441588</v>
      </c>
      <c r="N320" s="5">
        <f>M320/H320</f>
        <v>1</v>
      </c>
      <c r="O320" s="78"/>
    </row>
    <row r="321" spans="1:15" ht="39.75" customHeight="1">
      <c r="A321" s="115"/>
      <c r="B321" s="129"/>
      <c r="C321" s="18" t="s">
        <v>79</v>
      </c>
      <c r="D321" s="4"/>
      <c r="E321" s="4"/>
      <c r="F321" s="4"/>
      <c r="G321" s="4"/>
      <c r="H321" s="7">
        <f>SUM(D321:G321)</f>
        <v>0</v>
      </c>
      <c r="I321" s="7">
        <v>177596</v>
      </c>
      <c r="J321" s="7"/>
      <c r="K321" s="7"/>
      <c r="L321" s="7"/>
      <c r="M321" s="7">
        <f t="shared" si="46"/>
        <v>177596</v>
      </c>
      <c r="N321" s="5"/>
      <c r="O321" s="78"/>
    </row>
    <row r="322" spans="1:15" ht="9.75">
      <c r="A322" s="125"/>
      <c r="B322" s="67" t="s">
        <v>185</v>
      </c>
      <c r="C322" s="34"/>
      <c r="D322" s="6">
        <f>SUM(D320)</f>
        <v>1441588</v>
      </c>
      <c r="E322" s="6">
        <f>SUM(E320)</f>
        <v>0</v>
      </c>
      <c r="F322" s="6">
        <f>SUM(F320)</f>
        <v>0</v>
      </c>
      <c r="G322" s="6">
        <f>SUM(G320)</f>
        <v>0</v>
      </c>
      <c r="H322" s="6">
        <f aca="true" t="shared" si="48" ref="H322:H329">SUM(D322:G322)</f>
        <v>1441588</v>
      </c>
      <c r="I322" s="6">
        <f>SUM(I320:I321)</f>
        <v>1619184</v>
      </c>
      <c r="J322" s="6">
        <f>SUM(J320:J321)</f>
        <v>0</v>
      </c>
      <c r="K322" s="6">
        <f>SUM(K320:K321)</f>
        <v>0</v>
      </c>
      <c r="L322" s="6">
        <f>SUM(L320:L321)</f>
        <v>0</v>
      </c>
      <c r="M322" s="6">
        <f t="shared" si="46"/>
        <v>1619184</v>
      </c>
      <c r="N322" s="28">
        <f>M322/H322</f>
        <v>1.123194699178961</v>
      </c>
      <c r="O322" s="80"/>
    </row>
    <row r="323" spans="1:15" ht="11.25">
      <c r="A323" s="75" t="s">
        <v>56</v>
      </c>
      <c r="B323" s="36"/>
      <c r="C323" s="24"/>
      <c r="D323" s="25">
        <f>SUM(D322,D319)</f>
        <v>1478278</v>
      </c>
      <c r="E323" s="25">
        <f>SUM(E322,E319)</f>
        <v>0</v>
      </c>
      <c r="F323" s="25">
        <f>SUM(F322,F319)</f>
        <v>0</v>
      </c>
      <c r="G323" s="25">
        <f>SUM(G322,G319)</f>
        <v>0</v>
      </c>
      <c r="H323" s="25">
        <f t="shared" si="48"/>
        <v>1478278</v>
      </c>
      <c r="I323" s="25">
        <f>SUM(I322,I319,I316,I314)</f>
        <v>1651630</v>
      </c>
      <c r="J323" s="25">
        <f>SUM(J322,J319,J316,J314)</f>
        <v>0</v>
      </c>
      <c r="K323" s="25">
        <f>SUM(K322,K319,K316,K314)</f>
        <v>0</v>
      </c>
      <c r="L323" s="25">
        <f>SUM(L322,L319,L316,L314)</f>
        <v>0</v>
      </c>
      <c r="M323" s="25">
        <f t="shared" si="46"/>
        <v>1651630</v>
      </c>
      <c r="N323" s="30">
        <f>M323/H323</f>
        <v>1.117266170503789</v>
      </c>
      <c r="O323" s="78"/>
    </row>
    <row r="324" spans="1:15" ht="39">
      <c r="A324" s="114" t="s">
        <v>231</v>
      </c>
      <c r="B324" s="66" t="s">
        <v>232</v>
      </c>
      <c r="C324" s="18" t="s">
        <v>216</v>
      </c>
      <c r="D324" s="4"/>
      <c r="E324" s="4"/>
      <c r="F324" s="4"/>
      <c r="G324" s="4"/>
      <c r="H324" s="7">
        <f t="shared" si="48"/>
        <v>0</v>
      </c>
      <c r="I324" s="7">
        <v>464</v>
      </c>
      <c r="J324" s="7"/>
      <c r="K324" s="7"/>
      <c r="L324" s="7"/>
      <c r="M324" s="7">
        <f t="shared" si="46"/>
        <v>464</v>
      </c>
      <c r="N324" s="5"/>
      <c r="O324" s="78"/>
    </row>
    <row r="325" spans="1:15" ht="9.75">
      <c r="A325" s="125"/>
      <c r="B325" s="67" t="s">
        <v>232</v>
      </c>
      <c r="C325" s="34"/>
      <c r="D325" s="6">
        <f>SUM(D324)</f>
        <v>0</v>
      </c>
      <c r="E325" s="6">
        <f>SUM(E324)</f>
        <v>0</v>
      </c>
      <c r="F325" s="6">
        <f>SUM(F324)</f>
        <v>0</v>
      </c>
      <c r="G325" s="6">
        <f>SUM(G324)</f>
        <v>0</v>
      </c>
      <c r="H325" s="6">
        <f t="shared" si="48"/>
        <v>0</v>
      </c>
      <c r="I325" s="6">
        <f>SUM(I324:I324)</f>
        <v>464</v>
      </c>
      <c r="J325" s="6">
        <f>SUM(J324:J324)</f>
        <v>0</v>
      </c>
      <c r="K325" s="6">
        <f>SUM(K324:K324)</f>
        <v>0</v>
      </c>
      <c r="L325" s="6">
        <f>SUM(L324:L324)</f>
        <v>0</v>
      </c>
      <c r="M325" s="6">
        <f t="shared" si="46"/>
        <v>464</v>
      </c>
      <c r="N325" s="28"/>
      <c r="O325" s="78"/>
    </row>
    <row r="326" spans="1:15" ht="11.25">
      <c r="A326" s="76" t="s">
        <v>231</v>
      </c>
      <c r="B326" s="36"/>
      <c r="C326" s="24"/>
      <c r="D326" s="25">
        <f>SUM(D325)</f>
        <v>0</v>
      </c>
      <c r="E326" s="25">
        <f>SUM(E325,E323)</f>
        <v>0</v>
      </c>
      <c r="F326" s="25">
        <f>SUM(F325,F323)</f>
        <v>0</v>
      </c>
      <c r="G326" s="25">
        <f>SUM(G325,G323)</f>
        <v>0</v>
      </c>
      <c r="H326" s="25">
        <f t="shared" si="48"/>
        <v>0</v>
      </c>
      <c r="I326" s="25">
        <f>SUM(I325)</f>
        <v>464</v>
      </c>
      <c r="J326" s="25">
        <f>SUM(J325)</f>
        <v>0</v>
      </c>
      <c r="K326" s="25">
        <f>SUM(K325)</f>
        <v>0</v>
      </c>
      <c r="L326" s="25">
        <f>SUM(L325)</f>
        <v>0</v>
      </c>
      <c r="M326" s="25">
        <f t="shared" si="46"/>
        <v>464</v>
      </c>
      <c r="N326" s="30"/>
      <c r="O326" s="78"/>
    </row>
    <row r="327" spans="1:15" ht="9.75">
      <c r="A327" s="114" t="s">
        <v>59</v>
      </c>
      <c r="B327" s="120" t="s">
        <v>67</v>
      </c>
      <c r="C327" s="18" t="s">
        <v>71</v>
      </c>
      <c r="D327" s="4">
        <v>100000</v>
      </c>
      <c r="E327" s="4"/>
      <c r="F327" s="4"/>
      <c r="G327" s="4"/>
      <c r="H327" s="7">
        <f t="shared" si="48"/>
        <v>100000</v>
      </c>
      <c r="I327" s="7">
        <v>85072</v>
      </c>
      <c r="J327" s="7"/>
      <c r="K327" s="7"/>
      <c r="L327" s="7"/>
      <c r="M327" s="7">
        <f t="shared" si="46"/>
        <v>85072</v>
      </c>
      <c r="N327" s="5">
        <f>M327/H327</f>
        <v>0.85072</v>
      </c>
      <c r="O327" s="78"/>
    </row>
    <row r="328" spans="1:15" ht="9.75">
      <c r="A328" s="115"/>
      <c r="B328" s="121"/>
      <c r="C328" s="18" t="s">
        <v>72</v>
      </c>
      <c r="D328" s="4"/>
      <c r="E328" s="4"/>
      <c r="F328" s="4"/>
      <c r="G328" s="4"/>
      <c r="H328" s="7">
        <f t="shared" si="48"/>
        <v>0</v>
      </c>
      <c r="I328" s="7">
        <v>314</v>
      </c>
      <c r="J328" s="7"/>
      <c r="K328" s="7"/>
      <c r="L328" s="7"/>
      <c r="M328" s="7">
        <f t="shared" si="46"/>
        <v>314</v>
      </c>
      <c r="N328" s="5"/>
      <c r="O328" s="78"/>
    </row>
    <row r="329" spans="1:15" ht="9.75">
      <c r="A329" s="115"/>
      <c r="B329" s="122"/>
      <c r="C329" s="18" t="s">
        <v>74</v>
      </c>
      <c r="D329" s="4"/>
      <c r="E329" s="4"/>
      <c r="F329" s="4"/>
      <c r="G329" s="4"/>
      <c r="H329" s="7">
        <f t="shared" si="48"/>
        <v>0</v>
      </c>
      <c r="I329" s="7">
        <v>163</v>
      </c>
      <c r="J329" s="7"/>
      <c r="K329" s="7"/>
      <c r="L329" s="7"/>
      <c r="M329" s="7">
        <f t="shared" si="46"/>
        <v>163</v>
      </c>
      <c r="N329" s="5"/>
      <c r="O329" s="78"/>
    </row>
    <row r="330" spans="1:15" ht="9.75">
      <c r="A330" s="125"/>
      <c r="B330" s="46" t="s">
        <v>186</v>
      </c>
      <c r="C330" s="29"/>
      <c r="D330" s="6">
        <f>SUM(D327)</f>
        <v>100000</v>
      </c>
      <c r="E330" s="6">
        <f>SUM(E327)</f>
        <v>0</v>
      </c>
      <c r="F330" s="6">
        <f>SUM(F327)</f>
        <v>0</v>
      </c>
      <c r="G330" s="6">
        <f>SUM(G327)</f>
        <v>0</v>
      </c>
      <c r="H330" s="6">
        <f aca="true" t="shared" si="49" ref="H330:H337">SUM(D330:G330)</f>
        <v>100000</v>
      </c>
      <c r="I330" s="6">
        <f>SUM(I327:I329)</f>
        <v>85549</v>
      </c>
      <c r="J330" s="6">
        <f>SUM(J327:J329)</f>
        <v>0</v>
      </c>
      <c r="K330" s="6">
        <f>SUM(K327:K329)</f>
        <v>0</v>
      </c>
      <c r="L330" s="6">
        <f>SUM(L327:L329)</f>
        <v>0</v>
      </c>
      <c r="M330" s="6">
        <f aca="true" t="shared" si="50" ref="M330:M336">SUM(I330:L330)</f>
        <v>85549</v>
      </c>
      <c r="N330" s="28">
        <f>M330/H330</f>
        <v>0.85549</v>
      </c>
      <c r="O330" s="78"/>
    </row>
    <row r="331" spans="1:15" ht="9.75">
      <c r="A331" s="114" t="s">
        <v>59</v>
      </c>
      <c r="B331" s="120" t="s">
        <v>233</v>
      </c>
      <c r="C331" s="18" t="s">
        <v>71</v>
      </c>
      <c r="D331" s="4">
        <v>100000</v>
      </c>
      <c r="E331" s="4"/>
      <c r="F331" s="4"/>
      <c r="G331" s="4"/>
      <c r="H331" s="7">
        <f t="shared" si="49"/>
        <v>100000</v>
      </c>
      <c r="I331" s="7"/>
      <c r="J331" s="7"/>
      <c r="K331" s="7"/>
      <c r="L331" s="7"/>
      <c r="M331" s="7">
        <f t="shared" si="50"/>
        <v>0</v>
      </c>
      <c r="N331" s="5">
        <f>M331/H331</f>
        <v>0</v>
      </c>
      <c r="O331" s="78"/>
    </row>
    <row r="332" spans="1:15" ht="48" customHeight="1">
      <c r="A332" s="115"/>
      <c r="B332" s="121"/>
      <c r="C332" s="18" t="s">
        <v>104</v>
      </c>
      <c r="D332" s="4"/>
      <c r="E332" s="4"/>
      <c r="F332" s="4"/>
      <c r="G332" s="4"/>
      <c r="H332" s="7">
        <f t="shared" si="49"/>
        <v>0</v>
      </c>
      <c r="I332" s="7">
        <v>99777</v>
      </c>
      <c r="J332" s="7"/>
      <c r="K332" s="7"/>
      <c r="L332" s="7"/>
      <c r="M332" s="7">
        <f t="shared" si="50"/>
        <v>99777</v>
      </c>
      <c r="N332" s="5"/>
      <c r="O332" s="78"/>
    </row>
    <row r="333" spans="1:15" ht="9.75">
      <c r="A333" s="115"/>
      <c r="B333" s="27"/>
      <c r="C333" s="18" t="s">
        <v>72</v>
      </c>
      <c r="D333" s="4"/>
      <c r="E333" s="4"/>
      <c r="F333" s="4"/>
      <c r="G333" s="4"/>
      <c r="H333" s="7">
        <f t="shared" si="49"/>
        <v>0</v>
      </c>
      <c r="I333" s="7">
        <v>4705</v>
      </c>
      <c r="J333" s="7"/>
      <c r="K333" s="7"/>
      <c r="L333" s="7"/>
      <c r="M333" s="7">
        <f t="shared" si="50"/>
        <v>4705</v>
      </c>
      <c r="N333" s="5"/>
      <c r="O333" s="78"/>
    </row>
    <row r="334" spans="1:15" ht="9.75">
      <c r="A334" s="115"/>
      <c r="B334" s="27"/>
      <c r="C334" s="18" t="s">
        <v>74</v>
      </c>
      <c r="D334" s="4"/>
      <c r="E334" s="4"/>
      <c r="F334" s="4"/>
      <c r="G334" s="4"/>
      <c r="H334" s="7">
        <f t="shared" si="49"/>
        <v>0</v>
      </c>
      <c r="I334" s="7">
        <v>76</v>
      </c>
      <c r="J334" s="7"/>
      <c r="K334" s="7"/>
      <c r="L334" s="7"/>
      <c r="M334" s="7">
        <f t="shared" si="50"/>
        <v>76</v>
      </c>
      <c r="N334" s="5"/>
      <c r="O334" s="78"/>
    </row>
    <row r="335" spans="1:15" ht="19.5">
      <c r="A335" s="115"/>
      <c r="B335" s="17"/>
      <c r="C335" s="18" t="s">
        <v>204</v>
      </c>
      <c r="D335" s="4"/>
      <c r="E335" s="4"/>
      <c r="F335" s="4"/>
      <c r="G335" s="4"/>
      <c r="H335" s="7">
        <f t="shared" si="49"/>
        <v>0</v>
      </c>
      <c r="I335" s="7">
        <v>18333</v>
      </c>
      <c r="J335" s="7"/>
      <c r="K335" s="7"/>
      <c r="L335" s="7"/>
      <c r="M335" s="7">
        <f t="shared" si="50"/>
        <v>18333</v>
      </c>
      <c r="N335" s="5"/>
      <c r="O335" s="78"/>
    </row>
    <row r="336" spans="1:15" ht="9.75">
      <c r="A336" s="125"/>
      <c r="B336" s="46" t="s">
        <v>234</v>
      </c>
      <c r="C336" s="29"/>
      <c r="D336" s="6">
        <f>SUM(D331)</f>
        <v>100000</v>
      </c>
      <c r="E336" s="6">
        <f>SUM(E331)</f>
        <v>0</v>
      </c>
      <c r="F336" s="6">
        <f>SUM(F331)</f>
        <v>0</v>
      </c>
      <c r="G336" s="6">
        <f>SUM(G331)</f>
        <v>0</v>
      </c>
      <c r="H336" s="6">
        <f t="shared" si="49"/>
        <v>100000</v>
      </c>
      <c r="I336" s="6">
        <f>SUM(I331:I335)</f>
        <v>122891</v>
      </c>
      <c r="J336" s="6">
        <f>SUM(J331:J335)</f>
        <v>0</v>
      </c>
      <c r="K336" s="6">
        <f>SUM(K331:K335)</f>
        <v>0</v>
      </c>
      <c r="L336" s="6">
        <f>SUM(L331:L335)</f>
        <v>0</v>
      </c>
      <c r="M336" s="6">
        <f t="shared" si="50"/>
        <v>122891</v>
      </c>
      <c r="N336" s="28">
        <f>M336/H336</f>
        <v>1.22891</v>
      </c>
      <c r="O336" s="78"/>
    </row>
    <row r="337" spans="1:15" ht="11.25">
      <c r="A337" s="75" t="s">
        <v>60</v>
      </c>
      <c r="B337" s="41"/>
      <c r="C337" s="42"/>
      <c r="D337" s="25">
        <f>SUM(D330)</f>
        <v>100000</v>
      </c>
      <c r="E337" s="25">
        <f>SUM(E330)</f>
        <v>0</v>
      </c>
      <c r="F337" s="25">
        <f>SUM(F330)</f>
        <v>0</v>
      </c>
      <c r="G337" s="25">
        <f>SUM(G330)</f>
        <v>0</v>
      </c>
      <c r="H337" s="25">
        <f t="shared" si="49"/>
        <v>100000</v>
      </c>
      <c r="I337" s="25">
        <f>SUM(I330,I336)</f>
        <v>208440</v>
      </c>
      <c r="J337" s="25">
        <f>SUM(J330,J336)</f>
        <v>0</v>
      </c>
      <c r="K337" s="25">
        <f>SUM(K330,K336)</f>
        <v>0</v>
      </c>
      <c r="L337" s="25">
        <f>SUM(L330,L336)</f>
        <v>0</v>
      </c>
      <c r="M337" s="25">
        <f>SUM(M330,M336)</f>
        <v>208440</v>
      </c>
      <c r="N337" s="30">
        <f>M337/H337</f>
        <v>2.0844</v>
      </c>
      <c r="O337" s="78"/>
    </row>
    <row r="338" spans="1:15" ht="11.25">
      <c r="A338" s="77" t="s">
        <v>7</v>
      </c>
      <c r="B338" s="43"/>
      <c r="C338" s="44"/>
      <c r="D338" s="12">
        <f aca="true" t="shared" si="51" ref="D338:M338">SUM(D24,D38,D60,D80,D83,D92,D127,D138,D197,D213,D257,D270,D312,D323,D326,D337)</f>
        <v>455335791</v>
      </c>
      <c r="E338" s="12">
        <f t="shared" si="51"/>
        <v>125401085</v>
      </c>
      <c r="F338" s="12">
        <f t="shared" si="51"/>
        <v>39688810</v>
      </c>
      <c r="G338" s="12">
        <f t="shared" si="51"/>
        <v>11376500</v>
      </c>
      <c r="H338" s="12">
        <f t="shared" si="51"/>
        <v>631802186</v>
      </c>
      <c r="I338" s="12">
        <f t="shared" si="51"/>
        <v>165659897</v>
      </c>
      <c r="J338" s="12">
        <f t="shared" si="51"/>
        <v>46250748</v>
      </c>
      <c r="K338" s="12">
        <f t="shared" si="51"/>
        <v>12769019</v>
      </c>
      <c r="L338" s="12">
        <f t="shared" si="51"/>
        <v>4589201</v>
      </c>
      <c r="M338" s="12">
        <f t="shared" si="51"/>
        <v>229268865</v>
      </c>
      <c r="N338" s="5">
        <f>M338/H338</f>
        <v>0.3628807719889719</v>
      </c>
      <c r="O338" s="78"/>
    </row>
    <row r="339" ht="0.75" customHeight="1"/>
    <row r="340" ht="14.25" customHeight="1">
      <c r="D340" s="32"/>
    </row>
    <row r="341" spans="3:13" ht="22.5">
      <c r="C341" s="52" t="s">
        <v>238</v>
      </c>
      <c r="D341" s="57" t="s">
        <v>246</v>
      </c>
      <c r="E341" s="57" t="s">
        <v>239</v>
      </c>
      <c r="F341" s="57" t="s">
        <v>240</v>
      </c>
      <c r="M341" s="84">
        <v>173783999</v>
      </c>
    </row>
    <row r="342" spans="3:13" ht="12">
      <c r="C342" s="58" t="s">
        <v>241</v>
      </c>
      <c r="D342" s="12">
        <f>SUM(D343:D345)</f>
        <v>84753193</v>
      </c>
      <c r="E342" s="12">
        <f>SUM(E343:E345)</f>
        <v>14789465</v>
      </c>
      <c r="F342" s="59">
        <f>E342/D342*100</f>
        <v>17.450038725974608</v>
      </c>
      <c r="M342" s="85">
        <f>M338-M341</f>
        <v>55484866</v>
      </c>
    </row>
    <row r="343" spans="3:6" ht="11.25">
      <c r="C343" s="60" t="s">
        <v>242</v>
      </c>
      <c r="D343" s="61">
        <v>14753193</v>
      </c>
      <c r="E343" s="61">
        <v>14753193</v>
      </c>
      <c r="F343" s="59">
        <f>E343/D343*100</f>
        <v>100</v>
      </c>
    </row>
    <row r="344" spans="3:6" ht="11.25">
      <c r="C344" s="60" t="s">
        <v>243</v>
      </c>
      <c r="D344" s="61">
        <v>70000000</v>
      </c>
      <c r="E344" s="61"/>
      <c r="F344" s="59">
        <f>E344/D344*100</f>
        <v>0</v>
      </c>
    </row>
    <row r="345" spans="3:6" ht="11.25">
      <c r="C345" s="60" t="s">
        <v>244</v>
      </c>
      <c r="D345" s="61"/>
      <c r="E345" s="61">
        <v>36272</v>
      </c>
      <c r="F345" s="59"/>
    </row>
    <row r="346" spans="3:6" ht="12">
      <c r="C346" s="58" t="s">
        <v>245</v>
      </c>
      <c r="D346" s="12">
        <f>SUM(H338,D342)</f>
        <v>716555379</v>
      </c>
      <c r="E346" s="12">
        <f>SUM(E342,M338)</f>
        <v>244058330</v>
      </c>
      <c r="F346" s="59">
        <f>E346/D346*100</f>
        <v>34.05993969937109</v>
      </c>
    </row>
  </sheetData>
  <mergeCells count="68">
    <mergeCell ref="A214:A217"/>
    <mergeCell ref="A84:A91"/>
    <mergeCell ref="B84:B87"/>
    <mergeCell ref="B146:B149"/>
    <mergeCell ref="B165:B170"/>
    <mergeCell ref="A93:A101"/>
    <mergeCell ref="B93:B94"/>
    <mergeCell ref="B96:B101"/>
    <mergeCell ref="B188:B191"/>
    <mergeCell ref="B172:B179"/>
    <mergeCell ref="A324:A325"/>
    <mergeCell ref="B327:B329"/>
    <mergeCell ref="A327:A330"/>
    <mergeCell ref="A331:A336"/>
    <mergeCell ref="B331:B332"/>
    <mergeCell ref="B302:B303"/>
    <mergeCell ref="B305:B308"/>
    <mergeCell ref="B317:B318"/>
    <mergeCell ref="B320:B321"/>
    <mergeCell ref="B271:B274"/>
    <mergeCell ref="B297:B300"/>
    <mergeCell ref="B276:B281"/>
    <mergeCell ref="B287:B289"/>
    <mergeCell ref="B291:B295"/>
    <mergeCell ref="B283:B285"/>
    <mergeCell ref="A258:A269"/>
    <mergeCell ref="B258:B259"/>
    <mergeCell ref="B263:B264"/>
    <mergeCell ref="B266:B268"/>
    <mergeCell ref="A1:N1"/>
    <mergeCell ref="A4:A7"/>
    <mergeCell ref="I2:M2"/>
    <mergeCell ref="D2:H2"/>
    <mergeCell ref="B4:B8"/>
    <mergeCell ref="B11:B17"/>
    <mergeCell ref="B19:B22"/>
    <mergeCell ref="B139:B144"/>
    <mergeCell ref="B89:B90"/>
    <mergeCell ref="B116:B119"/>
    <mergeCell ref="B121:B122"/>
    <mergeCell ref="B124:B125"/>
    <mergeCell ref="A81:A82"/>
    <mergeCell ref="B35:B36"/>
    <mergeCell ref="B50:B52"/>
    <mergeCell ref="B75:B78"/>
    <mergeCell ref="B46:B48"/>
    <mergeCell ref="B54:B58"/>
    <mergeCell ref="B65:B66"/>
    <mergeCell ref="A291:A296"/>
    <mergeCell ref="A313:A322"/>
    <mergeCell ref="B219:B223"/>
    <mergeCell ref="B242:B243"/>
    <mergeCell ref="B232:B234"/>
    <mergeCell ref="B238:B240"/>
    <mergeCell ref="B229:B230"/>
    <mergeCell ref="B225:B227"/>
    <mergeCell ref="B249:B252"/>
    <mergeCell ref="B254:B255"/>
    <mergeCell ref="B151:B155"/>
    <mergeCell ref="B103:B114"/>
    <mergeCell ref="B181:B184"/>
    <mergeCell ref="A271:A290"/>
    <mergeCell ref="B157:B163"/>
    <mergeCell ref="B245:B247"/>
    <mergeCell ref="B214:B215"/>
    <mergeCell ref="B198:B199"/>
    <mergeCell ref="B203:B204"/>
    <mergeCell ref="B208:B209"/>
  </mergeCells>
  <printOptions/>
  <pageMargins left="0.39" right="0.14" top="0.3" bottom="0.4724409448818898" header="0.18" footer="0.31496062992125984"/>
  <pageSetup horizontalDpi="300" verticalDpi="300" orientation="landscape" paperSize="9" r:id="rId1"/>
  <headerFooter alignWithMargins="0">
    <oddFooter>&amp;C&amp;P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8"/>
  <sheetViews>
    <sheetView workbookViewId="0" topLeftCell="A1">
      <pane xSplit="3" ySplit="3" topLeftCell="D3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1:D16384"/>
    </sheetView>
  </sheetViews>
  <sheetFormatPr defaultColWidth="9.140625" defaultRowHeight="12"/>
  <cols>
    <col min="1" max="1" width="19.00390625" style="16" customWidth="1"/>
    <col min="2" max="2" width="20.421875" style="16" customWidth="1"/>
    <col min="3" max="3" width="28.421875" style="16" customWidth="1"/>
    <col min="4" max="4" width="11.140625" style="11" customWidth="1"/>
    <col min="5" max="5" width="11.00390625" style="11" customWidth="1"/>
    <col min="6" max="6" width="10.00390625" style="11" customWidth="1"/>
    <col min="7" max="7" width="9.8515625" style="11" customWidth="1"/>
    <col min="8" max="8" width="11.00390625" style="11" customWidth="1"/>
    <col min="9" max="9" width="11.140625" style="11" customWidth="1"/>
    <col min="10" max="11" width="9.8515625" style="11" customWidth="1"/>
    <col min="12" max="12" width="9.140625" style="11" customWidth="1"/>
    <col min="13" max="13" width="11.28125" style="11" customWidth="1"/>
    <col min="14" max="14" width="6.8515625" style="11" customWidth="1"/>
    <col min="15" max="15" width="15.421875" style="1" customWidth="1"/>
    <col min="16" max="16384" width="9.28125" style="1" customWidth="1"/>
  </cols>
  <sheetData>
    <row r="1" spans="1:16" ht="41.25" customHeight="1">
      <c r="A1" s="133" t="s">
        <v>252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P1" s="10"/>
    </row>
    <row r="2" spans="1:15" ht="9.75">
      <c r="A2" s="14"/>
      <c r="B2" s="14"/>
      <c r="C2" s="15"/>
      <c r="D2" s="136" t="s">
        <v>187</v>
      </c>
      <c r="E2" s="137"/>
      <c r="F2" s="137"/>
      <c r="G2" s="137"/>
      <c r="H2" s="138"/>
      <c r="I2" s="136" t="s">
        <v>247</v>
      </c>
      <c r="J2" s="137"/>
      <c r="K2" s="137"/>
      <c r="L2" s="137"/>
      <c r="M2" s="138"/>
      <c r="N2" s="83"/>
      <c r="O2" s="78"/>
    </row>
    <row r="3" spans="1:15" s="3" customFormat="1" ht="29.25">
      <c r="A3" s="70" t="s">
        <v>0</v>
      </c>
      <c r="B3" s="20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57</v>
      </c>
      <c r="O3" s="79"/>
    </row>
    <row r="4" spans="1:15" ht="9.75">
      <c r="A4" s="134" t="s">
        <v>64</v>
      </c>
      <c r="B4" s="124" t="s">
        <v>113</v>
      </c>
      <c r="C4" s="17" t="s">
        <v>71</v>
      </c>
      <c r="D4" s="4">
        <v>7000</v>
      </c>
      <c r="E4" s="4"/>
      <c r="F4" s="4"/>
      <c r="G4" s="4"/>
      <c r="H4" s="7">
        <f aca="true" t="shared" si="0" ref="H4:H13">SUM(D4:G4)</f>
        <v>7000</v>
      </c>
      <c r="I4" s="7">
        <v>6617</v>
      </c>
      <c r="J4" s="7"/>
      <c r="K4" s="7"/>
      <c r="L4" s="7"/>
      <c r="M4" s="7">
        <f aca="true" t="shared" si="1" ref="M4:M68">SUM(I4:L4)</f>
        <v>6617</v>
      </c>
      <c r="N4" s="5">
        <f aca="true" t="shared" si="2" ref="N4:N15">M4/H4</f>
        <v>0.9452857142857143</v>
      </c>
      <c r="O4" s="78"/>
    </row>
    <row r="5" spans="1:15" ht="57" customHeight="1">
      <c r="A5" s="134"/>
      <c r="B5" s="124"/>
      <c r="C5" s="18" t="s">
        <v>104</v>
      </c>
      <c r="D5" s="4">
        <v>26220</v>
      </c>
      <c r="E5" s="4"/>
      <c r="F5" s="4"/>
      <c r="G5" s="4"/>
      <c r="H5" s="7">
        <f t="shared" si="0"/>
        <v>26220</v>
      </c>
      <c r="I5" s="7">
        <v>8740</v>
      </c>
      <c r="J5" s="7"/>
      <c r="K5" s="7"/>
      <c r="L5" s="7"/>
      <c r="M5" s="7">
        <f t="shared" si="1"/>
        <v>8740</v>
      </c>
      <c r="N5" s="5">
        <f t="shared" si="2"/>
        <v>0.3333333333333333</v>
      </c>
      <c r="O5" s="78"/>
    </row>
    <row r="6" spans="1:15" ht="9.75">
      <c r="A6" s="134"/>
      <c r="B6" s="124"/>
      <c r="C6" s="18" t="s">
        <v>76</v>
      </c>
      <c r="D6" s="4">
        <v>66486450</v>
      </c>
      <c r="E6" s="4"/>
      <c r="F6" s="4"/>
      <c r="G6" s="4"/>
      <c r="H6" s="7">
        <f t="shared" si="0"/>
        <v>66486450</v>
      </c>
      <c r="I6" s="7">
        <v>26373935</v>
      </c>
      <c r="J6" s="7"/>
      <c r="K6" s="7"/>
      <c r="L6" s="7"/>
      <c r="M6" s="7">
        <f t="shared" si="1"/>
        <v>26373935</v>
      </c>
      <c r="N6" s="5">
        <f t="shared" si="2"/>
        <v>0.39668135386984865</v>
      </c>
      <c r="O6" s="78"/>
    </row>
    <row r="7" spans="1:15" ht="9.75">
      <c r="A7" s="135"/>
      <c r="B7" s="124"/>
      <c r="C7" s="18" t="s">
        <v>72</v>
      </c>
      <c r="D7" s="4">
        <f>42200-26220</f>
        <v>15980</v>
      </c>
      <c r="E7" s="4"/>
      <c r="F7" s="4"/>
      <c r="G7" s="4"/>
      <c r="H7" s="7">
        <f t="shared" si="0"/>
        <v>15980</v>
      </c>
      <c r="I7" s="7">
        <v>31242</v>
      </c>
      <c r="J7" s="9"/>
      <c r="K7" s="9"/>
      <c r="L7" s="9"/>
      <c r="M7" s="7">
        <f t="shared" si="1"/>
        <v>31242</v>
      </c>
      <c r="N7" s="5">
        <f t="shared" si="2"/>
        <v>1.9550688360450563</v>
      </c>
      <c r="O7" s="78"/>
    </row>
    <row r="8" spans="1:15" ht="8.25" customHeight="1">
      <c r="A8" s="68"/>
      <c r="B8" s="124"/>
      <c r="C8" s="22" t="s">
        <v>74</v>
      </c>
      <c r="D8" s="4">
        <v>131350</v>
      </c>
      <c r="E8" s="4"/>
      <c r="F8" s="4"/>
      <c r="G8" s="4"/>
      <c r="H8" s="7">
        <f t="shared" si="0"/>
        <v>131350</v>
      </c>
      <c r="I8" s="7">
        <v>62496</v>
      </c>
      <c r="J8" s="13"/>
      <c r="K8" s="13"/>
      <c r="L8" s="13"/>
      <c r="M8" s="7">
        <f t="shared" si="1"/>
        <v>62496</v>
      </c>
      <c r="N8" s="5">
        <f t="shared" si="2"/>
        <v>0.47579748762847357</v>
      </c>
      <c r="O8" s="78"/>
    </row>
    <row r="9" spans="1:15" ht="47.25" customHeight="1">
      <c r="A9" s="68"/>
      <c r="B9" s="17"/>
      <c r="C9" s="22" t="s">
        <v>235</v>
      </c>
      <c r="D9" s="4">
        <v>3403217</v>
      </c>
      <c r="E9" s="4"/>
      <c r="F9" s="4"/>
      <c r="G9" s="4"/>
      <c r="H9" s="7">
        <f t="shared" si="0"/>
        <v>3403217</v>
      </c>
      <c r="I9" s="7">
        <v>1132491</v>
      </c>
      <c r="J9" s="13"/>
      <c r="K9" s="13"/>
      <c r="L9" s="13"/>
      <c r="M9" s="7">
        <f t="shared" si="1"/>
        <v>1132491</v>
      </c>
      <c r="N9" s="5">
        <f t="shared" si="2"/>
        <v>0.33277072840197963</v>
      </c>
      <c r="O9" s="78"/>
    </row>
    <row r="10" spans="1:15" ht="9.75">
      <c r="A10" s="68"/>
      <c r="B10" s="29" t="s">
        <v>114</v>
      </c>
      <c r="C10" s="29"/>
      <c r="D10" s="6">
        <f>SUM(D4:D9)</f>
        <v>70070217</v>
      </c>
      <c r="E10" s="6">
        <f>SUM(E4:E9)</f>
        <v>0</v>
      </c>
      <c r="F10" s="6">
        <f>SUM(F4:F9)</f>
        <v>0</v>
      </c>
      <c r="G10" s="6">
        <f>SUM(G4:G9)</f>
        <v>0</v>
      </c>
      <c r="H10" s="6">
        <f t="shared" si="0"/>
        <v>70070217</v>
      </c>
      <c r="I10" s="6">
        <f>SUM(I4:I9)</f>
        <v>27615521</v>
      </c>
      <c r="J10" s="6">
        <f>SUM(J4:J9)</f>
        <v>0</v>
      </c>
      <c r="K10" s="6">
        <f>SUM(K4:K9)</f>
        <v>0</v>
      </c>
      <c r="L10" s="6">
        <f>SUM(L4:L9)</f>
        <v>0</v>
      </c>
      <c r="M10" s="6">
        <f t="shared" si="1"/>
        <v>27615521</v>
      </c>
      <c r="N10" s="28">
        <f t="shared" si="2"/>
        <v>0.39411210900060434</v>
      </c>
      <c r="O10" s="78"/>
    </row>
    <row r="11" spans="1:15" s="10" customFormat="1" ht="9.75">
      <c r="A11" s="69"/>
      <c r="B11" s="120" t="s">
        <v>115</v>
      </c>
      <c r="C11" s="17" t="s">
        <v>71</v>
      </c>
      <c r="D11" s="13"/>
      <c r="E11" s="7">
        <v>780000</v>
      </c>
      <c r="F11" s="13"/>
      <c r="G11" s="13"/>
      <c r="H11" s="7">
        <f t="shared" si="0"/>
        <v>780000</v>
      </c>
      <c r="I11" s="7">
        <v>119824</v>
      </c>
      <c r="J11" s="13">
        <v>168726</v>
      </c>
      <c r="K11" s="13"/>
      <c r="L11" s="13"/>
      <c r="M11" s="7">
        <f t="shared" si="1"/>
        <v>288550</v>
      </c>
      <c r="N11" s="5">
        <f t="shared" si="2"/>
        <v>0.36993589743589744</v>
      </c>
      <c r="O11" s="80"/>
    </row>
    <row r="12" spans="1:15" s="10" customFormat="1" ht="58.5">
      <c r="A12" s="69"/>
      <c r="B12" s="121"/>
      <c r="C12" s="18" t="s">
        <v>104</v>
      </c>
      <c r="D12" s="13"/>
      <c r="E12" s="7">
        <v>80000</v>
      </c>
      <c r="F12" s="13"/>
      <c r="G12" s="13"/>
      <c r="H12" s="7">
        <f t="shared" si="0"/>
        <v>80000</v>
      </c>
      <c r="I12" s="7">
        <v>22958</v>
      </c>
      <c r="J12" s="13"/>
      <c r="K12" s="13"/>
      <c r="L12" s="13"/>
      <c r="M12" s="7">
        <f t="shared" si="1"/>
        <v>22958</v>
      </c>
      <c r="N12" s="5">
        <f t="shared" si="2"/>
        <v>0.286975</v>
      </c>
      <c r="O12" s="80"/>
    </row>
    <row r="13" spans="1:15" s="10" customFormat="1" ht="9.75">
      <c r="A13" s="69"/>
      <c r="B13" s="121"/>
      <c r="C13" s="18" t="s">
        <v>72</v>
      </c>
      <c r="D13" s="13"/>
      <c r="E13" s="7"/>
      <c r="F13" s="13"/>
      <c r="G13" s="13"/>
      <c r="H13" s="7">
        <f t="shared" si="0"/>
        <v>0</v>
      </c>
      <c r="I13" s="7">
        <v>4477</v>
      </c>
      <c r="J13" s="13">
        <v>179</v>
      </c>
      <c r="K13" s="13"/>
      <c r="L13" s="13"/>
      <c r="M13" s="7">
        <f t="shared" si="1"/>
        <v>4656</v>
      </c>
      <c r="N13" s="5"/>
      <c r="O13" s="80"/>
    </row>
    <row r="14" spans="1:15" s="10" customFormat="1" ht="8.25" customHeight="1">
      <c r="A14" s="69"/>
      <c r="B14" s="121"/>
      <c r="C14" s="18" t="s">
        <v>74</v>
      </c>
      <c r="D14" s="13"/>
      <c r="E14" s="7">
        <v>40000</v>
      </c>
      <c r="F14" s="13"/>
      <c r="G14" s="13"/>
      <c r="H14" s="7">
        <f aca="true" t="shared" si="3" ref="H14:H31">SUM(D14:G14)</f>
        <v>40000</v>
      </c>
      <c r="I14" s="7">
        <v>21116</v>
      </c>
      <c r="J14" s="13">
        <v>11809</v>
      </c>
      <c r="K14" s="13"/>
      <c r="L14" s="13"/>
      <c r="M14" s="7">
        <f t="shared" si="1"/>
        <v>32925</v>
      </c>
      <c r="N14" s="5">
        <f t="shared" si="2"/>
        <v>0.823125</v>
      </c>
      <c r="O14" s="80"/>
    </row>
    <row r="15" spans="1:15" s="10" customFormat="1" ht="18" customHeight="1">
      <c r="A15" s="69"/>
      <c r="B15" s="121"/>
      <c r="C15" s="17" t="s">
        <v>204</v>
      </c>
      <c r="D15" s="13"/>
      <c r="E15" s="7">
        <v>417392</v>
      </c>
      <c r="F15" s="13"/>
      <c r="G15" s="13"/>
      <c r="H15" s="7">
        <f t="shared" si="3"/>
        <v>417392</v>
      </c>
      <c r="I15" s="7">
        <v>417392</v>
      </c>
      <c r="J15" s="13"/>
      <c r="K15" s="13"/>
      <c r="L15" s="13"/>
      <c r="M15" s="7">
        <f t="shared" si="1"/>
        <v>417392</v>
      </c>
      <c r="N15" s="5">
        <f t="shared" si="2"/>
        <v>1</v>
      </c>
      <c r="O15" s="80"/>
    </row>
    <row r="16" spans="1:15" ht="48" customHeight="1">
      <c r="A16" s="68"/>
      <c r="B16" s="121"/>
      <c r="C16" s="17" t="s">
        <v>70</v>
      </c>
      <c r="D16" s="4"/>
      <c r="E16" s="4">
        <v>186234</v>
      </c>
      <c r="F16" s="4"/>
      <c r="G16" s="4"/>
      <c r="H16" s="7">
        <f t="shared" si="3"/>
        <v>186234</v>
      </c>
      <c r="I16" s="62"/>
      <c r="J16" s="7">
        <v>1361</v>
      </c>
      <c r="K16" s="9"/>
      <c r="L16" s="9"/>
      <c r="M16" s="7">
        <f t="shared" si="1"/>
        <v>1361</v>
      </c>
      <c r="N16" s="5">
        <f aca="true" t="shared" si="4" ref="N16:N22">M16/H16</f>
        <v>0.0073080103525672005</v>
      </c>
      <c r="O16" s="78"/>
    </row>
    <row r="17" spans="1:15" ht="47.25" customHeight="1">
      <c r="A17" s="68"/>
      <c r="B17" s="122"/>
      <c r="C17" s="22" t="s">
        <v>79</v>
      </c>
      <c r="D17" s="4"/>
      <c r="E17" s="4">
        <v>10250000</v>
      </c>
      <c r="F17" s="4"/>
      <c r="G17" s="4"/>
      <c r="H17" s="7">
        <f t="shared" si="3"/>
        <v>10250000</v>
      </c>
      <c r="I17" s="7"/>
      <c r="J17" s="13"/>
      <c r="K17" s="13"/>
      <c r="L17" s="13"/>
      <c r="M17" s="7">
        <f t="shared" si="1"/>
        <v>0</v>
      </c>
      <c r="N17" s="5">
        <f t="shared" si="4"/>
        <v>0</v>
      </c>
      <c r="O17" s="78"/>
    </row>
    <row r="18" spans="1:15" ht="9.75">
      <c r="A18" s="68"/>
      <c r="B18" s="29" t="s">
        <v>116</v>
      </c>
      <c r="C18" s="29"/>
      <c r="D18" s="6">
        <f>SUM(D11:D17)</f>
        <v>0</v>
      </c>
      <c r="E18" s="6">
        <f>SUM(E11:E17)</f>
        <v>11753626</v>
      </c>
      <c r="F18" s="6">
        <f>SUM(F11:F17)</f>
        <v>0</v>
      </c>
      <c r="G18" s="6">
        <f>SUM(G11:G17)</f>
        <v>0</v>
      </c>
      <c r="H18" s="6">
        <f t="shared" si="3"/>
        <v>11753626</v>
      </c>
      <c r="I18" s="6">
        <f>SUM(I11:I17)</f>
        <v>585767</v>
      </c>
      <c r="J18" s="6">
        <f>SUM(J11:J17)</f>
        <v>182075</v>
      </c>
      <c r="K18" s="6">
        <f>SUM(K11:K17)</f>
        <v>0</v>
      </c>
      <c r="L18" s="6">
        <f>SUM(L11:L17)</f>
        <v>0</v>
      </c>
      <c r="M18" s="6">
        <f t="shared" si="1"/>
        <v>767842</v>
      </c>
      <c r="N18" s="28">
        <f t="shared" si="4"/>
        <v>0.06532809534691678</v>
      </c>
      <c r="O18" s="78"/>
    </row>
    <row r="19" spans="1:15" ht="9" customHeight="1">
      <c r="A19" s="68"/>
      <c r="B19" s="120" t="s">
        <v>66</v>
      </c>
      <c r="C19" s="18" t="s">
        <v>71</v>
      </c>
      <c r="D19" s="4">
        <v>100000</v>
      </c>
      <c r="E19" s="4"/>
      <c r="F19" s="4"/>
      <c r="G19" s="4"/>
      <c r="H19" s="7">
        <f t="shared" si="3"/>
        <v>100000</v>
      </c>
      <c r="I19" s="7">
        <v>21989</v>
      </c>
      <c r="J19" s="7"/>
      <c r="K19" s="7"/>
      <c r="L19" s="7"/>
      <c r="M19" s="7">
        <f t="shared" si="1"/>
        <v>21989</v>
      </c>
      <c r="N19" s="5">
        <f t="shared" si="4"/>
        <v>0.21989</v>
      </c>
      <c r="O19" s="78"/>
    </row>
    <row r="20" spans="1:15" ht="9" customHeight="1">
      <c r="A20" s="68"/>
      <c r="B20" s="121"/>
      <c r="C20" s="18" t="s">
        <v>74</v>
      </c>
      <c r="D20" s="4"/>
      <c r="E20" s="4"/>
      <c r="F20" s="4"/>
      <c r="G20" s="4"/>
      <c r="H20" s="7">
        <f t="shared" si="3"/>
        <v>0</v>
      </c>
      <c r="I20" s="7">
        <v>6389</v>
      </c>
      <c r="J20" s="7"/>
      <c r="K20" s="7"/>
      <c r="L20" s="7"/>
      <c r="M20" s="7">
        <f t="shared" si="1"/>
        <v>6389</v>
      </c>
      <c r="N20" s="5"/>
      <c r="O20" s="78"/>
    </row>
    <row r="21" spans="1:15" ht="47.25" customHeight="1">
      <c r="A21" s="68"/>
      <c r="B21" s="121"/>
      <c r="C21" s="17" t="s">
        <v>70</v>
      </c>
      <c r="D21" s="4"/>
      <c r="E21" s="4"/>
      <c r="F21" s="4"/>
      <c r="G21" s="4"/>
      <c r="H21" s="7">
        <f t="shared" si="3"/>
        <v>0</v>
      </c>
      <c r="I21" s="7"/>
      <c r="J21" s="7">
        <v>3092</v>
      </c>
      <c r="K21" s="7"/>
      <c r="L21" s="7"/>
      <c r="M21" s="7">
        <f t="shared" si="1"/>
        <v>3092</v>
      </c>
      <c r="N21" s="5"/>
      <c r="O21" s="78"/>
    </row>
    <row r="22" spans="1:15" ht="47.25" customHeight="1">
      <c r="A22" s="68"/>
      <c r="B22" s="122"/>
      <c r="C22" s="17" t="s">
        <v>192</v>
      </c>
      <c r="D22" s="4">
        <v>161709</v>
      </c>
      <c r="E22" s="4"/>
      <c r="F22" s="4"/>
      <c r="G22" s="4"/>
      <c r="H22" s="7">
        <f t="shared" si="3"/>
        <v>161709</v>
      </c>
      <c r="I22" s="7">
        <v>170060</v>
      </c>
      <c r="J22" s="7"/>
      <c r="K22" s="7"/>
      <c r="L22" s="7"/>
      <c r="M22" s="7">
        <f t="shared" si="1"/>
        <v>170060</v>
      </c>
      <c r="N22" s="5">
        <f t="shared" si="4"/>
        <v>1.0516421473140023</v>
      </c>
      <c r="O22" s="78"/>
    </row>
    <row r="23" spans="1:15" ht="9" customHeight="1">
      <c r="A23" s="68"/>
      <c r="B23" s="29" t="s">
        <v>117</v>
      </c>
      <c r="C23" s="29"/>
      <c r="D23" s="6">
        <f>SUM(D19:D22)</f>
        <v>261709</v>
      </c>
      <c r="E23" s="6">
        <f>SUM(E19:E22)</f>
        <v>0</v>
      </c>
      <c r="F23" s="6">
        <f>SUM(F19:F22)</f>
        <v>0</v>
      </c>
      <c r="G23" s="6">
        <f>SUM(G19:G22)</f>
        <v>0</v>
      </c>
      <c r="H23" s="6">
        <f t="shared" si="3"/>
        <v>261709</v>
      </c>
      <c r="I23" s="6">
        <f>SUM(I19:I22)</f>
        <v>198438</v>
      </c>
      <c r="J23" s="6">
        <f>SUM(J19:J22)</f>
        <v>3092</v>
      </c>
      <c r="K23" s="6">
        <f>SUM(K19:K22)</f>
        <v>0</v>
      </c>
      <c r="L23" s="6">
        <f>SUM(L19:L22)</f>
        <v>0</v>
      </c>
      <c r="M23" s="6">
        <f t="shared" si="1"/>
        <v>201530</v>
      </c>
      <c r="N23" s="28">
        <f aca="true" t="shared" si="5" ref="N23:N32">M23/H23</f>
        <v>0.7700537620028353</v>
      </c>
      <c r="O23" s="78"/>
    </row>
    <row r="24" spans="1:15" ht="9.75" customHeight="1">
      <c r="A24" s="53" t="s">
        <v>65</v>
      </c>
      <c r="B24" s="24"/>
      <c r="C24" s="24"/>
      <c r="D24" s="25">
        <f>SUM(D23,D18,D10)</f>
        <v>70331926</v>
      </c>
      <c r="E24" s="25">
        <f>SUM(E23,E18,E10)</f>
        <v>11753626</v>
      </c>
      <c r="F24" s="25">
        <f>SUM(F23,F18,F10)</f>
        <v>0</v>
      </c>
      <c r="G24" s="25">
        <f>SUM(G23,G18,G10)</f>
        <v>0</v>
      </c>
      <c r="H24" s="25">
        <f t="shared" si="3"/>
        <v>82085552</v>
      </c>
      <c r="I24" s="25">
        <f>SUM(I23,I18,I10)</f>
        <v>28399726</v>
      </c>
      <c r="J24" s="25">
        <f>SUM(J23,J18,J10)</f>
        <v>185167</v>
      </c>
      <c r="K24" s="25">
        <f>SUM(K23,K18,K10)</f>
        <v>0</v>
      </c>
      <c r="L24" s="25">
        <f>SUM(L23,L18,L10)</f>
        <v>0</v>
      </c>
      <c r="M24" s="25">
        <f t="shared" si="1"/>
        <v>28584893</v>
      </c>
      <c r="N24" s="30">
        <f t="shared" si="5"/>
        <v>0.3482329387271465</v>
      </c>
      <c r="O24" s="78"/>
    </row>
    <row r="25" spans="1:15" ht="27" customHeight="1">
      <c r="A25" s="54" t="s">
        <v>8</v>
      </c>
      <c r="B25" s="23" t="s">
        <v>9</v>
      </c>
      <c r="C25" s="17" t="s">
        <v>78</v>
      </c>
      <c r="D25" s="4">
        <v>2200000</v>
      </c>
      <c r="E25" s="4"/>
      <c r="F25" s="4"/>
      <c r="G25" s="4"/>
      <c r="H25" s="7">
        <f t="shared" si="3"/>
        <v>2200000</v>
      </c>
      <c r="I25" s="7">
        <v>1750748</v>
      </c>
      <c r="J25" s="7"/>
      <c r="K25" s="7"/>
      <c r="L25" s="7"/>
      <c r="M25" s="7">
        <f t="shared" si="1"/>
        <v>1750748</v>
      </c>
      <c r="N25" s="5">
        <f t="shared" si="5"/>
        <v>0.7957945454545454</v>
      </c>
      <c r="O25" s="78"/>
    </row>
    <row r="26" spans="1:15" ht="56.25" customHeight="1">
      <c r="A26" s="68"/>
      <c r="B26" s="19"/>
      <c r="C26" s="18" t="s">
        <v>104</v>
      </c>
      <c r="D26" s="4">
        <v>6800000</v>
      </c>
      <c r="E26" s="4"/>
      <c r="F26" s="4"/>
      <c r="G26" s="4"/>
      <c r="H26" s="7">
        <f t="shared" si="3"/>
        <v>6800000</v>
      </c>
      <c r="I26" s="7">
        <v>2545039</v>
      </c>
      <c r="J26" s="9"/>
      <c r="K26" s="9"/>
      <c r="L26" s="9"/>
      <c r="M26" s="7">
        <f t="shared" si="1"/>
        <v>2545039</v>
      </c>
      <c r="N26" s="5">
        <f t="shared" si="5"/>
        <v>0.37427044117647057</v>
      </c>
      <c r="O26" s="78"/>
    </row>
    <row r="27" spans="1:15" ht="37.5" customHeight="1">
      <c r="A27" s="68"/>
      <c r="B27" s="19"/>
      <c r="C27" s="18" t="s">
        <v>75</v>
      </c>
      <c r="D27" s="4">
        <v>760000</v>
      </c>
      <c r="E27" s="4"/>
      <c r="F27" s="4"/>
      <c r="G27" s="4"/>
      <c r="H27" s="7">
        <f t="shared" si="3"/>
        <v>760000</v>
      </c>
      <c r="I27" s="7">
        <v>267162</v>
      </c>
      <c r="J27" s="7"/>
      <c r="K27" s="7"/>
      <c r="L27" s="7"/>
      <c r="M27" s="7">
        <f t="shared" si="1"/>
        <v>267162</v>
      </c>
      <c r="N27" s="5">
        <f t="shared" si="5"/>
        <v>0.35152894736842105</v>
      </c>
      <c r="O27" s="78"/>
    </row>
    <row r="28" spans="1:15" ht="39">
      <c r="A28" s="68"/>
      <c r="B28" s="19"/>
      <c r="C28" s="18" t="s">
        <v>236</v>
      </c>
      <c r="D28" s="4">
        <f>19150000+1500000</f>
        <v>20650000</v>
      </c>
      <c r="E28" s="4"/>
      <c r="F28" s="4"/>
      <c r="G28" s="4"/>
      <c r="H28" s="7">
        <f t="shared" si="3"/>
        <v>20650000</v>
      </c>
      <c r="I28" s="7">
        <v>9612861</v>
      </c>
      <c r="J28" s="7"/>
      <c r="K28" s="7"/>
      <c r="L28" s="7"/>
      <c r="M28" s="7">
        <f t="shared" si="1"/>
        <v>9612861</v>
      </c>
      <c r="N28" s="5">
        <f t="shared" si="5"/>
        <v>0.4655138498789346</v>
      </c>
      <c r="O28" s="78"/>
    </row>
    <row r="29" spans="1:15" ht="9.75">
      <c r="A29" s="68"/>
      <c r="B29" s="19"/>
      <c r="C29" s="18" t="s">
        <v>76</v>
      </c>
      <c r="D29" s="4"/>
      <c r="E29" s="4"/>
      <c r="F29" s="4"/>
      <c r="G29" s="4"/>
      <c r="H29" s="7">
        <f t="shared" si="3"/>
        <v>0</v>
      </c>
      <c r="I29" s="7">
        <v>35557</v>
      </c>
      <c r="J29" s="7"/>
      <c r="K29" s="7"/>
      <c r="L29" s="7"/>
      <c r="M29" s="7">
        <f t="shared" si="1"/>
        <v>35557</v>
      </c>
      <c r="N29" s="5"/>
      <c r="O29" s="78"/>
    </row>
    <row r="30" spans="1:15" ht="9.75">
      <c r="A30" s="68"/>
      <c r="B30" s="19"/>
      <c r="C30" s="18" t="s">
        <v>72</v>
      </c>
      <c r="D30" s="4"/>
      <c r="E30" s="4"/>
      <c r="F30" s="4"/>
      <c r="G30" s="4"/>
      <c r="H30" s="7">
        <f t="shared" si="3"/>
        <v>0</v>
      </c>
      <c r="I30" s="7">
        <v>64928</v>
      </c>
      <c r="J30" s="7"/>
      <c r="K30" s="7"/>
      <c r="L30" s="7"/>
      <c r="M30" s="7">
        <f t="shared" si="1"/>
        <v>64928</v>
      </c>
      <c r="N30" s="5"/>
      <c r="O30" s="78"/>
    </row>
    <row r="31" spans="1:15" ht="9.75">
      <c r="A31" s="68"/>
      <c r="B31" s="19"/>
      <c r="C31" s="18" t="s">
        <v>74</v>
      </c>
      <c r="D31" s="4"/>
      <c r="E31" s="4"/>
      <c r="F31" s="4"/>
      <c r="G31" s="4"/>
      <c r="H31" s="7">
        <f t="shared" si="3"/>
        <v>0</v>
      </c>
      <c r="I31" s="7">
        <v>2487</v>
      </c>
      <c r="J31" s="7"/>
      <c r="K31" s="7"/>
      <c r="L31" s="7"/>
      <c r="M31" s="7">
        <f t="shared" si="1"/>
        <v>2487</v>
      </c>
      <c r="N31" s="5"/>
      <c r="O31" s="78"/>
    </row>
    <row r="32" spans="1:15" ht="48.75">
      <c r="A32" s="68"/>
      <c r="B32" s="19"/>
      <c r="C32" s="18" t="s">
        <v>69</v>
      </c>
      <c r="D32" s="4"/>
      <c r="E32" s="4"/>
      <c r="F32" s="4"/>
      <c r="G32" s="4">
        <v>125000</v>
      </c>
      <c r="H32" s="7">
        <f>SUM(D32:G32)</f>
        <v>125000</v>
      </c>
      <c r="I32" s="7"/>
      <c r="J32" s="7"/>
      <c r="K32" s="7"/>
      <c r="L32" s="7">
        <v>83050</v>
      </c>
      <c r="M32" s="7">
        <f t="shared" si="1"/>
        <v>83050</v>
      </c>
      <c r="N32" s="5">
        <f t="shared" si="5"/>
        <v>0.6644</v>
      </c>
      <c r="O32" s="78"/>
    </row>
    <row r="33" spans="1:15" ht="31.5" customHeight="1">
      <c r="A33" s="68"/>
      <c r="B33" s="19"/>
      <c r="C33" s="22" t="s">
        <v>77</v>
      </c>
      <c r="D33" s="4"/>
      <c r="E33" s="4">
        <v>2285000</v>
      </c>
      <c r="F33" s="4"/>
      <c r="G33" s="4"/>
      <c r="H33" s="7">
        <f>SUM(D33:G33)</f>
        <v>2285000</v>
      </c>
      <c r="I33" s="9"/>
      <c r="J33" s="7">
        <v>882614</v>
      </c>
      <c r="K33" s="9"/>
      <c r="L33" s="9"/>
      <c r="M33" s="7">
        <f t="shared" si="1"/>
        <v>882614</v>
      </c>
      <c r="N33" s="5">
        <f aca="true" t="shared" si="6" ref="N33:N39">M33/H33</f>
        <v>0.3862643326039387</v>
      </c>
      <c r="O33" s="78"/>
    </row>
    <row r="34" spans="1:15" ht="9.75">
      <c r="A34" s="68"/>
      <c r="B34" s="29" t="s">
        <v>118</v>
      </c>
      <c r="C34" s="29"/>
      <c r="D34" s="6">
        <f>SUM(D25:D33)</f>
        <v>30410000</v>
      </c>
      <c r="E34" s="6">
        <f>SUM(E25:E33)</f>
        <v>2285000</v>
      </c>
      <c r="F34" s="6">
        <f>SUM(F25:F33)</f>
        <v>0</v>
      </c>
      <c r="G34" s="6">
        <f>SUM(G25:G33)</f>
        <v>125000</v>
      </c>
      <c r="H34" s="6">
        <f>SUM(D34:G34)</f>
        <v>32820000</v>
      </c>
      <c r="I34" s="6">
        <f>SUM(I25:I33)</f>
        <v>14278782</v>
      </c>
      <c r="J34" s="6">
        <f>SUM(J25:J33)</f>
        <v>882614</v>
      </c>
      <c r="K34" s="6">
        <f>SUM(K25:K33)</f>
        <v>0</v>
      </c>
      <c r="L34" s="6">
        <f>SUM(L25:L33)</f>
        <v>83050</v>
      </c>
      <c r="M34" s="6">
        <f t="shared" si="1"/>
        <v>15244446</v>
      </c>
      <c r="N34" s="28">
        <f t="shared" si="6"/>
        <v>0.4644864716636197</v>
      </c>
      <c r="O34" s="78"/>
    </row>
    <row r="35" spans="1:15" s="10" customFormat="1" ht="58.5">
      <c r="A35" s="68"/>
      <c r="B35" s="120" t="s">
        <v>10</v>
      </c>
      <c r="C35" s="18" t="s">
        <v>104</v>
      </c>
      <c r="D35" s="4">
        <v>5500000</v>
      </c>
      <c r="E35" s="4"/>
      <c r="F35" s="4"/>
      <c r="G35" s="4"/>
      <c r="H35" s="7">
        <f>SUM(D35:G35)</f>
        <v>5500000</v>
      </c>
      <c r="I35" s="7">
        <v>2252571</v>
      </c>
      <c r="J35" s="13"/>
      <c r="K35" s="13"/>
      <c r="L35" s="13"/>
      <c r="M35" s="7">
        <f t="shared" si="1"/>
        <v>2252571</v>
      </c>
      <c r="N35" s="5">
        <f t="shared" si="6"/>
        <v>0.4095583636363636</v>
      </c>
      <c r="O35" s="80"/>
    </row>
    <row r="36" spans="1:15" s="10" customFormat="1" ht="9.75">
      <c r="A36" s="68"/>
      <c r="B36" s="122"/>
      <c r="C36" s="18" t="s">
        <v>72</v>
      </c>
      <c r="D36" s="4"/>
      <c r="E36" s="4"/>
      <c r="F36" s="4"/>
      <c r="G36" s="4"/>
      <c r="H36" s="7">
        <f>SUM(D36:G36)</f>
        <v>0</v>
      </c>
      <c r="I36" s="7">
        <v>17998</v>
      </c>
      <c r="J36" s="13"/>
      <c r="K36" s="13"/>
      <c r="L36" s="13"/>
      <c r="M36" s="7">
        <f t="shared" si="1"/>
        <v>17998</v>
      </c>
      <c r="N36" s="5"/>
      <c r="O36" s="80"/>
    </row>
    <row r="37" spans="1:15" s="11" customFormat="1" ht="9.75">
      <c r="A37" s="68"/>
      <c r="B37" s="29" t="s">
        <v>119</v>
      </c>
      <c r="C37" s="29"/>
      <c r="D37" s="6">
        <f>SUM(D35:D36)</f>
        <v>5500000</v>
      </c>
      <c r="E37" s="6">
        <f>SUM(E35:E36)</f>
        <v>0</v>
      </c>
      <c r="F37" s="6">
        <f>SUM(F35:F36)</f>
        <v>0</v>
      </c>
      <c r="G37" s="6">
        <f>SUM(G35:G36)</f>
        <v>0</v>
      </c>
      <c r="H37" s="6">
        <f aca="true" t="shared" si="7" ref="H37:H45">SUM(D37:G37)</f>
        <v>5500000</v>
      </c>
      <c r="I37" s="6">
        <f>SUM(I35:I36)</f>
        <v>2270569</v>
      </c>
      <c r="J37" s="6">
        <f>SUM(J35:J36)</f>
        <v>0</v>
      </c>
      <c r="K37" s="6">
        <f>SUM(K35:K36)</f>
        <v>0</v>
      </c>
      <c r="L37" s="6">
        <f>SUM(L35:L36)</f>
        <v>0</v>
      </c>
      <c r="M37" s="6">
        <f t="shared" si="1"/>
        <v>2270569</v>
      </c>
      <c r="N37" s="28">
        <f t="shared" si="6"/>
        <v>0.4128307272727273</v>
      </c>
      <c r="O37" s="81"/>
    </row>
    <row r="38" spans="1:15" ht="11.25">
      <c r="A38" s="53" t="s">
        <v>11</v>
      </c>
      <c r="B38" s="24"/>
      <c r="C38" s="24"/>
      <c r="D38" s="25">
        <f>SUM(D37,D34)</f>
        <v>35910000</v>
      </c>
      <c r="E38" s="25">
        <f>SUM(E37,E34)</f>
        <v>2285000</v>
      </c>
      <c r="F38" s="25">
        <f>SUM(F37,F34)</f>
        <v>0</v>
      </c>
      <c r="G38" s="25">
        <f>SUM(G37,G34)</f>
        <v>125000</v>
      </c>
      <c r="H38" s="25">
        <f t="shared" si="7"/>
        <v>38320000</v>
      </c>
      <c r="I38" s="25">
        <f>SUM(I37,I34)</f>
        <v>16549351</v>
      </c>
      <c r="J38" s="25">
        <f>SUM(J37,J34)</f>
        <v>882614</v>
      </c>
      <c r="K38" s="25">
        <f>SUM(K37,K34)</f>
        <v>0</v>
      </c>
      <c r="L38" s="25">
        <f>SUM(L37,L34)</f>
        <v>83050</v>
      </c>
      <c r="M38" s="25">
        <f t="shared" si="1"/>
        <v>17515015</v>
      </c>
      <c r="N38" s="30">
        <f t="shared" si="6"/>
        <v>0.4570724164926931</v>
      </c>
      <c r="O38" s="78"/>
    </row>
    <row r="39" spans="1:15" s="10" customFormat="1" ht="48.75">
      <c r="A39" s="54" t="s">
        <v>12</v>
      </c>
      <c r="B39" s="22" t="s">
        <v>120</v>
      </c>
      <c r="C39" s="17" t="s">
        <v>192</v>
      </c>
      <c r="D39" s="4">
        <v>103960</v>
      </c>
      <c r="E39" s="47"/>
      <c r="F39" s="47"/>
      <c r="G39" s="47"/>
      <c r="H39" s="7">
        <f t="shared" si="7"/>
        <v>103960</v>
      </c>
      <c r="I39" s="7">
        <v>196</v>
      </c>
      <c r="J39" s="47"/>
      <c r="K39" s="47"/>
      <c r="L39" s="47"/>
      <c r="M39" s="7">
        <f t="shared" si="1"/>
        <v>196</v>
      </c>
      <c r="N39" s="5">
        <f t="shared" si="6"/>
        <v>0.0018853405155829165</v>
      </c>
      <c r="O39" s="80"/>
    </row>
    <row r="40" spans="1:15" ht="47.25" customHeight="1">
      <c r="A40" s="55"/>
      <c r="B40" s="48"/>
      <c r="C40" s="18" t="s">
        <v>121</v>
      </c>
      <c r="D40" s="4">
        <v>7960</v>
      </c>
      <c r="E40" s="4"/>
      <c r="F40" s="4"/>
      <c r="G40" s="4"/>
      <c r="H40" s="7">
        <f t="shared" si="7"/>
        <v>7960</v>
      </c>
      <c r="I40" s="7">
        <v>0</v>
      </c>
      <c r="J40" s="7"/>
      <c r="K40" s="7"/>
      <c r="L40" s="7"/>
      <c r="M40" s="7">
        <f t="shared" si="1"/>
        <v>0</v>
      </c>
      <c r="N40" s="5">
        <f aca="true" t="shared" si="8" ref="N40:N45">M40/H40</f>
        <v>0</v>
      </c>
      <c r="O40" s="78"/>
    </row>
    <row r="41" spans="1:15" ht="9.75">
      <c r="A41" s="68"/>
      <c r="B41" s="29" t="s">
        <v>122</v>
      </c>
      <c r="C41" s="29"/>
      <c r="D41" s="6">
        <f>SUM(D39:D40)</f>
        <v>111920</v>
      </c>
      <c r="E41" s="6">
        <f>SUM(E39:E40)</f>
        <v>0</v>
      </c>
      <c r="F41" s="6">
        <f>SUM(F39:F40)</f>
        <v>0</v>
      </c>
      <c r="G41" s="6">
        <f>SUM(G39:G40)</f>
        <v>0</v>
      </c>
      <c r="H41" s="6">
        <f t="shared" si="7"/>
        <v>111920</v>
      </c>
      <c r="I41" s="6">
        <f>SUM(I39:I40)</f>
        <v>196</v>
      </c>
      <c r="J41" s="6">
        <f>SUM(J39:J40)</f>
        <v>0</v>
      </c>
      <c r="K41" s="6">
        <f>SUM(K39:K40)</f>
        <v>0</v>
      </c>
      <c r="L41" s="6">
        <f>SUM(L39:L40)</f>
        <v>0</v>
      </c>
      <c r="M41" s="6">
        <f t="shared" si="1"/>
        <v>196</v>
      </c>
      <c r="N41" s="28">
        <f t="shared" si="8"/>
        <v>0.0017512508934953539</v>
      </c>
      <c r="O41" s="78"/>
    </row>
    <row r="42" spans="1:15" ht="48" customHeight="1">
      <c r="A42" s="68"/>
      <c r="B42" s="23" t="s">
        <v>13</v>
      </c>
      <c r="C42" s="27" t="s">
        <v>69</v>
      </c>
      <c r="D42" s="4"/>
      <c r="E42" s="4"/>
      <c r="F42" s="4"/>
      <c r="G42" s="4">
        <v>173000</v>
      </c>
      <c r="H42" s="7">
        <f t="shared" si="7"/>
        <v>173000</v>
      </c>
      <c r="I42" s="13"/>
      <c r="J42" s="13"/>
      <c r="K42" s="13"/>
      <c r="L42" s="13"/>
      <c r="M42" s="7">
        <f t="shared" si="1"/>
        <v>0</v>
      </c>
      <c r="N42" s="5">
        <f t="shared" si="8"/>
        <v>0</v>
      </c>
      <c r="O42" s="78"/>
    </row>
    <row r="43" spans="1:15" s="11" customFormat="1" ht="9.75">
      <c r="A43" s="68"/>
      <c r="B43" s="29" t="s">
        <v>123</v>
      </c>
      <c r="C43" s="29"/>
      <c r="D43" s="6">
        <f>SUM(D42)</f>
        <v>0</v>
      </c>
      <c r="E43" s="6">
        <f>SUM(E42)</f>
        <v>0</v>
      </c>
      <c r="F43" s="6">
        <f>SUM(F42)</f>
        <v>0</v>
      </c>
      <c r="G43" s="6">
        <f>SUM(G42)</f>
        <v>173000</v>
      </c>
      <c r="H43" s="6">
        <f t="shared" si="7"/>
        <v>173000</v>
      </c>
      <c r="I43" s="6">
        <f>SUM(I42)</f>
        <v>0</v>
      </c>
      <c r="J43" s="6">
        <f>SUM(J42)</f>
        <v>0</v>
      </c>
      <c r="K43" s="6">
        <f>SUM(K42)</f>
        <v>0</v>
      </c>
      <c r="L43" s="6">
        <f>SUM(L42)</f>
        <v>0</v>
      </c>
      <c r="M43" s="6">
        <f t="shared" si="1"/>
        <v>0</v>
      </c>
      <c r="N43" s="28">
        <f t="shared" si="8"/>
        <v>0</v>
      </c>
      <c r="O43" s="81"/>
    </row>
    <row r="44" spans="1:15" ht="48.75">
      <c r="A44" s="68"/>
      <c r="B44" s="23" t="s">
        <v>14</v>
      </c>
      <c r="C44" s="27" t="s">
        <v>69</v>
      </c>
      <c r="D44" s="4"/>
      <c r="E44" s="4"/>
      <c r="F44" s="4"/>
      <c r="G44" s="4">
        <v>60000</v>
      </c>
      <c r="H44" s="7">
        <f t="shared" si="7"/>
        <v>60000</v>
      </c>
      <c r="I44" s="7"/>
      <c r="J44" s="7"/>
      <c r="K44" s="7"/>
      <c r="L44" s="7"/>
      <c r="M44" s="7">
        <f t="shared" si="1"/>
        <v>0</v>
      </c>
      <c r="N44" s="5">
        <f t="shared" si="8"/>
        <v>0</v>
      </c>
      <c r="O44" s="78"/>
    </row>
    <row r="45" spans="1:15" ht="9.75">
      <c r="A45" s="68"/>
      <c r="B45" s="29" t="s">
        <v>124</v>
      </c>
      <c r="C45" s="29"/>
      <c r="D45" s="6">
        <f>SUM(D44)</f>
        <v>0</v>
      </c>
      <c r="E45" s="6">
        <f>SUM(E44)</f>
        <v>0</v>
      </c>
      <c r="F45" s="6">
        <f>SUM(F44)</f>
        <v>0</v>
      </c>
      <c r="G45" s="6">
        <f>SUM(G44)</f>
        <v>60000</v>
      </c>
      <c r="H45" s="6">
        <f t="shared" si="7"/>
        <v>60000</v>
      </c>
      <c r="I45" s="6">
        <f>SUM(I44)</f>
        <v>0</v>
      </c>
      <c r="J45" s="6">
        <f>SUM(J44)</f>
        <v>0</v>
      </c>
      <c r="K45" s="6">
        <f>SUM(K44)</f>
        <v>0</v>
      </c>
      <c r="L45" s="6">
        <f>SUM(L44)</f>
        <v>0</v>
      </c>
      <c r="M45" s="6">
        <f t="shared" si="1"/>
        <v>0</v>
      </c>
      <c r="N45" s="28">
        <f t="shared" si="8"/>
        <v>0</v>
      </c>
      <c r="O45" s="78"/>
    </row>
    <row r="46" spans="1:15" s="10" customFormat="1" ht="9.75">
      <c r="A46" s="69"/>
      <c r="B46" s="120" t="s">
        <v>15</v>
      </c>
      <c r="C46" s="18" t="s">
        <v>72</v>
      </c>
      <c r="D46" s="13"/>
      <c r="E46" s="13"/>
      <c r="F46" s="13"/>
      <c r="G46" s="13"/>
      <c r="H46" s="7">
        <f aca="true" t="shared" si="9" ref="H46:H92">SUM(D46:G46)</f>
        <v>0</v>
      </c>
      <c r="I46" s="13"/>
      <c r="J46" s="7">
        <v>281</v>
      </c>
      <c r="K46" s="13"/>
      <c r="L46" s="13"/>
      <c r="M46" s="7">
        <f t="shared" si="1"/>
        <v>281</v>
      </c>
      <c r="N46" s="5"/>
      <c r="O46" s="80"/>
    </row>
    <row r="47" spans="1:15" ht="49.5" customHeight="1">
      <c r="A47" s="68"/>
      <c r="B47" s="121"/>
      <c r="C47" s="18" t="s">
        <v>69</v>
      </c>
      <c r="D47" s="4"/>
      <c r="E47" s="4"/>
      <c r="F47" s="4"/>
      <c r="G47" s="4">
        <v>434400</v>
      </c>
      <c r="H47" s="7">
        <f t="shared" si="9"/>
        <v>434400</v>
      </c>
      <c r="I47" s="7"/>
      <c r="J47" s="7"/>
      <c r="K47" s="7"/>
      <c r="L47" s="7">
        <v>203000</v>
      </c>
      <c r="M47" s="7">
        <f t="shared" si="1"/>
        <v>203000</v>
      </c>
      <c r="N47" s="5">
        <f aca="true" t="shared" si="10" ref="N47:N58">M47/H47</f>
        <v>0.4673112338858195</v>
      </c>
      <c r="O47" s="78"/>
    </row>
    <row r="48" spans="1:15" ht="30.75" customHeight="1">
      <c r="A48" s="68"/>
      <c r="B48" s="122"/>
      <c r="C48" s="22" t="s">
        <v>77</v>
      </c>
      <c r="D48" s="4"/>
      <c r="E48" s="4">
        <v>250</v>
      </c>
      <c r="F48" s="4"/>
      <c r="G48" s="4"/>
      <c r="H48" s="7">
        <f t="shared" si="9"/>
        <v>250</v>
      </c>
      <c r="I48" s="7"/>
      <c r="J48" s="7">
        <v>1</v>
      </c>
      <c r="K48" s="7"/>
      <c r="L48" s="7"/>
      <c r="M48" s="7">
        <f t="shared" si="1"/>
        <v>1</v>
      </c>
      <c r="N48" s="5">
        <f t="shared" si="10"/>
        <v>0.004</v>
      </c>
      <c r="O48" s="78"/>
    </row>
    <row r="49" spans="1:15" ht="9.75">
      <c r="A49" s="68"/>
      <c r="B49" s="29" t="s">
        <v>125</v>
      </c>
      <c r="C49" s="29"/>
      <c r="D49" s="6">
        <f>SUM(D46:D48)</f>
        <v>0</v>
      </c>
      <c r="E49" s="6">
        <f>SUM(E46:E48)</f>
        <v>250</v>
      </c>
      <c r="F49" s="6">
        <f>SUM(F46:F48)</f>
        <v>0</v>
      </c>
      <c r="G49" s="6">
        <f>SUM(G46:G48)</f>
        <v>434400</v>
      </c>
      <c r="H49" s="6">
        <f t="shared" si="9"/>
        <v>434650</v>
      </c>
      <c r="I49" s="6">
        <f>SUM(I46:I48)</f>
        <v>0</v>
      </c>
      <c r="J49" s="6">
        <f>SUM(J46:J48)</f>
        <v>282</v>
      </c>
      <c r="K49" s="6">
        <f>SUM(K46:K48)</f>
        <v>0</v>
      </c>
      <c r="L49" s="6">
        <f>SUM(L46:L48)</f>
        <v>203000</v>
      </c>
      <c r="M49" s="6">
        <f t="shared" si="1"/>
        <v>203282</v>
      </c>
      <c r="N49" s="28">
        <f t="shared" si="10"/>
        <v>0.4676912458299781</v>
      </c>
      <c r="O49" s="78"/>
    </row>
    <row r="50" spans="1:15" s="10" customFormat="1" ht="9.75">
      <c r="A50" s="69"/>
      <c r="B50" s="119" t="s">
        <v>62</v>
      </c>
      <c r="C50" s="18" t="s">
        <v>71</v>
      </c>
      <c r="D50" s="13"/>
      <c r="E50" s="13"/>
      <c r="F50" s="13"/>
      <c r="G50" s="13"/>
      <c r="H50" s="7">
        <f t="shared" si="9"/>
        <v>0</v>
      </c>
      <c r="I50" s="7">
        <v>422</v>
      </c>
      <c r="J50" s="13"/>
      <c r="K50" s="13"/>
      <c r="L50" s="13"/>
      <c r="M50" s="7">
        <f t="shared" si="1"/>
        <v>422</v>
      </c>
      <c r="N50" s="5"/>
      <c r="O50" s="80"/>
    </row>
    <row r="51" spans="1:15" s="10" customFormat="1" ht="10.5" customHeight="1">
      <c r="A51" s="69"/>
      <c r="B51" s="119"/>
      <c r="C51" s="18" t="s">
        <v>72</v>
      </c>
      <c r="D51" s="13"/>
      <c r="E51" s="13"/>
      <c r="F51" s="13"/>
      <c r="G51" s="13"/>
      <c r="H51" s="7">
        <f t="shared" si="9"/>
        <v>0</v>
      </c>
      <c r="I51" s="7">
        <v>133</v>
      </c>
      <c r="J51" s="13"/>
      <c r="K51" s="13"/>
      <c r="L51" s="13"/>
      <c r="M51" s="7">
        <f t="shared" si="1"/>
        <v>133</v>
      </c>
      <c r="N51" s="5"/>
      <c r="O51" s="80"/>
    </row>
    <row r="52" spans="1:15" ht="48.75">
      <c r="A52" s="68"/>
      <c r="B52" s="119"/>
      <c r="C52" s="27" t="s">
        <v>80</v>
      </c>
      <c r="D52" s="4">
        <v>27500</v>
      </c>
      <c r="E52" s="4"/>
      <c r="F52" s="4"/>
      <c r="G52" s="4"/>
      <c r="H52" s="7">
        <f t="shared" si="9"/>
        <v>27500</v>
      </c>
      <c r="I52" s="7">
        <v>27500</v>
      </c>
      <c r="J52" s="7"/>
      <c r="K52" s="7"/>
      <c r="L52" s="7"/>
      <c r="M52" s="7">
        <f t="shared" si="1"/>
        <v>27500</v>
      </c>
      <c r="N52" s="5">
        <f t="shared" si="10"/>
        <v>1</v>
      </c>
      <c r="O52" s="78"/>
    </row>
    <row r="53" spans="1:15" ht="9.75">
      <c r="A53" s="68"/>
      <c r="B53" s="29" t="s">
        <v>126</v>
      </c>
      <c r="C53" s="29"/>
      <c r="D53" s="6">
        <f>SUM(D50:D52)</f>
        <v>27500</v>
      </c>
      <c r="E53" s="6">
        <f>SUM(E50:E52)</f>
        <v>0</v>
      </c>
      <c r="F53" s="6">
        <f>SUM(F50:F52)</f>
        <v>0</v>
      </c>
      <c r="G53" s="6">
        <f>SUM(G50:G52)</f>
        <v>0</v>
      </c>
      <c r="H53" s="6">
        <f t="shared" si="9"/>
        <v>27500</v>
      </c>
      <c r="I53" s="6">
        <f>SUM(I50:I52)</f>
        <v>28055</v>
      </c>
      <c r="J53" s="6">
        <f>SUM(J50:J52)</f>
        <v>0</v>
      </c>
      <c r="K53" s="6">
        <f>SUM(K50:K52)</f>
        <v>0</v>
      </c>
      <c r="L53" s="6">
        <f>SUM(L50:L52)</f>
        <v>0</v>
      </c>
      <c r="M53" s="6">
        <f t="shared" si="1"/>
        <v>28055</v>
      </c>
      <c r="N53" s="28">
        <f t="shared" si="10"/>
        <v>1.020181818181818</v>
      </c>
      <c r="O53" s="78"/>
    </row>
    <row r="54" spans="1:15" ht="47.25" customHeight="1">
      <c r="A54" s="68"/>
      <c r="B54" s="120" t="s">
        <v>16</v>
      </c>
      <c r="C54" s="17" t="s">
        <v>104</v>
      </c>
      <c r="D54" s="4">
        <f>216200-97200</f>
        <v>119000</v>
      </c>
      <c r="E54" s="4"/>
      <c r="F54" s="4"/>
      <c r="G54" s="4"/>
      <c r="H54" s="7">
        <f t="shared" si="9"/>
        <v>119000</v>
      </c>
      <c r="I54" s="7">
        <v>31622</v>
      </c>
      <c r="J54" s="7"/>
      <c r="K54" s="7"/>
      <c r="L54" s="7"/>
      <c r="M54" s="7">
        <f t="shared" si="1"/>
        <v>31622</v>
      </c>
      <c r="N54" s="5">
        <f t="shared" si="10"/>
        <v>0.2657310924369748</v>
      </c>
      <c r="O54" s="78"/>
    </row>
    <row r="55" spans="1:15" ht="9.75">
      <c r="A55" s="68"/>
      <c r="B55" s="121"/>
      <c r="C55" s="18" t="s">
        <v>76</v>
      </c>
      <c r="D55" s="4">
        <f>110000+266500</f>
        <v>376500</v>
      </c>
      <c r="E55" s="4"/>
      <c r="F55" s="4"/>
      <c r="G55" s="4"/>
      <c r="H55" s="7">
        <f t="shared" si="9"/>
        <v>376500</v>
      </c>
      <c r="I55" s="7">
        <v>56528</v>
      </c>
      <c r="J55" s="7"/>
      <c r="K55" s="7"/>
      <c r="L55" s="7"/>
      <c r="M55" s="7">
        <f t="shared" si="1"/>
        <v>56528</v>
      </c>
      <c r="N55" s="5">
        <f t="shared" si="10"/>
        <v>0.15014077025232403</v>
      </c>
      <c r="O55" s="78"/>
    </row>
    <row r="56" spans="1:15" ht="9.75">
      <c r="A56" s="68"/>
      <c r="B56" s="121"/>
      <c r="C56" s="18" t="s">
        <v>72</v>
      </c>
      <c r="D56" s="4"/>
      <c r="E56" s="4"/>
      <c r="F56" s="4"/>
      <c r="G56" s="4"/>
      <c r="H56" s="7">
        <f t="shared" si="9"/>
        <v>0</v>
      </c>
      <c r="I56" s="7">
        <v>160</v>
      </c>
      <c r="J56" s="7"/>
      <c r="K56" s="7"/>
      <c r="L56" s="7"/>
      <c r="M56" s="7">
        <f t="shared" si="1"/>
        <v>160</v>
      </c>
      <c r="N56" s="5"/>
      <c r="O56" s="78"/>
    </row>
    <row r="57" spans="1:15" ht="39.75" customHeight="1" hidden="1">
      <c r="A57" s="68"/>
      <c r="B57" s="121"/>
      <c r="C57" s="22" t="s">
        <v>127</v>
      </c>
      <c r="D57" s="4">
        <f>103960-103960</f>
        <v>0</v>
      </c>
      <c r="E57" s="4"/>
      <c r="F57" s="4"/>
      <c r="G57" s="4"/>
      <c r="H57" s="7">
        <f t="shared" si="9"/>
        <v>0</v>
      </c>
      <c r="I57" s="9"/>
      <c r="J57" s="9"/>
      <c r="K57" s="9"/>
      <c r="L57" s="9"/>
      <c r="M57" s="7">
        <f t="shared" si="1"/>
        <v>0</v>
      </c>
      <c r="N57" s="5"/>
      <c r="O57" s="78"/>
    </row>
    <row r="58" spans="1:15" ht="40.5" customHeight="1">
      <c r="A58" s="68"/>
      <c r="B58" s="122"/>
      <c r="C58" s="22" t="s">
        <v>249</v>
      </c>
      <c r="D58" s="4">
        <v>144100</v>
      </c>
      <c r="E58" s="4"/>
      <c r="F58" s="4"/>
      <c r="G58" s="4"/>
      <c r="H58" s="7">
        <f t="shared" si="9"/>
        <v>144100</v>
      </c>
      <c r="I58" s="7">
        <v>144100</v>
      </c>
      <c r="J58" s="9"/>
      <c r="K58" s="9"/>
      <c r="L58" s="9"/>
      <c r="M58" s="7">
        <f t="shared" si="1"/>
        <v>144100</v>
      </c>
      <c r="N58" s="5">
        <f t="shared" si="10"/>
        <v>1</v>
      </c>
      <c r="O58" s="78"/>
    </row>
    <row r="59" spans="1:15" ht="9.75">
      <c r="A59" s="68"/>
      <c r="B59" s="29" t="s">
        <v>128</v>
      </c>
      <c r="C59" s="29"/>
      <c r="D59" s="6">
        <f>SUM(D54:D58)</f>
        <v>639600</v>
      </c>
      <c r="E59" s="6">
        <f>SUM(E54:E58)</f>
        <v>0</v>
      </c>
      <c r="F59" s="6">
        <f>SUM(F54:F58)</f>
        <v>0</v>
      </c>
      <c r="G59" s="6">
        <f>SUM(G54:G58)</f>
        <v>0</v>
      </c>
      <c r="H59" s="6">
        <f t="shared" si="9"/>
        <v>639600</v>
      </c>
      <c r="I59" s="6">
        <f>SUM(I54:I58)</f>
        <v>232410</v>
      </c>
      <c r="J59" s="6">
        <f>SUM(J54:J57)</f>
        <v>0</v>
      </c>
      <c r="K59" s="6">
        <f>SUM(K54:K57)</f>
        <v>0</v>
      </c>
      <c r="L59" s="6">
        <f>SUM(L54:L57)</f>
        <v>0</v>
      </c>
      <c r="M59" s="6">
        <f t="shared" si="1"/>
        <v>232410</v>
      </c>
      <c r="N59" s="28">
        <f aca="true" t="shared" si="11" ref="N59:N73">M59/H59</f>
        <v>0.36336772983114446</v>
      </c>
      <c r="O59" s="78"/>
    </row>
    <row r="60" spans="1:15" ht="9.75" customHeight="1">
      <c r="A60" s="53" t="s">
        <v>17</v>
      </c>
      <c r="B60" s="24"/>
      <c r="C60" s="24"/>
      <c r="D60" s="25">
        <f>SUM(D59,D53,D49,D45,D43,D41)</f>
        <v>779020</v>
      </c>
      <c r="E60" s="25">
        <f>SUM(E59,E53,E49,E45,E43,E41)</f>
        <v>250</v>
      </c>
      <c r="F60" s="25">
        <f>SUM(F59,F53,F49,F45,F43,F41)</f>
        <v>0</v>
      </c>
      <c r="G60" s="25">
        <f>SUM(G59,G53,G49,G45,G43,G41)</f>
        <v>667400</v>
      </c>
      <c r="H60" s="25">
        <f t="shared" si="9"/>
        <v>1446670</v>
      </c>
      <c r="I60" s="25">
        <f>SUM(I59,I53,I49,I45,I43,I41)</f>
        <v>260661</v>
      </c>
      <c r="J60" s="25">
        <f>SUM(J59,J53,J49,J45,J43,J41)</f>
        <v>282</v>
      </c>
      <c r="K60" s="25">
        <f>SUM(K59,K53,K49,K45,K43,K41)</f>
        <v>0</v>
      </c>
      <c r="L60" s="25">
        <f>SUM(L59,L53,L49,L45,L43,L41)</f>
        <v>203000</v>
      </c>
      <c r="M60" s="25">
        <f t="shared" si="1"/>
        <v>463943</v>
      </c>
      <c r="N60" s="30">
        <f t="shared" si="11"/>
        <v>0.32069718733366975</v>
      </c>
      <c r="O60" s="78"/>
    </row>
    <row r="61" spans="1:15" ht="48.75">
      <c r="A61" s="54" t="s">
        <v>18</v>
      </c>
      <c r="B61" s="23" t="s">
        <v>19</v>
      </c>
      <c r="C61" s="17" t="s">
        <v>129</v>
      </c>
      <c r="D61" s="4"/>
      <c r="E61" s="4"/>
      <c r="F61" s="4">
        <v>1054500</v>
      </c>
      <c r="G61" s="4"/>
      <c r="H61" s="7">
        <f t="shared" si="9"/>
        <v>1054500</v>
      </c>
      <c r="I61" s="7"/>
      <c r="J61" s="7"/>
      <c r="K61" s="7">
        <v>439655</v>
      </c>
      <c r="L61" s="7"/>
      <c r="M61" s="7">
        <f t="shared" si="1"/>
        <v>439655</v>
      </c>
      <c r="N61" s="5">
        <f t="shared" si="11"/>
        <v>0.416932195353248</v>
      </c>
      <c r="O61" s="78"/>
    </row>
    <row r="62" spans="1:15" ht="40.5" customHeight="1">
      <c r="A62" s="68"/>
      <c r="B62" s="19"/>
      <c r="C62" s="18" t="s">
        <v>69</v>
      </c>
      <c r="D62" s="4"/>
      <c r="E62" s="4"/>
      <c r="F62" s="4"/>
      <c r="G62" s="4">
        <v>531300</v>
      </c>
      <c r="H62" s="7">
        <f t="shared" si="9"/>
        <v>531300</v>
      </c>
      <c r="I62" s="7"/>
      <c r="J62" s="7"/>
      <c r="K62" s="7"/>
      <c r="L62" s="7">
        <v>245100</v>
      </c>
      <c r="M62" s="7">
        <f t="shared" si="1"/>
        <v>245100</v>
      </c>
      <c r="N62" s="5">
        <f t="shared" si="11"/>
        <v>0.4613212874082439</v>
      </c>
      <c r="O62" s="78"/>
    </row>
    <row r="63" spans="1:15" ht="39">
      <c r="A63" s="68"/>
      <c r="B63" s="19"/>
      <c r="C63" s="22" t="s">
        <v>77</v>
      </c>
      <c r="D63" s="4">
        <f>81000-11765</f>
        <v>69235</v>
      </c>
      <c r="E63" s="4">
        <v>1250</v>
      </c>
      <c r="F63" s="4"/>
      <c r="G63" s="4"/>
      <c r="H63" s="7">
        <f t="shared" si="9"/>
        <v>70485</v>
      </c>
      <c r="I63" s="7">
        <v>18091</v>
      </c>
      <c r="J63" s="7">
        <v>5053</v>
      </c>
      <c r="K63" s="7"/>
      <c r="L63" s="7"/>
      <c r="M63" s="7">
        <f t="shared" si="1"/>
        <v>23144</v>
      </c>
      <c r="N63" s="5">
        <f t="shared" si="11"/>
        <v>0.3283535504007945</v>
      </c>
      <c r="O63" s="78"/>
    </row>
    <row r="64" spans="1:15" ht="9.75">
      <c r="A64" s="68"/>
      <c r="B64" s="29" t="s">
        <v>130</v>
      </c>
      <c r="C64" s="29"/>
      <c r="D64" s="6">
        <f>SUM(D61:D63)</f>
        <v>69235</v>
      </c>
      <c r="E64" s="6">
        <f>SUM(E61:E63)</f>
        <v>1250</v>
      </c>
      <c r="F64" s="6">
        <f>SUM(F61:F63)</f>
        <v>1054500</v>
      </c>
      <c r="G64" s="6">
        <f>SUM(G61:G63)</f>
        <v>531300</v>
      </c>
      <c r="H64" s="6">
        <f t="shared" si="9"/>
        <v>1656285</v>
      </c>
      <c r="I64" s="6">
        <f>SUM(I61:I63)</f>
        <v>18091</v>
      </c>
      <c r="J64" s="6">
        <f>SUM(J61:J63)</f>
        <v>5053</v>
      </c>
      <c r="K64" s="6">
        <f>SUM(K61:K63)</f>
        <v>439655</v>
      </c>
      <c r="L64" s="6">
        <f>SUM(L61:L63)</f>
        <v>245100</v>
      </c>
      <c r="M64" s="6">
        <f t="shared" si="1"/>
        <v>707899</v>
      </c>
      <c r="N64" s="28">
        <f t="shared" si="11"/>
        <v>0.42740168509646587</v>
      </c>
      <c r="O64" s="78"/>
    </row>
    <row r="65" spans="1:15" s="10" customFormat="1" ht="29.25" customHeight="1">
      <c r="A65" s="69"/>
      <c r="B65" s="120" t="s">
        <v>20</v>
      </c>
      <c r="C65" s="18" t="s">
        <v>253</v>
      </c>
      <c r="D65" s="13"/>
      <c r="E65" s="13"/>
      <c r="F65" s="13"/>
      <c r="G65" s="13"/>
      <c r="H65" s="7">
        <f t="shared" si="9"/>
        <v>0</v>
      </c>
      <c r="I65" s="13">
        <v>190</v>
      </c>
      <c r="J65" s="13"/>
      <c r="K65" s="13"/>
      <c r="L65" s="13"/>
      <c r="M65" s="7">
        <f t="shared" si="1"/>
        <v>190</v>
      </c>
      <c r="N65" s="5"/>
      <c r="O65" s="80"/>
    </row>
    <row r="66" spans="1:15" ht="12" customHeight="1">
      <c r="A66" s="68"/>
      <c r="B66" s="121"/>
      <c r="C66" s="17" t="s">
        <v>82</v>
      </c>
      <c r="D66" s="4">
        <v>12000</v>
      </c>
      <c r="E66" s="4">
        <v>24000</v>
      </c>
      <c r="F66" s="4"/>
      <c r="G66" s="4"/>
      <c r="H66" s="7">
        <f t="shared" si="9"/>
        <v>36000</v>
      </c>
      <c r="I66" s="7">
        <v>7013</v>
      </c>
      <c r="J66" s="7">
        <v>20704</v>
      </c>
      <c r="K66" s="7"/>
      <c r="L66" s="7"/>
      <c r="M66" s="7">
        <f t="shared" si="1"/>
        <v>27717</v>
      </c>
      <c r="N66" s="5">
        <f t="shared" si="11"/>
        <v>0.7699166666666667</v>
      </c>
      <c r="O66" s="78"/>
    </row>
    <row r="67" spans="1:15" ht="11.25" customHeight="1">
      <c r="A67" s="68"/>
      <c r="B67" s="104"/>
      <c r="C67" s="18" t="s">
        <v>71</v>
      </c>
      <c r="D67" s="4">
        <v>391600</v>
      </c>
      <c r="E67" s="4">
        <v>15400</v>
      </c>
      <c r="F67" s="4"/>
      <c r="G67" s="4"/>
      <c r="H67" s="7">
        <f t="shared" si="9"/>
        <v>407000</v>
      </c>
      <c r="I67" s="7">
        <v>423226</v>
      </c>
      <c r="J67" s="7"/>
      <c r="K67" s="7"/>
      <c r="L67" s="7"/>
      <c r="M67" s="7">
        <f t="shared" si="1"/>
        <v>423226</v>
      </c>
      <c r="N67" s="5">
        <f t="shared" si="11"/>
        <v>1.0398673218673218</v>
      </c>
      <c r="O67" s="78"/>
    </row>
    <row r="68" spans="1:15" ht="49.5" customHeight="1">
      <c r="A68" s="68"/>
      <c r="B68" s="19"/>
      <c r="C68" s="18" t="s">
        <v>104</v>
      </c>
      <c r="D68" s="4">
        <v>385000</v>
      </c>
      <c r="E68" s="4"/>
      <c r="F68" s="4"/>
      <c r="G68" s="4"/>
      <c r="H68" s="7">
        <f t="shared" si="9"/>
        <v>385000</v>
      </c>
      <c r="I68" s="7">
        <v>112860</v>
      </c>
      <c r="J68" s="7"/>
      <c r="K68" s="7"/>
      <c r="L68" s="7"/>
      <c r="M68" s="7">
        <f t="shared" si="1"/>
        <v>112860</v>
      </c>
      <c r="N68" s="5">
        <f t="shared" si="11"/>
        <v>0.29314285714285715</v>
      </c>
      <c r="O68" s="78"/>
    </row>
    <row r="69" spans="1:15" ht="9.75">
      <c r="A69" s="68"/>
      <c r="B69" s="19"/>
      <c r="C69" s="18" t="s">
        <v>237</v>
      </c>
      <c r="D69" s="4"/>
      <c r="E69" s="4"/>
      <c r="F69" s="4"/>
      <c r="G69" s="4"/>
      <c r="H69" s="7">
        <f t="shared" si="9"/>
        <v>0</v>
      </c>
      <c r="I69" s="7">
        <v>19370</v>
      </c>
      <c r="J69" s="7"/>
      <c r="K69" s="7"/>
      <c r="L69" s="7"/>
      <c r="M69" s="7">
        <f aca="true" t="shared" si="12" ref="M69:M75">SUM(I69:L69)</f>
        <v>19370</v>
      </c>
      <c r="N69" s="5"/>
      <c r="O69" s="78"/>
    </row>
    <row r="70" spans="1:15" ht="9.75">
      <c r="A70" s="68"/>
      <c r="B70" s="19"/>
      <c r="C70" s="18" t="s">
        <v>72</v>
      </c>
      <c r="D70" s="4"/>
      <c r="E70" s="4"/>
      <c r="F70" s="4"/>
      <c r="G70" s="4"/>
      <c r="H70" s="7">
        <f t="shared" si="9"/>
        <v>0</v>
      </c>
      <c r="I70" s="7">
        <v>44534</v>
      </c>
      <c r="J70" s="7">
        <v>9943</v>
      </c>
      <c r="K70" s="7"/>
      <c r="L70" s="7"/>
      <c r="M70" s="7">
        <f t="shared" si="12"/>
        <v>54477</v>
      </c>
      <c r="N70" s="5"/>
      <c r="O70" s="78"/>
    </row>
    <row r="71" spans="1:15" ht="19.5">
      <c r="A71" s="68"/>
      <c r="B71" s="19"/>
      <c r="C71" s="18" t="s">
        <v>208</v>
      </c>
      <c r="D71" s="4"/>
      <c r="E71" s="4"/>
      <c r="F71" s="4"/>
      <c r="G71" s="4"/>
      <c r="H71" s="7">
        <f t="shared" si="9"/>
        <v>0</v>
      </c>
      <c r="I71" s="7">
        <v>50</v>
      </c>
      <c r="J71" s="7"/>
      <c r="K71" s="7"/>
      <c r="L71" s="7"/>
      <c r="M71" s="7">
        <f t="shared" si="12"/>
        <v>50</v>
      </c>
      <c r="N71" s="5"/>
      <c r="O71" s="78"/>
    </row>
    <row r="72" spans="1:15" ht="9.75">
      <c r="A72" s="68"/>
      <c r="B72" s="19"/>
      <c r="C72" s="18" t="s">
        <v>74</v>
      </c>
      <c r="D72" s="4">
        <v>21318</v>
      </c>
      <c r="E72" s="4"/>
      <c r="F72" s="4"/>
      <c r="G72" s="4"/>
      <c r="H72" s="7">
        <f t="shared" si="9"/>
        <v>21318</v>
      </c>
      <c r="I72" s="7">
        <v>116074</v>
      </c>
      <c r="J72" s="7"/>
      <c r="K72" s="7"/>
      <c r="L72" s="7"/>
      <c r="M72" s="7">
        <f t="shared" si="12"/>
        <v>116074</v>
      </c>
      <c r="N72" s="5">
        <f t="shared" si="11"/>
        <v>5.444882259123745</v>
      </c>
      <c r="O72" s="78"/>
    </row>
    <row r="73" spans="1:15" ht="28.5" customHeight="1">
      <c r="A73" s="68"/>
      <c r="B73" s="19"/>
      <c r="C73" s="22" t="s">
        <v>83</v>
      </c>
      <c r="D73" s="4"/>
      <c r="E73" s="4">
        <v>12300</v>
      </c>
      <c r="F73" s="4"/>
      <c r="G73" s="4"/>
      <c r="H73" s="7">
        <f t="shared" si="9"/>
        <v>12300</v>
      </c>
      <c r="I73" s="9"/>
      <c r="J73" s="7">
        <v>5022</v>
      </c>
      <c r="K73" s="9"/>
      <c r="L73" s="9"/>
      <c r="M73" s="7">
        <f t="shared" si="12"/>
        <v>5022</v>
      </c>
      <c r="N73" s="5">
        <f t="shared" si="11"/>
        <v>0.40829268292682924</v>
      </c>
      <c r="O73" s="78"/>
    </row>
    <row r="74" spans="1:15" ht="9.75">
      <c r="A74" s="68"/>
      <c r="B74" s="33" t="s">
        <v>131</v>
      </c>
      <c r="C74" s="29"/>
      <c r="D74" s="6">
        <f>SUM(D66:D73)</f>
        <v>809918</v>
      </c>
      <c r="E74" s="6">
        <f>SUM(E66:E73)</f>
        <v>51700</v>
      </c>
      <c r="F74" s="6">
        <f>SUM(F66:F73)</f>
        <v>0</v>
      </c>
      <c r="G74" s="6">
        <f>SUM(G66:G73)</f>
        <v>0</v>
      </c>
      <c r="H74" s="6">
        <f t="shared" si="9"/>
        <v>861618</v>
      </c>
      <c r="I74" s="6">
        <f>SUM(I65:I73)</f>
        <v>723317</v>
      </c>
      <c r="J74" s="6">
        <f>SUM(J65:J73)</f>
        <v>35669</v>
      </c>
      <c r="K74" s="6">
        <f>SUM(K65:K73)</f>
        <v>0</v>
      </c>
      <c r="L74" s="6">
        <f>SUM(L65:L73)</f>
        <v>0</v>
      </c>
      <c r="M74" s="6">
        <f t="shared" si="12"/>
        <v>758986</v>
      </c>
      <c r="N74" s="28">
        <f aca="true" t="shared" si="13" ref="N74:N79">M74/H74</f>
        <v>0.8808845683353876</v>
      </c>
      <c r="O74" s="78"/>
    </row>
    <row r="75" spans="1:15" ht="38.25" customHeight="1">
      <c r="A75" s="68"/>
      <c r="B75" s="23" t="s">
        <v>21</v>
      </c>
      <c r="C75" s="27" t="s">
        <v>69</v>
      </c>
      <c r="D75" s="4"/>
      <c r="E75" s="4"/>
      <c r="F75" s="4"/>
      <c r="G75" s="4">
        <v>94000</v>
      </c>
      <c r="H75" s="7">
        <f t="shared" si="9"/>
        <v>94000</v>
      </c>
      <c r="I75" s="7"/>
      <c r="J75" s="7"/>
      <c r="K75" s="7"/>
      <c r="L75" s="7">
        <v>94000</v>
      </c>
      <c r="M75" s="7">
        <f t="shared" si="12"/>
        <v>94000</v>
      </c>
      <c r="N75" s="5">
        <f t="shared" si="13"/>
        <v>1</v>
      </c>
      <c r="O75" s="78"/>
    </row>
    <row r="76" spans="1:15" ht="9.75">
      <c r="A76" s="68"/>
      <c r="B76" s="33" t="s">
        <v>132</v>
      </c>
      <c r="C76" s="29"/>
      <c r="D76" s="6">
        <f>SUM(D75)</f>
        <v>0</v>
      </c>
      <c r="E76" s="6">
        <f>SUM(E75)</f>
        <v>0</v>
      </c>
      <c r="F76" s="6">
        <f>SUM(F75)</f>
        <v>0</v>
      </c>
      <c r="G76" s="6">
        <f>SUM(G75)</f>
        <v>94000</v>
      </c>
      <c r="H76" s="6">
        <f t="shared" si="9"/>
        <v>94000</v>
      </c>
      <c r="I76" s="6">
        <f>SUM(I75)</f>
        <v>0</v>
      </c>
      <c r="J76" s="6">
        <f>SUM(J75)</f>
        <v>0</v>
      </c>
      <c r="K76" s="6">
        <f>SUM(K75)</f>
        <v>0</v>
      </c>
      <c r="L76" s="6">
        <f>SUM(L75)</f>
        <v>94000</v>
      </c>
      <c r="M76" s="6">
        <f>SUM(M75)</f>
        <v>94000</v>
      </c>
      <c r="N76" s="28">
        <f t="shared" si="13"/>
        <v>1</v>
      </c>
      <c r="O76" s="78"/>
    </row>
    <row r="77" spans="1:15" s="10" customFormat="1" ht="9.75">
      <c r="A77" s="69"/>
      <c r="B77" s="120" t="s">
        <v>22</v>
      </c>
      <c r="C77" s="18" t="s">
        <v>72</v>
      </c>
      <c r="D77" s="13"/>
      <c r="E77" s="13"/>
      <c r="F77" s="13"/>
      <c r="G77" s="13"/>
      <c r="H77" s="7">
        <f t="shared" si="9"/>
        <v>0</v>
      </c>
      <c r="I77" s="7">
        <v>772</v>
      </c>
      <c r="J77" s="13"/>
      <c r="K77" s="13"/>
      <c r="L77" s="13"/>
      <c r="M77" s="7">
        <f aca="true" t="shared" si="14" ref="M77:M83">SUM(I77:L77)</f>
        <v>772</v>
      </c>
      <c r="N77" s="5"/>
      <c r="O77" s="80"/>
    </row>
    <row r="78" spans="1:15" s="10" customFormat="1" ht="9.75">
      <c r="A78" s="69"/>
      <c r="B78" s="121"/>
      <c r="C78" s="18" t="s">
        <v>74</v>
      </c>
      <c r="D78" s="13"/>
      <c r="E78" s="13"/>
      <c r="F78" s="13"/>
      <c r="G78" s="13"/>
      <c r="H78" s="7">
        <f t="shared" si="9"/>
        <v>0</v>
      </c>
      <c r="I78" s="7">
        <v>20170</v>
      </c>
      <c r="J78" s="13"/>
      <c r="K78" s="13"/>
      <c r="L78" s="13"/>
      <c r="M78" s="7">
        <f t="shared" si="14"/>
        <v>20170</v>
      </c>
      <c r="N78" s="5"/>
      <c r="O78" s="80"/>
    </row>
    <row r="79" spans="1:15" s="10" customFormat="1" ht="19.5">
      <c r="A79" s="69"/>
      <c r="B79" s="121"/>
      <c r="C79" s="18" t="s">
        <v>204</v>
      </c>
      <c r="D79" s="13">
        <v>53180</v>
      </c>
      <c r="E79" s="13"/>
      <c r="F79" s="13"/>
      <c r="G79" s="13"/>
      <c r="H79" s="7">
        <f t="shared" si="9"/>
        <v>53180</v>
      </c>
      <c r="I79" s="7">
        <v>53181</v>
      </c>
      <c r="J79" s="13"/>
      <c r="K79" s="13"/>
      <c r="L79" s="13"/>
      <c r="M79" s="7">
        <f t="shared" si="14"/>
        <v>53181</v>
      </c>
      <c r="N79" s="5">
        <f t="shared" si="13"/>
        <v>1.0000188040616773</v>
      </c>
      <c r="O79" s="80"/>
    </row>
    <row r="80" spans="1:15" ht="42.75" customHeight="1">
      <c r="A80" s="68"/>
      <c r="B80" s="122"/>
      <c r="C80" s="18" t="s">
        <v>70</v>
      </c>
      <c r="D80" s="4">
        <v>13000</v>
      </c>
      <c r="E80" s="4"/>
      <c r="F80" s="4"/>
      <c r="G80" s="4"/>
      <c r="H80" s="7">
        <f t="shared" si="9"/>
        <v>13000</v>
      </c>
      <c r="I80" s="13">
        <v>49</v>
      </c>
      <c r="J80" s="9"/>
      <c r="K80" s="9"/>
      <c r="L80" s="9"/>
      <c r="M80" s="7">
        <f t="shared" si="14"/>
        <v>49</v>
      </c>
      <c r="N80" s="5">
        <f aca="true" t="shared" si="15" ref="N80:N85">M80/H80</f>
        <v>0.003769230769230769</v>
      </c>
      <c r="O80" s="78"/>
    </row>
    <row r="81" spans="1:15" ht="9.75">
      <c r="A81" s="68"/>
      <c r="B81" s="37" t="s">
        <v>133</v>
      </c>
      <c r="C81" s="34"/>
      <c r="D81" s="6">
        <f>SUM(D77:D80)</f>
        <v>66180</v>
      </c>
      <c r="E81" s="6">
        <f>SUM(E77:E80)</f>
        <v>0</v>
      </c>
      <c r="F81" s="6">
        <f>SUM(F77:F80)</f>
        <v>0</v>
      </c>
      <c r="G81" s="6">
        <f>SUM(G77:G80)</f>
        <v>0</v>
      </c>
      <c r="H81" s="6">
        <f t="shared" si="9"/>
        <v>66180</v>
      </c>
      <c r="I81" s="6">
        <f>SUM(I77:I80)</f>
        <v>74172</v>
      </c>
      <c r="J81" s="6">
        <f>SUM(J77:J80)</f>
        <v>0</v>
      </c>
      <c r="K81" s="6">
        <f>SUM(K77:K80)</f>
        <v>0</v>
      </c>
      <c r="L81" s="6">
        <f>SUM(L77:L80)</f>
        <v>0</v>
      </c>
      <c r="M81" s="6">
        <f t="shared" si="14"/>
        <v>74172</v>
      </c>
      <c r="N81" s="28">
        <f t="shared" si="15"/>
        <v>1.1207615593834996</v>
      </c>
      <c r="O81" s="78"/>
    </row>
    <row r="82" spans="1:15" ht="11.25">
      <c r="A82" s="56" t="s">
        <v>23</v>
      </c>
      <c r="B82" s="36"/>
      <c r="C82" s="24"/>
      <c r="D82" s="25">
        <f>SUM(D81,D76,D74,D64)</f>
        <v>945333</v>
      </c>
      <c r="E82" s="25">
        <f>SUM(E81,E76,E74,E64)</f>
        <v>52950</v>
      </c>
      <c r="F82" s="25">
        <f>SUM(F81,F76,F74,F64)</f>
        <v>1054500</v>
      </c>
      <c r="G82" s="25">
        <f>SUM(G81,G76,G74,G64)</f>
        <v>625300</v>
      </c>
      <c r="H82" s="25">
        <f t="shared" si="9"/>
        <v>2678083</v>
      </c>
      <c r="I82" s="25">
        <f>SUM(I81,I76,I74,I64)</f>
        <v>815580</v>
      </c>
      <c r="J82" s="25">
        <f>SUM(J81,J76,J74,J64)</f>
        <v>40722</v>
      </c>
      <c r="K82" s="25">
        <f>SUM(K81,K76,K74,K64)</f>
        <v>439655</v>
      </c>
      <c r="L82" s="25">
        <f>SUM(L81,L76,L74,L64)</f>
        <v>339100</v>
      </c>
      <c r="M82" s="25">
        <f t="shared" si="14"/>
        <v>1635057</v>
      </c>
      <c r="N82" s="30">
        <f t="shared" si="15"/>
        <v>0.610532608586067</v>
      </c>
      <c r="O82" s="78"/>
    </row>
    <row r="83" spans="1:15" ht="49.5" customHeight="1">
      <c r="A83" s="117" t="s">
        <v>24</v>
      </c>
      <c r="B83" s="23" t="s">
        <v>25</v>
      </c>
      <c r="C83" s="27" t="s">
        <v>129</v>
      </c>
      <c r="D83" s="4"/>
      <c r="E83" s="4"/>
      <c r="F83" s="4">
        <v>36610</v>
      </c>
      <c r="G83" s="4"/>
      <c r="H83" s="7">
        <f t="shared" si="9"/>
        <v>36610</v>
      </c>
      <c r="I83" s="7"/>
      <c r="J83" s="7"/>
      <c r="K83" s="7">
        <v>15255</v>
      </c>
      <c r="L83" s="7"/>
      <c r="M83" s="7">
        <f t="shared" si="14"/>
        <v>15255</v>
      </c>
      <c r="N83" s="5">
        <f t="shared" si="15"/>
        <v>0.4166894291177274</v>
      </c>
      <c r="O83" s="78"/>
    </row>
    <row r="84" spans="1:15" ht="13.5" customHeight="1">
      <c r="A84" s="117"/>
      <c r="B84" s="37" t="s">
        <v>134</v>
      </c>
      <c r="C84" s="34"/>
      <c r="D84" s="6">
        <f aca="true" t="shared" si="16" ref="D84:G85">SUM(D83)</f>
        <v>0</v>
      </c>
      <c r="E84" s="6">
        <f t="shared" si="16"/>
        <v>0</v>
      </c>
      <c r="F84" s="6">
        <f t="shared" si="16"/>
        <v>36610</v>
      </c>
      <c r="G84" s="6">
        <f t="shared" si="16"/>
        <v>0</v>
      </c>
      <c r="H84" s="6">
        <f t="shared" si="9"/>
        <v>36610</v>
      </c>
      <c r="I84" s="6">
        <f aca="true" t="shared" si="17" ref="I84:M85">SUM(I83)</f>
        <v>0</v>
      </c>
      <c r="J84" s="6">
        <f t="shared" si="17"/>
        <v>0</v>
      </c>
      <c r="K84" s="6">
        <f t="shared" si="17"/>
        <v>15255</v>
      </c>
      <c r="L84" s="6">
        <f t="shared" si="17"/>
        <v>0</v>
      </c>
      <c r="M84" s="6">
        <f t="shared" si="17"/>
        <v>15255</v>
      </c>
      <c r="N84" s="28">
        <f t="shared" si="15"/>
        <v>0.4166894291177274</v>
      </c>
      <c r="O84" s="78"/>
    </row>
    <row r="85" spans="1:15" ht="11.25">
      <c r="A85" s="56" t="s">
        <v>26</v>
      </c>
      <c r="B85" s="36"/>
      <c r="C85" s="24"/>
      <c r="D85" s="25">
        <f t="shared" si="16"/>
        <v>0</v>
      </c>
      <c r="E85" s="25">
        <f>SUM(E84)</f>
        <v>0</v>
      </c>
      <c r="F85" s="25">
        <f>SUM(F84)</f>
        <v>36610</v>
      </c>
      <c r="G85" s="25">
        <f>SUM(G84)</f>
        <v>0</v>
      </c>
      <c r="H85" s="25">
        <f t="shared" si="9"/>
        <v>36610</v>
      </c>
      <c r="I85" s="25">
        <f t="shared" si="17"/>
        <v>0</v>
      </c>
      <c r="J85" s="25">
        <f t="shared" si="17"/>
        <v>0</v>
      </c>
      <c r="K85" s="25">
        <f t="shared" si="17"/>
        <v>15255</v>
      </c>
      <c r="L85" s="25">
        <f t="shared" si="17"/>
        <v>0</v>
      </c>
      <c r="M85" s="25">
        <f t="shared" si="17"/>
        <v>15255</v>
      </c>
      <c r="N85" s="30">
        <f t="shared" si="15"/>
        <v>0.4166894291177274</v>
      </c>
      <c r="O85" s="78"/>
    </row>
    <row r="86" spans="1:15" s="10" customFormat="1" ht="11.25">
      <c r="A86" s="116" t="s">
        <v>27</v>
      </c>
      <c r="B86" s="119" t="s">
        <v>28</v>
      </c>
      <c r="C86" s="18" t="s">
        <v>72</v>
      </c>
      <c r="D86" s="47"/>
      <c r="E86" s="47"/>
      <c r="F86" s="47"/>
      <c r="G86" s="47"/>
      <c r="H86" s="7">
        <f t="shared" si="9"/>
        <v>0</v>
      </c>
      <c r="I86" s="47"/>
      <c r="J86" s="7">
        <v>2041</v>
      </c>
      <c r="K86" s="47"/>
      <c r="L86" s="47"/>
      <c r="M86" s="7">
        <f aca="true" t="shared" si="18" ref="M86:M151">SUM(I86:L86)</f>
        <v>2041</v>
      </c>
      <c r="N86" s="5"/>
      <c r="O86" s="80"/>
    </row>
    <row r="87" spans="1:15" ht="48" customHeight="1">
      <c r="A87" s="117"/>
      <c r="B87" s="119"/>
      <c r="C87" s="17" t="s">
        <v>69</v>
      </c>
      <c r="D87" s="4"/>
      <c r="E87" s="4"/>
      <c r="F87" s="4"/>
      <c r="G87" s="4">
        <v>7826000</v>
      </c>
      <c r="H87" s="7">
        <f t="shared" si="9"/>
        <v>7826000</v>
      </c>
      <c r="I87" s="7"/>
      <c r="J87" s="7"/>
      <c r="K87" s="7"/>
      <c r="L87" s="7">
        <v>4062574</v>
      </c>
      <c r="M87" s="7">
        <f t="shared" si="18"/>
        <v>4062574</v>
      </c>
      <c r="N87" s="5">
        <f>M87/H87</f>
        <v>0.5191124456938411</v>
      </c>
      <c r="O87" s="78"/>
    </row>
    <row r="88" spans="1:15" ht="36.75" customHeight="1">
      <c r="A88" s="117"/>
      <c r="B88" s="119"/>
      <c r="C88" s="18" t="s">
        <v>77</v>
      </c>
      <c r="D88" s="4"/>
      <c r="E88" s="4">
        <v>1100</v>
      </c>
      <c r="F88" s="4"/>
      <c r="G88" s="4"/>
      <c r="H88" s="7">
        <f t="shared" si="9"/>
        <v>1100</v>
      </c>
      <c r="I88" s="9"/>
      <c r="J88" s="7"/>
      <c r="K88" s="9"/>
      <c r="L88" s="9"/>
      <c r="M88" s="7">
        <f t="shared" si="18"/>
        <v>0</v>
      </c>
      <c r="N88" s="5">
        <f>M88/H88</f>
        <v>0</v>
      </c>
      <c r="O88" s="78"/>
    </row>
    <row r="89" spans="1:15" ht="57" customHeight="1">
      <c r="A89" s="117"/>
      <c r="B89" s="119"/>
      <c r="C89" s="22" t="s">
        <v>135</v>
      </c>
      <c r="D89" s="4"/>
      <c r="E89" s="4"/>
      <c r="F89" s="4"/>
      <c r="G89" s="4">
        <f>60000+200000</f>
        <v>260000</v>
      </c>
      <c r="H89" s="7">
        <f t="shared" si="9"/>
        <v>260000</v>
      </c>
      <c r="I89" s="7"/>
      <c r="J89" s="7"/>
      <c r="K89" s="7"/>
      <c r="L89" s="7"/>
      <c r="M89" s="7">
        <f t="shared" si="18"/>
        <v>0</v>
      </c>
      <c r="N89" s="5">
        <f>M89/H89</f>
        <v>0</v>
      </c>
      <c r="O89" s="78"/>
    </row>
    <row r="90" spans="1:15" ht="9.75">
      <c r="A90" s="117"/>
      <c r="B90" s="33" t="s">
        <v>136</v>
      </c>
      <c r="C90" s="29"/>
      <c r="D90" s="6">
        <f>SUM(D86:D89)</f>
        <v>0</v>
      </c>
      <c r="E90" s="6">
        <f>SUM(E86:E89)</f>
        <v>1100</v>
      </c>
      <c r="F90" s="6">
        <f>SUM(F86:F89)</f>
        <v>0</v>
      </c>
      <c r="G90" s="6">
        <f>SUM(G86:G89)</f>
        <v>8086000</v>
      </c>
      <c r="H90" s="6">
        <f t="shared" si="9"/>
        <v>8087100</v>
      </c>
      <c r="I90" s="6">
        <f>SUM(I86:I89)</f>
        <v>0</v>
      </c>
      <c r="J90" s="6">
        <f>SUM(J86:J89)</f>
        <v>2041</v>
      </c>
      <c r="K90" s="6">
        <f>SUM(K86:K89)</f>
        <v>0</v>
      </c>
      <c r="L90" s="6">
        <f>SUM(L86:L89)</f>
        <v>4062574</v>
      </c>
      <c r="M90" s="6">
        <f t="shared" si="18"/>
        <v>4064615</v>
      </c>
      <c r="N90" s="28">
        <f>M90/H90</f>
        <v>0.5026047656143735</v>
      </c>
      <c r="O90" s="78"/>
    </row>
    <row r="91" spans="1:15" ht="18.75" customHeight="1">
      <c r="A91" s="117"/>
      <c r="B91" s="120" t="s">
        <v>58</v>
      </c>
      <c r="C91" s="27" t="s">
        <v>85</v>
      </c>
      <c r="D91" s="4">
        <v>50000</v>
      </c>
      <c r="E91" s="4"/>
      <c r="F91" s="4"/>
      <c r="G91" s="4"/>
      <c r="H91" s="7">
        <f t="shared" si="9"/>
        <v>50000</v>
      </c>
      <c r="I91" s="7">
        <v>23045</v>
      </c>
      <c r="J91" s="7"/>
      <c r="K91" s="7"/>
      <c r="L91" s="7"/>
      <c r="M91" s="7">
        <f t="shared" si="18"/>
        <v>23045</v>
      </c>
      <c r="N91" s="5">
        <f>M91/H91</f>
        <v>0.4609</v>
      </c>
      <c r="O91" s="78"/>
    </row>
    <row r="92" spans="1:15" ht="9.75">
      <c r="A92" s="117"/>
      <c r="B92" s="122"/>
      <c r="C92" s="18" t="s">
        <v>71</v>
      </c>
      <c r="D92" s="4"/>
      <c r="E92" s="4"/>
      <c r="F92" s="4"/>
      <c r="G92" s="4"/>
      <c r="H92" s="7">
        <f t="shared" si="9"/>
        <v>0</v>
      </c>
      <c r="I92" s="7">
        <v>71</v>
      </c>
      <c r="J92" s="7"/>
      <c r="K92" s="7"/>
      <c r="L92" s="7"/>
      <c r="M92" s="7">
        <f t="shared" si="18"/>
        <v>71</v>
      </c>
      <c r="N92" s="5"/>
      <c r="O92" s="78"/>
    </row>
    <row r="93" spans="1:15" ht="8.25" customHeight="1">
      <c r="A93" s="118"/>
      <c r="B93" s="37" t="s">
        <v>137</v>
      </c>
      <c r="C93" s="34"/>
      <c r="D93" s="6">
        <f>SUM(D91:D92)</f>
        <v>50000</v>
      </c>
      <c r="E93" s="6">
        <f>SUM(E91:E92)</f>
        <v>0</v>
      </c>
      <c r="F93" s="6">
        <f>SUM(F91:F92)</f>
        <v>0</v>
      </c>
      <c r="G93" s="6">
        <f>SUM(G91:G92)</f>
        <v>0</v>
      </c>
      <c r="H93" s="6">
        <f aca="true" t="shared" si="19" ref="H93:H135">SUM(D93:G93)</f>
        <v>50000</v>
      </c>
      <c r="I93" s="6">
        <f>SUM(I91:I92)</f>
        <v>23116</v>
      </c>
      <c r="J93" s="6">
        <f>SUM(J91:J92)</f>
        <v>0</v>
      </c>
      <c r="K93" s="6">
        <f>SUM(K91:K92)</f>
        <v>0</v>
      </c>
      <c r="L93" s="6">
        <f>SUM(L91:L92)</f>
        <v>0</v>
      </c>
      <c r="M93" s="6">
        <f t="shared" si="18"/>
        <v>23116</v>
      </c>
      <c r="N93" s="28">
        <f aca="true" t="shared" si="20" ref="N93:N148">M93/H93</f>
        <v>0.46232</v>
      </c>
      <c r="O93" s="78"/>
    </row>
    <row r="94" spans="1:15" ht="11.25">
      <c r="A94" s="56" t="s">
        <v>29</v>
      </c>
      <c r="B94" s="36"/>
      <c r="C94" s="24"/>
      <c r="D94" s="25">
        <f>SUM(D93,D90)</f>
        <v>50000</v>
      </c>
      <c r="E94" s="25">
        <f>SUM(E93,E90)</f>
        <v>1100</v>
      </c>
      <c r="F94" s="25">
        <f>SUM(F93,F90)</f>
        <v>0</v>
      </c>
      <c r="G94" s="25">
        <f>SUM(G93,G90)</f>
        <v>8086000</v>
      </c>
      <c r="H94" s="25">
        <f t="shared" si="19"/>
        <v>8137100</v>
      </c>
      <c r="I94" s="25">
        <f>SUM(I93,I90)</f>
        <v>23116</v>
      </c>
      <c r="J94" s="25">
        <f>SUM(J93,J90)</f>
        <v>2041</v>
      </c>
      <c r="K94" s="25">
        <f>SUM(K93,K90)</f>
        <v>0</v>
      </c>
      <c r="L94" s="25">
        <f>SUM(L93,L90)</f>
        <v>4062574</v>
      </c>
      <c r="M94" s="25">
        <f t="shared" si="18"/>
        <v>4087731</v>
      </c>
      <c r="N94" s="30">
        <f t="shared" si="20"/>
        <v>0.5023572280050632</v>
      </c>
      <c r="O94" s="78"/>
    </row>
    <row r="95" spans="1:15" ht="29.25">
      <c r="A95" s="117" t="s">
        <v>103</v>
      </c>
      <c r="B95" s="130" t="s">
        <v>30</v>
      </c>
      <c r="C95" s="17" t="s">
        <v>138</v>
      </c>
      <c r="D95" s="4">
        <v>1000000</v>
      </c>
      <c r="E95" s="4"/>
      <c r="F95" s="4"/>
      <c r="G95" s="4"/>
      <c r="H95" s="7">
        <f t="shared" si="19"/>
        <v>1000000</v>
      </c>
      <c r="I95" s="7">
        <v>377140</v>
      </c>
      <c r="J95" s="9"/>
      <c r="K95" s="9"/>
      <c r="L95" s="9"/>
      <c r="M95" s="7">
        <f t="shared" si="18"/>
        <v>377140</v>
      </c>
      <c r="N95" s="5">
        <f t="shared" si="20"/>
        <v>0.37714</v>
      </c>
      <c r="O95" s="78"/>
    </row>
    <row r="96" spans="1:15" ht="19.5">
      <c r="A96" s="117"/>
      <c r="B96" s="131"/>
      <c r="C96" s="22" t="s">
        <v>86</v>
      </c>
      <c r="D96" s="4">
        <v>60000</v>
      </c>
      <c r="E96" s="4"/>
      <c r="F96" s="4"/>
      <c r="G96" s="4"/>
      <c r="H96" s="7">
        <f t="shared" si="19"/>
        <v>60000</v>
      </c>
      <c r="I96" s="7">
        <v>12807</v>
      </c>
      <c r="J96" s="7"/>
      <c r="K96" s="7"/>
      <c r="L96" s="7"/>
      <c r="M96" s="7">
        <f t="shared" si="18"/>
        <v>12807</v>
      </c>
      <c r="N96" s="5">
        <f t="shared" si="20"/>
        <v>0.21345</v>
      </c>
      <c r="O96" s="78"/>
    </row>
    <row r="97" spans="1:15" ht="9.75">
      <c r="A97" s="117"/>
      <c r="B97" s="33" t="s">
        <v>139</v>
      </c>
      <c r="C97" s="29"/>
      <c r="D97" s="6">
        <f>SUM(D95:D96)</f>
        <v>1060000</v>
      </c>
      <c r="E97" s="6">
        <f>SUM(E95:E96)</f>
        <v>0</v>
      </c>
      <c r="F97" s="6">
        <f>SUM(F95:F96)</f>
        <v>0</v>
      </c>
      <c r="G97" s="6">
        <f>SUM(G95:G96)</f>
        <v>0</v>
      </c>
      <c r="H97" s="6">
        <f t="shared" si="19"/>
        <v>1060000</v>
      </c>
      <c r="I97" s="6">
        <f>SUM(I95:I96)</f>
        <v>389947</v>
      </c>
      <c r="J97" s="6">
        <f>SUM(J95:J96)</f>
        <v>0</v>
      </c>
      <c r="K97" s="6">
        <f>SUM(K95:K96)</f>
        <v>0</v>
      </c>
      <c r="L97" s="6">
        <f>SUM(L95:L96)</f>
        <v>0</v>
      </c>
      <c r="M97" s="6">
        <f t="shared" si="18"/>
        <v>389947</v>
      </c>
      <c r="N97" s="28">
        <f t="shared" si="20"/>
        <v>0.36787452830188677</v>
      </c>
      <c r="O97" s="78"/>
    </row>
    <row r="98" spans="1:15" ht="9.75">
      <c r="A98" s="117"/>
      <c r="B98" s="120" t="s">
        <v>140</v>
      </c>
      <c r="C98" s="17" t="s">
        <v>87</v>
      </c>
      <c r="D98" s="4">
        <v>75600000</v>
      </c>
      <c r="E98" s="4"/>
      <c r="F98" s="4"/>
      <c r="G98" s="4"/>
      <c r="H98" s="7">
        <f t="shared" si="19"/>
        <v>75600000</v>
      </c>
      <c r="I98" s="7">
        <v>31597445</v>
      </c>
      <c r="J98" s="7"/>
      <c r="K98" s="7"/>
      <c r="L98" s="7"/>
      <c r="M98" s="7">
        <f t="shared" si="18"/>
        <v>31597445</v>
      </c>
      <c r="N98" s="5">
        <f t="shared" si="20"/>
        <v>0.41795562169312167</v>
      </c>
      <c r="O98" s="78"/>
    </row>
    <row r="99" spans="1:15" ht="9.75">
      <c r="A99" s="117"/>
      <c r="B99" s="121"/>
      <c r="C99" s="18" t="s">
        <v>88</v>
      </c>
      <c r="D99" s="4">
        <v>400</v>
      </c>
      <c r="E99" s="4"/>
      <c r="F99" s="4"/>
      <c r="G99" s="4"/>
      <c r="H99" s="7">
        <f t="shared" si="19"/>
        <v>400</v>
      </c>
      <c r="I99" s="7">
        <v>386</v>
      </c>
      <c r="J99" s="9"/>
      <c r="K99" s="9"/>
      <c r="L99" s="9"/>
      <c r="M99" s="7">
        <f t="shared" si="18"/>
        <v>386</v>
      </c>
      <c r="N99" s="5">
        <f t="shared" si="20"/>
        <v>0.965</v>
      </c>
      <c r="O99" s="78"/>
    </row>
    <row r="100" spans="1:15" ht="9.75">
      <c r="A100" s="117"/>
      <c r="B100" s="121"/>
      <c r="C100" s="18" t="s">
        <v>89</v>
      </c>
      <c r="D100" s="4">
        <v>64800</v>
      </c>
      <c r="E100" s="4"/>
      <c r="F100" s="4"/>
      <c r="G100" s="4"/>
      <c r="H100" s="7">
        <f t="shared" si="19"/>
        <v>64800</v>
      </c>
      <c r="I100" s="7">
        <v>28154</v>
      </c>
      <c r="J100" s="7"/>
      <c r="K100" s="7"/>
      <c r="L100" s="7"/>
      <c r="M100" s="7">
        <f t="shared" si="18"/>
        <v>28154</v>
      </c>
      <c r="N100" s="5">
        <f t="shared" si="20"/>
        <v>0.4344753086419753</v>
      </c>
      <c r="O100" s="78"/>
    </row>
    <row r="101" spans="1:15" ht="19.5">
      <c r="A101" s="117"/>
      <c r="B101" s="121"/>
      <c r="C101" s="18" t="s">
        <v>90</v>
      </c>
      <c r="D101" s="4">
        <v>2800000</v>
      </c>
      <c r="E101" s="4"/>
      <c r="F101" s="4"/>
      <c r="G101" s="4"/>
      <c r="H101" s="7">
        <f t="shared" si="19"/>
        <v>2800000</v>
      </c>
      <c r="I101" s="7">
        <v>1830330</v>
      </c>
      <c r="J101" s="7"/>
      <c r="K101" s="7"/>
      <c r="L101" s="7"/>
      <c r="M101" s="7">
        <f t="shared" si="18"/>
        <v>1830330</v>
      </c>
      <c r="N101" s="5">
        <f t="shared" si="20"/>
        <v>0.6536892857142858</v>
      </c>
      <c r="O101" s="78"/>
    </row>
    <row r="102" spans="1:15" ht="19.5" customHeight="1">
      <c r="A102" s="117"/>
      <c r="B102" s="121"/>
      <c r="C102" s="18" t="s">
        <v>91</v>
      </c>
      <c r="D102" s="4">
        <v>3100000</v>
      </c>
      <c r="E102" s="4"/>
      <c r="F102" s="4"/>
      <c r="G102" s="4"/>
      <c r="H102" s="7">
        <f t="shared" si="19"/>
        <v>3100000</v>
      </c>
      <c r="I102" s="7">
        <v>1601032</v>
      </c>
      <c r="J102" s="9"/>
      <c r="K102" s="9"/>
      <c r="L102" s="9"/>
      <c r="M102" s="7">
        <f t="shared" si="18"/>
        <v>1601032</v>
      </c>
      <c r="N102" s="5">
        <f t="shared" si="20"/>
        <v>0.516461935483871</v>
      </c>
      <c r="O102" s="78"/>
    </row>
    <row r="103" spans="1:15" ht="19.5">
      <c r="A103" s="123"/>
      <c r="B103" s="121"/>
      <c r="C103" s="22" t="s">
        <v>86</v>
      </c>
      <c r="D103" s="4">
        <v>1000000</v>
      </c>
      <c r="E103" s="4"/>
      <c r="F103" s="4"/>
      <c r="G103" s="4"/>
      <c r="H103" s="7">
        <f t="shared" si="19"/>
        <v>1000000</v>
      </c>
      <c r="I103" s="7">
        <v>385643</v>
      </c>
      <c r="J103" s="13"/>
      <c r="K103" s="13"/>
      <c r="L103" s="13"/>
      <c r="M103" s="7">
        <f t="shared" si="18"/>
        <v>385643</v>
      </c>
      <c r="N103" s="5">
        <f t="shared" si="20"/>
        <v>0.385643</v>
      </c>
      <c r="O103" s="78"/>
    </row>
    <row r="104" spans="1:15" ht="39">
      <c r="A104" s="54"/>
      <c r="B104" s="17"/>
      <c r="C104" s="22" t="s">
        <v>254</v>
      </c>
      <c r="D104" s="4"/>
      <c r="E104" s="4"/>
      <c r="F104" s="4"/>
      <c r="G104" s="4"/>
      <c r="H104" s="7">
        <f t="shared" si="19"/>
        <v>0</v>
      </c>
      <c r="I104" s="7">
        <v>181720</v>
      </c>
      <c r="J104" s="13"/>
      <c r="K104" s="13"/>
      <c r="L104" s="13"/>
      <c r="M104" s="7">
        <f t="shared" si="18"/>
        <v>181720</v>
      </c>
      <c r="N104" s="5"/>
      <c r="O104" s="78"/>
    </row>
    <row r="105" spans="1:15" ht="9.75">
      <c r="A105" s="68"/>
      <c r="B105" s="33" t="s">
        <v>141</v>
      </c>
      <c r="C105" s="29"/>
      <c r="D105" s="6">
        <f>SUM(D98:D103)</f>
        <v>82565200</v>
      </c>
      <c r="E105" s="6">
        <f>SUM(E98:E103)</f>
        <v>0</v>
      </c>
      <c r="F105" s="6">
        <f>SUM(F98:F103)</f>
        <v>0</v>
      </c>
      <c r="G105" s="6">
        <f>SUM(G98:G103)</f>
        <v>0</v>
      </c>
      <c r="H105" s="6">
        <f t="shared" si="19"/>
        <v>82565200</v>
      </c>
      <c r="I105" s="6">
        <f>SUM(I98:I104)</f>
        <v>35624710</v>
      </c>
      <c r="J105" s="6">
        <f>SUM(J98:J103)</f>
        <v>0</v>
      </c>
      <c r="K105" s="6">
        <f>SUM(K98:K103)</f>
        <v>0</v>
      </c>
      <c r="L105" s="6">
        <f>SUM(L98:L103)</f>
        <v>0</v>
      </c>
      <c r="M105" s="6">
        <f t="shared" si="18"/>
        <v>35624710</v>
      </c>
      <c r="N105" s="28">
        <f t="shared" si="20"/>
        <v>0.4314736717164132</v>
      </c>
      <c r="O105" s="78"/>
    </row>
    <row r="106" spans="1:15" ht="9.75">
      <c r="A106" s="68"/>
      <c r="B106" s="124" t="s">
        <v>142</v>
      </c>
      <c r="C106" s="17" t="s">
        <v>87</v>
      </c>
      <c r="D106" s="4">
        <v>11900000</v>
      </c>
      <c r="E106" s="4"/>
      <c r="F106" s="4"/>
      <c r="G106" s="4"/>
      <c r="H106" s="7">
        <f t="shared" si="19"/>
        <v>11900000</v>
      </c>
      <c r="I106" s="7">
        <v>6972311</v>
      </c>
      <c r="J106" s="7"/>
      <c r="K106" s="7"/>
      <c r="L106" s="7"/>
      <c r="M106" s="7">
        <f t="shared" si="18"/>
        <v>6972311</v>
      </c>
      <c r="N106" s="5">
        <f t="shared" si="20"/>
        <v>0.5859084873949579</v>
      </c>
      <c r="O106" s="78"/>
    </row>
    <row r="107" spans="1:15" ht="9.75">
      <c r="A107" s="68"/>
      <c r="B107" s="124"/>
      <c r="C107" s="18" t="s">
        <v>88</v>
      </c>
      <c r="D107" s="4">
        <v>27600</v>
      </c>
      <c r="E107" s="4"/>
      <c r="F107" s="4"/>
      <c r="G107" s="4"/>
      <c r="H107" s="7">
        <f t="shared" si="19"/>
        <v>27600</v>
      </c>
      <c r="I107" s="7">
        <v>8264</v>
      </c>
      <c r="J107" s="7"/>
      <c r="K107" s="7"/>
      <c r="L107" s="7"/>
      <c r="M107" s="7">
        <f t="shared" si="18"/>
        <v>8264</v>
      </c>
      <c r="N107" s="5">
        <f t="shared" si="20"/>
        <v>0.29942028985507246</v>
      </c>
      <c r="O107" s="78"/>
    </row>
    <row r="108" spans="1:15" ht="9.75">
      <c r="A108" s="68"/>
      <c r="B108" s="124"/>
      <c r="C108" s="18" t="s">
        <v>89</v>
      </c>
      <c r="D108" s="4">
        <v>3200</v>
      </c>
      <c r="E108" s="4"/>
      <c r="F108" s="4"/>
      <c r="G108" s="4"/>
      <c r="H108" s="7">
        <f t="shared" si="19"/>
        <v>3200</v>
      </c>
      <c r="I108" s="7">
        <v>882</v>
      </c>
      <c r="J108" s="9"/>
      <c r="K108" s="9"/>
      <c r="L108" s="9"/>
      <c r="M108" s="7">
        <f t="shared" si="18"/>
        <v>882</v>
      </c>
      <c r="N108" s="5">
        <f t="shared" si="20"/>
        <v>0.275625</v>
      </c>
      <c r="O108" s="78"/>
    </row>
    <row r="109" spans="1:15" ht="19.5">
      <c r="A109" s="68"/>
      <c r="B109" s="124"/>
      <c r="C109" s="18" t="s">
        <v>90</v>
      </c>
      <c r="D109" s="4">
        <v>1700000</v>
      </c>
      <c r="E109" s="4"/>
      <c r="F109" s="4"/>
      <c r="G109" s="4"/>
      <c r="H109" s="7">
        <f t="shared" si="19"/>
        <v>1700000</v>
      </c>
      <c r="I109" s="7">
        <v>864274</v>
      </c>
      <c r="J109" s="7"/>
      <c r="K109" s="7"/>
      <c r="L109" s="7"/>
      <c r="M109" s="7">
        <f t="shared" si="18"/>
        <v>864274</v>
      </c>
      <c r="N109" s="5">
        <f t="shared" si="20"/>
        <v>0.5083964705882353</v>
      </c>
      <c r="O109" s="78"/>
    </row>
    <row r="110" spans="1:15" ht="9.75">
      <c r="A110" s="68"/>
      <c r="B110" s="124"/>
      <c r="C110" s="18" t="s">
        <v>93</v>
      </c>
      <c r="D110" s="4">
        <v>3400000</v>
      </c>
      <c r="E110" s="4"/>
      <c r="F110" s="4"/>
      <c r="G110" s="4"/>
      <c r="H110" s="7">
        <f t="shared" si="19"/>
        <v>3400000</v>
      </c>
      <c r="I110" s="7">
        <v>1028885</v>
      </c>
      <c r="J110" s="7"/>
      <c r="K110" s="7"/>
      <c r="L110" s="7"/>
      <c r="M110" s="7">
        <f t="shared" si="18"/>
        <v>1028885</v>
      </c>
      <c r="N110" s="5">
        <f t="shared" si="20"/>
        <v>0.30261323529411766</v>
      </c>
      <c r="O110" s="78"/>
    </row>
    <row r="111" spans="1:15" ht="9.75">
      <c r="A111" s="68"/>
      <c r="B111" s="124"/>
      <c r="C111" s="18" t="s">
        <v>94</v>
      </c>
      <c r="D111" s="4">
        <v>100000</v>
      </c>
      <c r="E111" s="4"/>
      <c r="F111" s="4"/>
      <c r="G111" s="4"/>
      <c r="H111" s="7">
        <f t="shared" si="19"/>
        <v>100000</v>
      </c>
      <c r="I111" s="7">
        <v>70728</v>
      </c>
      <c r="J111" s="7"/>
      <c r="K111" s="7"/>
      <c r="L111" s="7"/>
      <c r="M111" s="7">
        <f t="shared" si="18"/>
        <v>70728</v>
      </c>
      <c r="N111" s="5">
        <f t="shared" si="20"/>
        <v>0.70728</v>
      </c>
      <c r="O111" s="78"/>
    </row>
    <row r="112" spans="1:15" ht="9.75">
      <c r="A112" s="68"/>
      <c r="B112" s="124"/>
      <c r="C112" s="18" t="s">
        <v>95</v>
      </c>
      <c r="D112" s="4">
        <v>1450000</v>
      </c>
      <c r="E112" s="4"/>
      <c r="F112" s="4"/>
      <c r="G112" s="4"/>
      <c r="H112" s="7">
        <f t="shared" si="19"/>
        <v>1450000</v>
      </c>
      <c r="I112" s="7">
        <v>292493</v>
      </c>
      <c r="J112" s="7"/>
      <c r="K112" s="7"/>
      <c r="L112" s="7"/>
      <c r="M112" s="7">
        <f t="shared" si="18"/>
        <v>292493</v>
      </c>
      <c r="N112" s="5">
        <f t="shared" si="20"/>
        <v>0.2017193103448276</v>
      </c>
      <c r="O112" s="78"/>
    </row>
    <row r="113" spans="1:15" ht="9.75">
      <c r="A113" s="68"/>
      <c r="B113" s="124"/>
      <c r="C113" s="18" t="s">
        <v>96</v>
      </c>
      <c r="D113" s="4">
        <v>125200</v>
      </c>
      <c r="E113" s="4"/>
      <c r="F113" s="4"/>
      <c r="G113" s="4"/>
      <c r="H113" s="7">
        <f t="shared" si="19"/>
        <v>125200</v>
      </c>
      <c r="I113" s="7">
        <v>68321</v>
      </c>
      <c r="J113" s="7"/>
      <c r="K113" s="7"/>
      <c r="L113" s="7"/>
      <c r="M113" s="7">
        <f t="shared" si="18"/>
        <v>68321</v>
      </c>
      <c r="N113" s="5">
        <f t="shared" si="20"/>
        <v>0.5456948881789138</v>
      </c>
      <c r="O113" s="78"/>
    </row>
    <row r="114" spans="1:15" ht="29.25">
      <c r="A114" s="68"/>
      <c r="B114" s="124"/>
      <c r="C114" s="18" t="s">
        <v>97</v>
      </c>
      <c r="D114" s="4">
        <v>6000</v>
      </c>
      <c r="E114" s="4"/>
      <c r="F114" s="4"/>
      <c r="G114" s="4"/>
      <c r="H114" s="7">
        <f t="shared" si="19"/>
        <v>6000</v>
      </c>
      <c r="I114" s="7">
        <v>2363</v>
      </c>
      <c r="J114" s="7"/>
      <c r="K114" s="7"/>
      <c r="L114" s="7"/>
      <c r="M114" s="7">
        <f t="shared" si="18"/>
        <v>2363</v>
      </c>
      <c r="N114" s="5">
        <f t="shared" si="20"/>
        <v>0.3938333333333333</v>
      </c>
      <c r="O114" s="78"/>
    </row>
    <row r="115" spans="1:15" ht="19.5" customHeight="1">
      <c r="A115" s="68"/>
      <c r="B115" s="124"/>
      <c r="C115" s="18" t="s">
        <v>91</v>
      </c>
      <c r="D115" s="4">
        <v>10900000</v>
      </c>
      <c r="E115" s="4"/>
      <c r="F115" s="4"/>
      <c r="G115" s="4"/>
      <c r="H115" s="7">
        <f t="shared" si="19"/>
        <v>10900000</v>
      </c>
      <c r="I115" s="7">
        <v>6079379</v>
      </c>
      <c r="J115" s="7"/>
      <c r="K115" s="7"/>
      <c r="L115" s="7"/>
      <c r="M115" s="7">
        <f t="shared" si="18"/>
        <v>6079379</v>
      </c>
      <c r="N115" s="5">
        <f t="shared" si="20"/>
        <v>0.5577411926605504</v>
      </c>
      <c r="O115" s="78"/>
    </row>
    <row r="116" spans="1:15" ht="19.5">
      <c r="A116" s="68"/>
      <c r="B116" s="124"/>
      <c r="C116" s="18" t="s">
        <v>92</v>
      </c>
      <c r="D116" s="4">
        <v>2000</v>
      </c>
      <c r="E116" s="4"/>
      <c r="F116" s="4"/>
      <c r="G116" s="4"/>
      <c r="H116" s="7">
        <f t="shared" si="19"/>
        <v>2000</v>
      </c>
      <c r="I116" s="7">
        <v>340</v>
      </c>
      <c r="J116" s="7"/>
      <c r="K116" s="7"/>
      <c r="L116" s="7"/>
      <c r="M116" s="7">
        <f t="shared" si="18"/>
        <v>340</v>
      </c>
      <c r="N116" s="5">
        <f t="shared" si="20"/>
        <v>0.17</v>
      </c>
      <c r="O116" s="78"/>
    </row>
    <row r="117" spans="1:15" ht="19.5">
      <c r="A117" s="68"/>
      <c r="B117" s="124"/>
      <c r="C117" s="22" t="s">
        <v>86</v>
      </c>
      <c r="D117" s="4">
        <v>500000</v>
      </c>
      <c r="E117" s="4"/>
      <c r="F117" s="4"/>
      <c r="G117" s="4"/>
      <c r="H117" s="7">
        <f t="shared" si="19"/>
        <v>500000</v>
      </c>
      <c r="I117" s="7">
        <v>135723</v>
      </c>
      <c r="J117" s="7"/>
      <c r="K117" s="7"/>
      <c r="L117" s="7"/>
      <c r="M117" s="7">
        <f t="shared" si="18"/>
        <v>135723</v>
      </c>
      <c r="N117" s="5">
        <f t="shared" si="20"/>
        <v>0.271446</v>
      </c>
      <c r="O117" s="78"/>
    </row>
    <row r="118" spans="1:15" ht="9.75">
      <c r="A118" s="68"/>
      <c r="B118" s="33" t="s">
        <v>143</v>
      </c>
      <c r="C118" s="29"/>
      <c r="D118" s="6">
        <f>SUM(D106:D117)</f>
        <v>30114000</v>
      </c>
      <c r="E118" s="6">
        <f>SUM(E106:E117)</f>
        <v>0</v>
      </c>
      <c r="F118" s="6">
        <f>SUM(F106:F117)</f>
        <v>0</v>
      </c>
      <c r="G118" s="6">
        <f>SUM(G106:G117)</f>
        <v>0</v>
      </c>
      <c r="H118" s="6">
        <f t="shared" si="19"/>
        <v>30114000</v>
      </c>
      <c r="I118" s="6">
        <f>SUM(I106:I117)</f>
        <v>15523963</v>
      </c>
      <c r="J118" s="6">
        <f>SUM(J106:J117)</f>
        <v>0</v>
      </c>
      <c r="K118" s="6">
        <f>SUM(K106:K117)</f>
        <v>0</v>
      </c>
      <c r="L118" s="6">
        <f>SUM(L106:L117)</f>
        <v>0</v>
      </c>
      <c r="M118" s="6">
        <f t="shared" si="18"/>
        <v>15523963</v>
      </c>
      <c r="N118" s="28">
        <f t="shared" si="20"/>
        <v>0.5155065086006508</v>
      </c>
      <c r="O118" s="82"/>
    </row>
    <row r="119" spans="1:15" ht="9.75">
      <c r="A119" s="68"/>
      <c r="B119" s="124" t="s">
        <v>68</v>
      </c>
      <c r="C119" s="17" t="s">
        <v>98</v>
      </c>
      <c r="D119" s="4">
        <v>4738000</v>
      </c>
      <c r="E119" s="4"/>
      <c r="F119" s="4"/>
      <c r="G119" s="4"/>
      <c r="H119" s="7">
        <f t="shared" si="19"/>
        <v>4738000</v>
      </c>
      <c r="I119" s="7">
        <v>1816003</v>
      </c>
      <c r="J119" s="7"/>
      <c r="K119" s="7"/>
      <c r="L119" s="7"/>
      <c r="M119" s="7">
        <f t="shared" si="18"/>
        <v>1816003</v>
      </c>
      <c r="N119" s="5">
        <f t="shared" si="20"/>
        <v>0.38328471929084</v>
      </c>
      <c r="O119" s="78"/>
    </row>
    <row r="120" spans="1:15" ht="9.75">
      <c r="A120" s="68"/>
      <c r="B120" s="124"/>
      <c r="C120" s="18" t="s">
        <v>81</v>
      </c>
      <c r="D120" s="4"/>
      <c r="E120" s="4">
        <v>4200000</v>
      </c>
      <c r="F120" s="4"/>
      <c r="G120" s="4"/>
      <c r="H120" s="7">
        <f t="shared" si="19"/>
        <v>4200000</v>
      </c>
      <c r="I120" s="7"/>
      <c r="J120" s="7">
        <v>2694444</v>
      </c>
      <c r="K120" s="7"/>
      <c r="L120" s="7"/>
      <c r="M120" s="7">
        <f t="shared" si="18"/>
        <v>2694444</v>
      </c>
      <c r="N120" s="5">
        <f t="shared" si="20"/>
        <v>0.6415342857142857</v>
      </c>
      <c r="O120" s="78"/>
    </row>
    <row r="121" spans="1:15" ht="18.75" customHeight="1">
      <c r="A121" s="68"/>
      <c r="B121" s="124"/>
      <c r="C121" s="18" t="s">
        <v>84</v>
      </c>
      <c r="D121" s="4">
        <v>3800000</v>
      </c>
      <c r="E121" s="4"/>
      <c r="F121" s="4"/>
      <c r="G121" s="4"/>
      <c r="H121" s="7">
        <f t="shared" si="19"/>
        <v>3800000</v>
      </c>
      <c r="I121" s="7">
        <v>3092109</v>
      </c>
      <c r="J121" s="7"/>
      <c r="K121" s="7"/>
      <c r="L121" s="7"/>
      <c r="M121" s="7">
        <f t="shared" si="18"/>
        <v>3092109</v>
      </c>
      <c r="N121" s="5">
        <f t="shared" si="20"/>
        <v>0.813712894736842</v>
      </c>
      <c r="O121" s="78"/>
    </row>
    <row r="122" spans="1:15" ht="9.75">
      <c r="A122" s="68"/>
      <c r="B122" s="124"/>
      <c r="C122" s="18" t="s">
        <v>71</v>
      </c>
      <c r="D122" s="4"/>
      <c r="E122" s="4"/>
      <c r="F122" s="4"/>
      <c r="G122" s="4"/>
      <c r="H122" s="7">
        <f t="shared" si="19"/>
        <v>0</v>
      </c>
      <c r="I122" s="7"/>
      <c r="J122" s="7">
        <v>20010</v>
      </c>
      <c r="K122" s="7"/>
      <c r="L122" s="7"/>
      <c r="M122" s="7">
        <f t="shared" si="18"/>
        <v>20010</v>
      </c>
      <c r="N122" s="5"/>
      <c r="O122" s="78"/>
    </row>
    <row r="123" spans="1:15" ht="18.75" customHeight="1">
      <c r="A123" s="68"/>
      <c r="B123" s="124"/>
      <c r="C123" s="22" t="s">
        <v>86</v>
      </c>
      <c r="D123" s="4">
        <v>40000</v>
      </c>
      <c r="E123" s="4"/>
      <c r="F123" s="4"/>
      <c r="G123" s="4"/>
      <c r="H123" s="7">
        <f t="shared" si="19"/>
        <v>40000</v>
      </c>
      <c r="I123" s="7">
        <v>10356</v>
      </c>
      <c r="J123" s="9"/>
      <c r="K123" s="9"/>
      <c r="L123" s="9"/>
      <c r="M123" s="7">
        <f t="shared" si="18"/>
        <v>10356</v>
      </c>
      <c r="N123" s="5">
        <f t="shared" si="20"/>
        <v>0.2589</v>
      </c>
      <c r="O123" s="78"/>
    </row>
    <row r="124" spans="1:15" ht="12" customHeight="1">
      <c r="A124" s="68"/>
      <c r="B124" s="33" t="s">
        <v>144</v>
      </c>
      <c r="C124" s="29"/>
      <c r="D124" s="6">
        <f>SUM(D119:D123)</f>
        <v>8578000</v>
      </c>
      <c r="E124" s="6">
        <f>SUM(E119:E123)</f>
        <v>4200000</v>
      </c>
      <c r="F124" s="6">
        <f>SUM(F119:F123)</f>
        <v>0</v>
      </c>
      <c r="G124" s="6">
        <f>SUM(G119:G123)</f>
        <v>0</v>
      </c>
      <c r="H124" s="6">
        <f t="shared" si="19"/>
        <v>12778000</v>
      </c>
      <c r="I124" s="6">
        <f>SUM(I119:I123)</f>
        <v>4918468</v>
      </c>
      <c r="J124" s="6">
        <f>SUM(J119:J123)</f>
        <v>2714454</v>
      </c>
      <c r="K124" s="6">
        <f>SUM(K119:K123)</f>
        <v>0</v>
      </c>
      <c r="L124" s="6">
        <f>SUM(L119:L123)</f>
        <v>0</v>
      </c>
      <c r="M124" s="6">
        <f t="shared" si="18"/>
        <v>7632922</v>
      </c>
      <c r="N124" s="28">
        <f t="shared" si="20"/>
        <v>0.597348724370011</v>
      </c>
      <c r="O124" s="78"/>
    </row>
    <row r="125" spans="1:15" ht="21.75" customHeight="1">
      <c r="A125" s="68"/>
      <c r="B125" s="124" t="s">
        <v>31</v>
      </c>
      <c r="C125" s="17" t="s">
        <v>99</v>
      </c>
      <c r="D125" s="4">
        <f>137843412+923116</f>
        <v>138766528</v>
      </c>
      <c r="E125" s="4"/>
      <c r="F125" s="4"/>
      <c r="G125" s="4"/>
      <c r="H125" s="7">
        <f t="shared" si="19"/>
        <v>138766528</v>
      </c>
      <c r="I125" s="7">
        <v>51836481</v>
      </c>
      <c r="J125" s="9"/>
      <c r="K125" s="9"/>
      <c r="L125" s="9"/>
      <c r="M125" s="7">
        <f t="shared" si="18"/>
        <v>51836481</v>
      </c>
      <c r="N125" s="5">
        <f t="shared" si="20"/>
        <v>0.37355176170437876</v>
      </c>
      <c r="O125" s="78"/>
    </row>
    <row r="126" spans="1:15" ht="19.5">
      <c r="A126" s="68"/>
      <c r="B126" s="124"/>
      <c r="C126" s="22" t="s">
        <v>100</v>
      </c>
      <c r="D126" s="4">
        <v>10772284</v>
      </c>
      <c r="E126" s="4"/>
      <c r="F126" s="4"/>
      <c r="G126" s="4"/>
      <c r="H126" s="7">
        <f t="shared" si="19"/>
        <v>10772284</v>
      </c>
      <c r="I126" s="7">
        <v>4932176</v>
      </c>
      <c r="J126" s="7"/>
      <c r="K126" s="7"/>
      <c r="L126" s="7"/>
      <c r="M126" s="7">
        <f t="shared" si="18"/>
        <v>4932176</v>
      </c>
      <c r="N126" s="5">
        <f t="shared" si="20"/>
        <v>0.4578579621554723</v>
      </c>
      <c r="O126" s="78"/>
    </row>
    <row r="127" spans="1:15" ht="13.5" customHeight="1">
      <c r="A127" s="68"/>
      <c r="B127" s="33" t="s">
        <v>145</v>
      </c>
      <c r="C127" s="29"/>
      <c r="D127" s="6">
        <f>SUM(D125:D126)</f>
        <v>149538812</v>
      </c>
      <c r="E127" s="6">
        <f>SUM(E125:E126)</f>
        <v>0</v>
      </c>
      <c r="F127" s="6">
        <f>SUM(F125:F126)</f>
        <v>0</v>
      </c>
      <c r="G127" s="6">
        <f>SUM(G125:G126)</f>
        <v>0</v>
      </c>
      <c r="H127" s="6">
        <f t="shared" si="19"/>
        <v>149538812</v>
      </c>
      <c r="I127" s="6">
        <f>SUM(I125:I126)</f>
        <v>56768657</v>
      </c>
      <c r="J127" s="6">
        <f>SUM(J125:J126)</f>
        <v>0</v>
      </c>
      <c r="K127" s="6">
        <f>SUM(K125:K126)</f>
        <v>0</v>
      </c>
      <c r="L127" s="6">
        <f>SUM(L125:L126)</f>
        <v>0</v>
      </c>
      <c r="M127" s="6">
        <f t="shared" si="18"/>
        <v>56768657</v>
      </c>
      <c r="N127" s="28">
        <f t="shared" si="20"/>
        <v>0.37962490299842694</v>
      </c>
      <c r="O127" s="78"/>
    </row>
    <row r="128" spans="1:15" ht="19.5">
      <c r="A128" s="68"/>
      <c r="B128" s="124" t="s">
        <v>32</v>
      </c>
      <c r="C128" s="17" t="s">
        <v>99</v>
      </c>
      <c r="D128" s="4"/>
      <c r="E128" s="4">
        <f>39676916+265710</f>
        <v>39942626</v>
      </c>
      <c r="F128" s="4"/>
      <c r="G128" s="4"/>
      <c r="H128" s="7">
        <f t="shared" si="19"/>
        <v>39942626</v>
      </c>
      <c r="I128" s="7"/>
      <c r="J128" s="7">
        <v>14920743</v>
      </c>
      <c r="K128" s="7"/>
      <c r="L128" s="7"/>
      <c r="M128" s="7">
        <f t="shared" si="18"/>
        <v>14920743</v>
      </c>
      <c r="N128" s="5">
        <f t="shared" si="20"/>
        <v>0.37355438272886715</v>
      </c>
      <c r="O128" s="78"/>
    </row>
    <row r="129" spans="1:15" ht="19.5">
      <c r="A129" s="68"/>
      <c r="B129" s="124"/>
      <c r="C129" s="22" t="s">
        <v>100</v>
      </c>
      <c r="D129" s="4"/>
      <c r="E129" s="4">
        <v>2630600</v>
      </c>
      <c r="F129" s="4"/>
      <c r="G129" s="4"/>
      <c r="H129" s="7">
        <f t="shared" si="19"/>
        <v>2630600</v>
      </c>
      <c r="I129" s="7"/>
      <c r="J129" s="7">
        <v>926217</v>
      </c>
      <c r="K129" s="7"/>
      <c r="L129" s="7"/>
      <c r="M129" s="7">
        <f t="shared" si="18"/>
        <v>926217</v>
      </c>
      <c r="N129" s="5">
        <f t="shared" si="20"/>
        <v>0.35209343875921845</v>
      </c>
      <c r="O129" s="78"/>
    </row>
    <row r="130" spans="1:15" ht="9.75">
      <c r="A130" s="68"/>
      <c r="B130" s="37" t="s">
        <v>146</v>
      </c>
      <c r="C130" s="34"/>
      <c r="D130" s="6">
        <f>SUM(D128:D129)</f>
        <v>0</v>
      </c>
      <c r="E130" s="6">
        <f>SUM(E128:E129)</f>
        <v>42573226</v>
      </c>
      <c r="F130" s="6">
        <f>SUM(F128:F129)</f>
        <v>0</v>
      </c>
      <c r="G130" s="6">
        <f>SUM(G128:G129)</f>
        <v>0</v>
      </c>
      <c r="H130" s="6">
        <f t="shared" si="19"/>
        <v>42573226</v>
      </c>
      <c r="I130" s="6">
        <f>SUM(I128:I129)</f>
        <v>0</v>
      </c>
      <c r="J130" s="6">
        <f>SUM(J128:J129)</f>
        <v>15846960</v>
      </c>
      <c r="K130" s="6">
        <f>SUM(K128:K129)</f>
        <v>0</v>
      </c>
      <c r="L130" s="6">
        <f>SUM(L128:L129)</f>
        <v>0</v>
      </c>
      <c r="M130" s="6">
        <f t="shared" si="18"/>
        <v>15846960</v>
      </c>
      <c r="N130" s="28">
        <f t="shared" si="20"/>
        <v>0.37222831081675606</v>
      </c>
      <c r="O130" s="78"/>
    </row>
    <row r="131" spans="1:15" ht="12" customHeight="1">
      <c r="A131" s="53" t="s">
        <v>147</v>
      </c>
      <c r="B131" s="38"/>
      <c r="C131" s="24"/>
      <c r="D131" s="25">
        <f>SUM(D130,D127,D124,D118,D105,D97)</f>
        <v>271856012</v>
      </c>
      <c r="E131" s="25">
        <f>SUM(E130,E127,E124,E118,E105,E97)</f>
        <v>46773226</v>
      </c>
      <c r="F131" s="25">
        <f>SUM(F130,F127,F124,F118,F105,F97)</f>
        <v>0</v>
      </c>
      <c r="G131" s="25">
        <f>SUM(G130,G127,G124,G118,G105,G97)</f>
        <v>0</v>
      </c>
      <c r="H131" s="25">
        <f t="shared" si="19"/>
        <v>318629238</v>
      </c>
      <c r="I131" s="25">
        <f>SUM(I130,I127,I124,I118,I105,I97)</f>
        <v>113225745</v>
      </c>
      <c r="J131" s="25">
        <f>SUM(J130,J127,J124,J118,J105,J97)</f>
        <v>18561414</v>
      </c>
      <c r="K131" s="25">
        <f>SUM(K130,K127,K124,K118,K105,K97)</f>
        <v>0</v>
      </c>
      <c r="L131" s="25">
        <f>SUM(L130,L127,L124,L118,L105,L97)</f>
        <v>0</v>
      </c>
      <c r="M131" s="25">
        <f t="shared" si="18"/>
        <v>131787159</v>
      </c>
      <c r="N131" s="30">
        <f t="shared" si="20"/>
        <v>0.4136066100751244</v>
      </c>
      <c r="O131" s="78"/>
    </row>
    <row r="132" spans="1:15" ht="39" customHeight="1">
      <c r="A132" s="54" t="s">
        <v>33</v>
      </c>
      <c r="B132" s="23" t="s">
        <v>34</v>
      </c>
      <c r="C132" s="27" t="s">
        <v>148</v>
      </c>
      <c r="D132" s="4">
        <f>70446038-2286984</f>
        <v>68159054</v>
      </c>
      <c r="E132" s="4">
        <f>61525907-1221568</f>
        <v>60304339</v>
      </c>
      <c r="F132" s="4"/>
      <c r="G132" s="4"/>
      <c r="H132" s="7">
        <f t="shared" si="19"/>
        <v>128463393</v>
      </c>
      <c r="I132" s="7">
        <v>36701028</v>
      </c>
      <c r="J132" s="7">
        <v>32471567</v>
      </c>
      <c r="K132" s="9"/>
      <c r="L132" s="9"/>
      <c r="M132" s="7">
        <f t="shared" si="18"/>
        <v>69172595</v>
      </c>
      <c r="N132" s="5">
        <f t="shared" si="20"/>
        <v>0.5384615288808384</v>
      </c>
      <c r="O132" s="78"/>
    </row>
    <row r="133" spans="1:15" ht="10.5" customHeight="1">
      <c r="A133" s="68"/>
      <c r="B133" s="33" t="s">
        <v>149</v>
      </c>
      <c r="C133" s="29"/>
      <c r="D133" s="6">
        <f>SUM(D132)</f>
        <v>68159054</v>
      </c>
      <c r="E133" s="6">
        <f>SUM(E132)</f>
        <v>60304339</v>
      </c>
      <c r="F133" s="6">
        <f>SUM(F132)</f>
        <v>0</v>
      </c>
      <c r="G133" s="6">
        <f>SUM(G132)</f>
        <v>0</v>
      </c>
      <c r="H133" s="6">
        <f t="shared" si="19"/>
        <v>128463393</v>
      </c>
      <c r="I133" s="6">
        <f>SUM(I132)</f>
        <v>36701028</v>
      </c>
      <c r="J133" s="6">
        <f>SUM(J132)</f>
        <v>32471567</v>
      </c>
      <c r="K133" s="6">
        <f>SUM(K132)</f>
        <v>0</v>
      </c>
      <c r="L133" s="6">
        <f>SUM(L132)</f>
        <v>0</v>
      </c>
      <c r="M133" s="6">
        <f t="shared" si="18"/>
        <v>69172595</v>
      </c>
      <c r="N133" s="28">
        <f t="shared" si="20"/>
        <v>0.5384615288808384</v>
      </c>
      <c r="O133" s="78"/>
    </row>
    <row r="134" spans="1:15" ht="18.75" customHeight="1">
      <c r="A134" s="68"/>
      <c r="B134" s="23" t="s">
        <v>35</v>
      </c>
      <c r="C134" s="27" t="s">
        <v>72</v>
      </c>
      <c r="D134" s="4">
        <v>700000</v>
      </c>
      <c r="E134" s="4"/>
      <c r="F134" s="4"/>
      <c r="G134" s="4"/>
      <c r="H134" s="7">
        <f t="shared" si="19"/>
        <v>700000</v>
      </c>
      <c r="I134" s="7">
        <v>869642</v>
      </c>
      <c r="J134" s="7">
        <v>104</v>
      </c>
      <c r="K134" s="7"/>
      <c r="L134" s="7"/>
      <c r="M134" s="7">
        <f t="shared" si="18"/>
        <v>869746</v>
      </c>
      <c r="N134" s="5">
        <f t="shared" si="20"/>
        <v>1.2424942857142858</v>
      </c>
      <c r="O134" s="78"/>
    </row>
    <row r="135" spans="1:15" ht="9.75">
      <c r="A135" s="68"/>
      <c r="B135" s="33" t="s">
        <v>150</v>
      </c>
      <c r="C135" s="29"/>
      <c r="D135" s="6">
        <f>SUM(D134)</f>
        <v>700000</v>
      </c>
      <c r="E135" s="6">
        <f>SUM(E134)</f>
        <v>0</v>
      </c>
      <c r="F135" s="6">
        <f>SUM(F134)</f>
        <v>0</v>
      </c>
      <c r="G135" s="6">
        <f>SUM(G134)</f>
        <v>0</v>
      </c>
      <c r="H135" s="6">
        <f t="shared" si="19"/>
        <v>700000</v>
      </c>
      <c r="I135" s="6">
        <f>SUM(I134)</f>
        <v>869642</v>
      </c>
      <c r="J135" s="6">
        <f>SUM(J134)</f>
        <v>104</v>
      </c>
      <c r="K135" s="6">
        <f>SUM(K134)</f>
        <v>0</v>
      </c>
      <c r="L135" s="6">
        <f>SUM(L134)</f>
        <v>0</v>
      </c>
      <c r="M135" s="6">
        <f t="shared" si="18"/>
        <v>869746</v>
      </c>
      <c r="N135" s="28">
        <f t="shared" si="20"/>
        <v>1.2424942857142858</v>
      </c>
      <c r="O135" s="78"/>
    </row>
    <row r="136" spans="1:15" s="10" customFormat="1" ht="9.75" customHeight="1" hidden="1">
      <c r="A136" s="69"/>
      <c r="B136" s="18" t="s">
        <v>205</v>
      </c>
      <c r="C136" s="50" t="s">
        <v>71</v>
      </c>
      <c r="D136" s="13"/>
      <c r="E136" s="13"/>
      <c r="F136" s="13"/>
      <c r="G136" s="13"/>
      <c r="H136" s="7">
        <f aca="true" t="shared" si="21" ref="H136:H199">SUM(D136:G136)</f>
        <v>0</v>
      </c>
      <c r="I136" s="7"/>
      <c r="J136" s="13"/>
      <c r="K136" s="13"/>
      <c r="L136" s="13"/>
      <c r="M136" s="7">
        <f t="shared" si="18"/>
        <v>0</v>
      </c>
      <c r="N136" s="5" t="e">
        <f t="shared" si="20"/>
        <v>#DIV/0!</v>
      </c>
      <c r="O136" s="80"/>
    </row>
    <row r="137" spans="1:15" s="10" customFormat="1" ht="9.75" hidden="1">
      <c r="A137" s="69"/>
      <c r="B137" s="18"/>
      <c r="C137" s="18" t="s">
        <v>72</v>
      </c>
      <c r="D137" s="13"/>
      <c r="E137" s="13"/>
      <c r="F137" s="13"/>
      <c r="G137" s="13"/>
      <c r="H137" s="7">
        <f t="shared" si="21"/>
        <v>0</v>
      </c>
      <c r="I137" s="7"/>
      <c r="J137" s="13"/>
      <c r="K137" s="13"/>
      <c r="L137" s="13"/>
      <c r="M137" s="7">
        <f t="shared" si="18"/>
        <v>0</v>
      </c>
      <c r="N137" s="5" t="e">
        <f t="shared" si="20"/>
        <v>#DIV/0!</v>
      </c>
      <c r="O137" s="80"/>
    </row>
    <row r="138" spans="1:15" ht="19.5" customHeight="1">
      <c r="A138" s="68"/>
      <c r="B138" s="18" t="s">
        <v>205</v>
      </c>
      <c r="C138" s="16" t="s">
        <v>207</v>
      </c>
      <c r="D138" s="4"/>
      <c r="E138" s="90"/>
      <c r="F138" s="90"/>
      <c r="G138" s="90"/>
      <c r="H138" s="7">
        <f t="shared" si="21"/>
        <v>0</v>
      </c>
      <c r="I138" s="7">
        <v>1788</v>
      </c>
      <c r="J138" s="7"/>
      <c r="K138" s="7"/>
      <c r="L138" s="7"/>
      <c r="M138" s="7">
        <f t="shared" si="18"/>
        <v>1788</v>
      </c>
      <c r="N138" s="5"/>
      <c r="O138" s="78"/>
    </row>
    <row r="139" spans="1:15" ht="9.75">
      <c r="A139" s="68"/>
      <c r="B139" s="33" t="s">
        <v>206</v>
      </c>
      <c r="C139" s="29"/>
      <c r="D139" s="6">
        <f>SUM(D138)</f>
        <v>0</v>
      </c>
      <c r="E139" s="6">
        <f>SUM(E138)</f>
        <v>0</v>
      </c>
      <c r="F139" s="6">
        <f>SUM(F138)</f>
        <v>0</v>
      </c>
      <c r="G139" s="6">
        <f>SUM(G138)</f>
        <v>0</v>
      </c>
      <c r="H139" s="6">
        <f t="shared" si="21"/>
        <v>0</v>
      </c>
      <c r="I139" s="6">
        <f>SUM(I136:I138)</f>
        <v>1788</v>
      </c>
      <c r="J139" s="6">
        <f>SUM(J136:J138)</f>
        <v>0</v>
      </c>
      <c r="K139" s="6">
        <f>SUM(K136:K138)</f>
        <v>0</v>
      </c>
      <c r="L139" s="6">
        <f>SUM(L136:L138)</f>
        <v>0</v>
      </c>
      <c r="M139" s="6">
        <f t="shared" si="18"/>
        <v>1788</v>
      </c>
      <c r="N139" s="28"/>
      <c r="O139" s="78"/>
    </row>
    <row r="140" spans="1:15" ht="30" customHeight="1">
      <c r="A140" s="68"/>
      <c r="B140" s="23" t="s">
        <v>151</v>
      </c>
      <c r="C140" s="27" t="s">
        <v>148</v>
      </c>
      <c r="D140" s="4"/>
      <c r="E140" s="4">
        <v>604865</v>
      </c>
      <c r="F140" s="4"/>
      <c r="G140" s="4"/>
      <c r="H140" s="7">
        <f t="shared" si="21"/>
        <v>604865</v>
      </c>
      <c r="I140" s="7"/>
      <c r="J140" s="7">
        <v>252027</v>
      </c>
      <c r="K140" s="7"/>
      <c r="L140" s="7"/>
      <c r="M140" s="7">
        <f t="shared" si="18"/>
        <v>252027</v>
      </c>
      <c r="N140" s="5">
        <f t="shared" si="20"/>
        <v>0.4166665288948774</v>
      </c>
      <c r="O140" s="78"/>
    </row>
    <row r="141" spans="1:15" ht="9.75">
      <c r="A141" s="68"/>
      <c r="B141" s="37" t="s">
        <v>152</v>
      </c>
      <c r="C141" s="34"/>
      <c r="D141" s="6">
        <f>SUM(D140)</f>
        <v>0</v>
      </c>
      <c r="E141" s="6">
        <f>SUM(E140)</f>
        <v>604865</v>
      </c>
      <c r="F141" s="6">
        <f>SUM(F140)</f>
        <v>0</v>
      </c>
      <c r="G141" s="6">
        <f>SUM(G140)</f>
        <v>0</v>
      </c>
      <c r="H141" s="6">
        <f t="shared" si="21"/>
        <v>604865</v>
      </c>
      <c r="I141" s="6">
        <f>SUM(I140)</f>
        <v>0</v>
      </c>
      <c r="J141" s="6">
        <f>SUM(J140)</f>
        <v>252027</v>
      </c>
      <c r="K141" s="6">
        <f>SUM(K140)</f>
        <v>0</v>
      </c>
      <c r="L141" s="6">
        <f>SUM(L140)</f>
        <v>0</v>
      </c>
      <c r="M141" s="6">
        <f t="shared" si="18"/>
        <v>252027</v>
      </c>
      <c r="N141" s="28">
        <f t="shared" si="20"/>
        <v>0.4166665288948774</v>
      </c>
      <c r="O141" s="78"/>
    </row>
    <row r="142" spans="1:15" ht="11.25">
      <c r="A142" s="56" t="s">
        <v>36</v>
      </c>
      <c r="B142" s="36"/>
      <c r="C142" s="24"/>
      <c r="D142" s="25">
        <f>SUM(D141,D139,D133,D135)</f>
        <v>68859054</v>
      </c>
      <c r="E142" s="25">
        <f>SUM(E141,E139,E133,E135)</f>
        <v>60909204</v>
      </c>
      <c r="F142" s="25">
        <f>SUM(F141,F139,F133,F135)</f>
        <v>0</v>
      </c>
      <c r="G142" s="25">
        <f>SUM(G141,G139,G133,G135)</f>
        <v>0</v>
      </c>
      <c r="H142" s="25">
        <f t="shared" si="21"/>
        <v>129768258</v>
      </c>
      <c r="I142" s="25">
        <f>SUM(I141,I139,I135,I133)</f>
        <v>37572458</v>
      </c>
      <c r="J142" s="25">
        <f>SUM(J141,J139,J135,J133)</f>
        <v>32723698</v>
      </c>
      <c r="K142" s="25">
        <f>SUM(K141,K139,K135,K133)</f>
        <v>0</v>
      </c>
      <c r="L142" s="25">
        <f>SUM(L141,L139,L135,L133)</f>
        <v>0</v>
      </c>
      <c r="M142" s="25">
        <f t="shared" si="18"/>
        <v>70296156</v>
      </c>
      <c r="N142" s="30">
        <f t="shared" si="20"/>
        <v>0.5417053221135172</v>
      </c>
      <c r="O142" s="78"/>
    </row>
    <row r="143" spans="1:15" ht="58.5">
      <c r="A143" s="54" t="s">
        <v>37</v>
      </c>
      <c r="B143" s="120" t="s">
        <v>38</v>
      </c>
      <c r="C143" s="18" t="s">
        <v>104</v>
      </c>
      <c r="D143" s="4">
        <v>1035741</v>
      </c>
      <c r="E143" s="4"/>
      <c r="F143" s="4"/>
      <c r="G143" s="4"/>
      <c r="H143" s="7">
        <f t="shared" si="21"/>
        <v>1035741</v>
      </c>
      <c r="I143" s="7">
        <v>516227</v>
      </c>
      <c r="J143" s="7"/>
      <c r="K143" s="7"/>
      <c r="L143" s="7"/>
      <c r="M143" s="7">
        <f t="shared" si="18"/>
        <v>516227</v>
      </c>
      <c r="N143" s="8">
        <f t="shared" si="20"/>
        <v>0.49841321334194555</v>
      </c>
      <c r="O143" s="78"/>
    </row>
    <row r="144" spans="1:15" ht="9.75">
      <c r="A144" s="54"/>
      <c r="B144" s="121"/>
      <c r="C144" s="18" t="s">
        <v>193</v>
      </c>
      <c r="D144" s="4">
        <f>389871-262615</f>
        <v>127256</v>
      </c>
      <c r="E144" s="4"/>
      <c r="F144" s="4"/>
      <c r="G144" s="4"/>
      <c r="H144" s="7">
        <f t="shared" si="21"/>
        <v>127256</v>
      </c>
      <c r="I144" s="7">
        <v>127248</v>
      </c>
      <c r="J144" s="7"/>
      <c r="K144" s="7"/>
      <c r="L144" s="7"/>
      <c r="M144" s="7">
        <f t="shared" si="18"/>
        <v>127248</v>
      </c>
      <c r="N144" s="8">
        <f t="shared" si="20"/>
        <v>0.9999371345948325</v>
      </c>
      <c r="O144" s="78"/>
    </row>
    <row r="145" spans="1:15" ht="9.75">
      <c r="A145" s="54"/>
      <c r="B145" s="121"/>
      <c r="C145" s="18" t="s">
        <v>72</v>
      </c>
      <c r="D145" s="4">
        <v>2351</v>
      </c>
      <c r="E145" s="4"/>
      <c r="F145" s="4"/>
      <c r="G145" s="4"/>
      <c r="H145" s="7">
        <f t="shared" si="21"/>
        <v>2351</v>
      </c>
      <c r="I145" s="7">
        <v>43118</v>
      </c>
      <c r="J145" s="7"/>
      <c r="K145" s="7"/>
      <c r="L145" s="7"/>
      <c r="M145" s="7">
        <f t="shared" si="18"/>
        <v>43118</v>
      </c>
      <c r="N145" s="8">
        <f t="shared" si="20"/>
        <v>18.340280731603574</v>
      </c>
      <c r="O145" s="78"/>
    </row>
    <row r="146" spans="1:15" ht="19.5">
      <c r="A146" s="54"/>
      <c r="B146" s="121"/>
      <c r="C146" s="18" t="s">
        <v>208</v>
      </c>
      <c r="D146" s="4">
        <v>72916</v>
      </c>
      <c r="E146" s="4"/>
      <c r="F146" s="4"/>
      <c r="G146" s="4"/>
      <c r="H146" s="7">
        <f t="shared" si="21"/>
        <v>72916</v>
      </c>
      <c r="I146" s="7">
        <v>74453</v>
      </c>
      <c r="J146" s="7"/>
      <c r="K146" s="7"/>
      <c r="L146" s="7"/>
      <c r="M146" s="7">
        <f t="shared" si="18"/>
        <v>74453</v>
      </c>
      <c r="N146" s="8">
        <f t="shared" si="20"/>
        <v>1.0210790498655988</v>
      </c>
      <c r="O146" s="78"/>
    </row>
    <row r="147" spans="1:15" ht="9.75">
      <c r="A147" s="54"/>
      <c r="B147" s="121"/>
      <c r="C147" s="18" t="s">
        <v>74</v>
      </c>
      <c r="D147" s="4">
        <v>6770</v>
      </c>
      <c r="E147" s="4"/>
      <c r="F147" s="4"/>
      <c r="G147" s="4"/>
      <c r="H147" s="7">
        <f t="shared" si="21"/>
        <v>6770</v>
      </c>
      <c r="I147" s="7">
        <v>8303</v>
      </c>
      <c r="J147" s="7"/>
      <c r="K147" s="7"/>
      <c r="L147" s="7"/>
      <c r="M147" s="7">
        <f t="shared" si="18"/>
        <v>8303</v>
      </c>
      <c r="N147" s="8">
        <f t="shared" si="20"/>
        <v>1.226440177252585</v>
      </c>
      <c r="O147" s="78"/>
    </row>
    <row r="148" spans="1:15" ht="19.5">
      <c r="A148" s="54"/>
      <c r="B148" s="122"/>
      <c r="C148" s="18" t="s">
        <v>204</v>
      </c>
      <c r="D148" s="4">
        <v>281204</v>
      </c>
      <c r="E148" s="4"/>
      <c r="F148" s="4"/>
      <c r="G148" s="4"/>
      <c r="H148" s="7">
        <f t="shared" si="21"/>
        <v>281204</v>
      </c>
      <c r="I148" s="7">
        <v>284979</v>
      </c>
      <c r="J148" s="7"/>
      <c r="K148" s="7"/>
      <c r="L148" s="7"/>
      <c r="M148" s="7">
        <f t="shared" si="18"/>
        <v>284979</v>
      </c>
      <c r="N148" s="8">
        <f t="shared" si="20"/>
        <v>1.0134244178603433</v>
      </c>
      <c r="O148" s="78"/>
    </row>
    <row r="149" spans="1:15" ht="9.75">
      <c r="A149" s="68"/>
      <c r="B149" s="33" t="s">
        <v>153</v>
      </c>
      <c r="C149" s="29"/>
      <c r="D149" s="6">
        <f>SUM(D143:D148)</f>
        <v>1526238</v>
      </c>
      <c r="E149" s="6">
        <f>SUM(E143:E148)</f>
        <v>0</v>
      </c>
      <c r="F149" s="6">
        <f>SUM(F143:F148)</f>
        <v>0</v>
      </c>
      <c r="G149" s="6">
        <f>SUM(G143:G148)</f>
        <v>0</v>
      </c>
      <c r="H149" s="6">
        <f t="shared" si="21"/>
        <v>1526238</v>
      </c>
      <c r="I149" s="6">
        <f>SUM(I143:I148)</f>
        <v>1054328</v>
      </c>
      <c r="J149" s="6">
        <f>SUM(J143:J148)</f>
        <v>0</v>
      </c>
      <c r="K149" s="6">
        <f>SUM(K143:K148)</f>
        <v>0</v>
      </c>
      <c r="L149" s="6">
        <f>SUM(L143:L148)</f>
        <v>0</v>
      </c>
      <c r="M149" s="6">
        <f t="shared" si="18"/>
        <v>1054328</v>
      </c>
      <c r="N149" s="28">
        <f>M149/H149</f>
        <v>0.6908018277621184</v>
      </c>
      <c r="O149" s="78"/>
    </row>
    <row r="150" spans="1:15" ht="48.75" customHeight="1">
      <c r="A150" s="68"/>
      <c r="B150" s="120" t="s">
        <v>39</v>
      </c>
      <c r="C150" s="18" t="s">
        <v>104</v>
      </c>
      <c r="D150" s="4"/>
      <c r="E150" s="4">
        <v>35000</v>
      </c>
      <c r="F150" s="4"/>
      <c r="G150" s="4"/>
      <c r="H150" s="7">
        <f t="shared" si="21"/>
        <v>35000</v>
      </c>
      <c r="I150" s="13"/>
      <c r="J150" s="7">
        <v>14418</v>
      </c>
      <c r="K150" s="13"/>
      <c r="L150" s="13"/>
      <c r="M150" s="7">
        <f t="shared" si="18"/>
        <v>14418</v>
      </c>
      <c r="N150" s="5">
        <f>M150/H150</f>
        <v>0.41194285714285717</v>
      </c>
      <c r="O150" s="78"/>
    </row>
    <row r="151" spans="1:15" ht="9.75">
      <c r="A151" s="68"/>
      <c r="B151" s="121"/>
      <c r="C151" s="18" t="s">
        <v>193</v>
      </c>
      <c r="D151" s="4"/>
      <c r="E151" s="4">
        <f>100-100</f>
        <v>0</v>
      </c>
      <c r="F151" s="4"/>
      <c r="G151" s="4"/>
      <c r="H151" s="7">
        <f t="shared" si="21"/>
        <v>0</v>
      </c>
      <c r="I151" s="13"/>
      <c r="J151" s="13"/>
      <c r="K151" s="13"/>
      <c r="L151" s="13"/>
      <c r="M151" s="7">
        <f t="shared" si="18"/>
        <v>0</v>
      </c>
      <c r="N151" s="5"/>
      <c r="O151" s="78"/>
    </row>
    <row r="152" spans="1:15" ht="11.25" customHeight="1">
      <c r="A152" s="68"/>
      <c r="B152" s="121"/>
      <c r="C152" s="18" t="s">
        <v>72</v>
      </c>
      <c r="D152" s="4"/>
      <c r="E152" s="4">
        <v>23</v>
      </c>
      <c r="F152" s="4"/>
      <c r="G152" s="4"/>
      <c r="H152" s="7">
        <f t="shared" si="21"/>
        <v>23</v>
      </c>
      <c r="I152" s="13"/>
      <c r="J152" s="7">
        <v>1089</v>
      </c>
      <c r="K152" s="13"/>
      <c r="L152" s="13"/>
      <c r="M152" s="7">
        <f aca="true" t="shared" si="22" ref="M152:M200">SUM(I152:L152)</f>
        <v>1089</v>
      </c>
      <c r="N152" s="5">
        <f>M152/H152</f>
        <v>47.34782608695652</v>
      </c>
      <c r="O152" s="78"/>
    </row>
    <row r="153" spans="1:15" ht="19.5">
      <c r="A153" s="68"/>
      <c r="B153" s="122"/>
      <c r="C153" s="18" t="s">
        <v>204</v>
      </c>
      <c r="D153" s="4"/>
      <c r="E153" s="4">
        <v>7062</v>
      </c>
      <c r="F153" s="4"/>
      <c r="G153" s="4"/>
      <c r="H153" s="7">
        <f t="shared" si="21"/>
        <v>7062</v>
      </c>
      <c r="I153" s="13"/>
      <c r="J153" s="7">
        <v>7062</v>
      </c>
      <c r="K153" s="13"/>
      <c r="L153" s="13"/>
      <c r="M153" s="7">
        <f t="shared" si="22"/>
        <v>7062</v>
      </c>
      <c r="N153" s="5">
        <f>M153/H153</f>
        <v>1</v>
      </c>
      <c r="O153" s="78"/>
    </row>
    <row r="154" spans="1:15" ht="9.75">
      <c r="A154" s="68"/>
      <c r="B154" s="33" t="s">
        <v>154</v>
      </c>
      <c r="C154" s="29"/>
      <c r="D154" s="6">
        <f>SUM(D150:D153)</f>
        <v>0</v>
      </c>
      <c r="E154" s="6">
        <f>SUM(E150:E153)</f>
        <v>42085</v>
      </c>
      <c r="F154" s="6">
        <f>SUM(F150:F153)</f>
        <v>0</v>
      </c>
      <c r="G154" s="6">
        <f>SUM(G150:G153)</f>
        <v>0</v>
      </c>
      <c r="H154" s="6">
        <f t="shared" si="21"/>
        <v>42085</v>
      </c>
      <c r="I154" s="6">
        <f>SUM(I150:I153)</f>
        <v>0</v>
      </c>
      <c r="J154" s="6">
        <f>SUM(J150:J153)</f>
        <v>22569</v>
      </c>
      <c r="K154" s="6">
        <f>SUM(K150:K153)</f>
        <v>0</v>
      </c>
      <c r="L154" s="6">
        <f>SUM(L150:L153)</f>
        <v>0</v>
      </c>
      <c r="M154" s="6">
        <f t="shared" si="22"/>
        <v>22569</v>
      </c>
      <c r="N154" s="28">
        <f>M154/H154</f>
        <v>0.5362718308185814</v>
      </c>
      <c r="O154" s="78"/>
    </row>
    <row r="155" spans="1:15" ht="48" customHeight="1">
      <c r="A155" s="68"/>
      <c r="B155" s="120" t="s">
        <v>209</v>
      </c>
      <c r="C155" s="18" t="s">
        <v>104</v>
      </c>
      <c r="D155" s="4"/>
      <c r="E155" s="4"/>
      <c r="F155" s="4"/>
      <c r="G155" s="4"/>
      <c r="H155" s="7">
        <f t="shared" si="21"/>
        <v>0</v>
      </c>
      <c r="I155" s="7">
        <v>32467</v>
      </c>
      <c r="J155" s="13"/>
      <c r="K155" s="13"/>
      <c r="L155" s="13"/>
      <c r="M155" s="7">
        <f t="shared" si="22"/>
        <v>32467</v>
      </c>
      <c r="N155" s="5"/>
      <c r="O155" s="78"/>
    </row>
    <row r="156" spans="1:15" ht="9.75">
      <c r="A156" s="68"/>
      <c r="B156" s="121"/>
      <c r="C156" s="18" t="s">
        <v>72</v>
      </c>
      <c r="D156" s="4"/>
      <c r="E156" s="4"/>
      <c r="F156" s="4"/>
      <c r="G156" s="4"/>
      <c r="H156" s="7">
        <f t="shared" si="21"/>
        <v>0</v>
      </c>
      <c r="I156" s="7">
        <v>6993</v>
      </c>
      <c r="J156" s="13"/>
      <c r="K156" s="13"/>
      <c r="L156" s="13"/>
      <c r="M156" s="7">
        <f t="shared" si="22"/>
        <v>6993</v>
      </c>
      <c r="N156" s="5"/>
      <c r="O156" s="78"/>
    </row>
    <row r="157" spans="1:15" ht="48.75">
      <c r="A157" s="68"/>
      <c r="B157" s="121"/>
      <c r="C157" s="18" t="s">
        <v>235</v>
      </c>
      <c r="D157" s="4"/>
      <c r="E157" s="4"/>
      <c r="F157" s="4"/>
      <c r="G157" s="4"/>
      <c r="H157" s="7">
        <f t="shared" si="21"/>
        <v>0</v>
      </c>
      <c r="I157" s="7">
        <v>20040</v>
      </c>
      <c r="J157" s="13"/>
      <c r="K157" s="13"/>
      <c r="L157" s="13"/>
      <c r="M157" s="7">
        <f t="shared" si="22"/>
        <v>20040</v>
      </c>
      <c r="N157" s="5"/>
      <c r="O157" s="78"/>
    </row>
    <row r="158" spans="1:15" ht="39" hidden="1">
      <c r="A158" s="68"/>
      <c r="B158" s="121"/>
      <c r="C158" s="18" t="s">
        <v>83</v>
      </c>
      <c r="D158" s="4"/>
      <c r="E158" s="4"/>
      <c r="F158" s="4"/>
      <c r="G158" s="4"/>
      <c r="H158" s="7">
        <f t="shared" si="21"/>
        <v>0</v>
      </c>
      <c r="I158" s="7"/>
      <c r="J158" s="7"/>
      <c r="K158" s="13"/>
      <c r="L158" s="13"/>
      <c r="M158" s="7">
        <f t="shared" si="22"/>
        <v>0</v>
      </c>
      <c r="N158" s="5" t="e">
        <f>M158/H158</f>
        <v>#DIV/0!</v>
      </c>
      <c r="O158" s="78"/>
    </row>
    <row r="159" spans="1:15" ht="27" customHeight="1">
      <c r="A159" s="68"/>
      <c r="B159" s="122"/>
      <c r="C159" s="18" t="s">
        <v>211</v>
      </c>
      <c r="D159" s="4"/>
      <c r="E159" s="4"/>
      <c r="F159" s="4"/>
      <c r="G159" s="4"/>
      <c r="H159" s="7">
        <f t="shared" si="21"/>
        <v>0</v>
      </c>
      <c r="I159" s="7">
        <v>111461</v>
      </c>
      <c r="J159" s="13"/>
      <c r="K159" s="13"/>
      <c r="L159" s="13"/>
      <c r="M159" s="7">
        <f t="shared" si="22"/>
        <v>111461</v>
      </c>
      <c r="N159" s="5"/>
      <c r="O159" s="78"/>
    </row>
    <row r="160" spans="1:15" ht="9.75" customHeight="1">
      <c r="A160" s="68"/>
      <c r="B160" s="33" t="s">
        <v>210</v>
      </c>
      <c r="C160" s="29"/>
      <c r="D160" s="6">
        <f>SUM(D155:D159)</f>
        <v>0</v>
      </c>
      <c r="E160" s="6">
        <f>SUM(E155:E159)</f>
        <v>0</v>
      </c>
      <c r="F160" s="6">
        <f>SUM(F155:F159)</f>
        <v>0</v>
      </c>
      <c r="G160" s="6">
        <f>SUM(G155:G159)</f>
        <v>0</v>
      </c>
      <c r="H160" s="6">
        <f t="shared" si="21"/>
        <v>0</v>
      </c>
      <c r="I160" s="6">
        <f>SUM(I155:I159)</f>
        <v>170961</v>
      </c>
      <c r="J160" s="6">
        <f>SUM(J155:J159)</f>
        <v>0</v>
      </c>
      <c r="K160" s="6">
        <f>SUM(K155:K159)</f>
        <v>0</v>
      </c>
      <c r="L160" s="6">
        <f>SUM(L155:L159)</f>
        <v>0</v>
      </c>
      <c r="M160" s="6">
        <f t="shared" si="22"/>
        <v>170961</v>
      </c>
      <c r="N160" s="28"/>
      <c r="O160" s="78"/>
    </row>
    <row r="161" spans="1:15" s="10" customFormat="1" ht="10.5" customHeight="1">
      <c r="A161" s="69"/>
      <c r="B161" s="120" t="s">
        <v>40</v>
      </c>
      <c r="C161" s="18" t="s">
        <v>71</v>
      </c>
      <c r="D161" s="13"/>
      <c r="E161" s="13"/>
      <c r="F161" s="13"/>
      <c r="G161" s="13"/>
      <c r="H161" s="7">
        <f t="shared" si="21"/>
        <v>0</v>
      </c>
      <c r="I161" s="13">
        <v>68</v>
      </c>
      <c r="J161" s="13"/>
      <c r="K161" s="13"/>
      <c r="L161" s="13"/>
      <c r="M161" s="7">
        <f t="shared" si="22"/>
        <v>68</v>
      </c>
      <c r="N161" s="5"/>
      <c r="O161" s="80"/>
    </row>
    <row r="162" spans="1:15" ht="57.75" customHeight="1">
      <c r="A162" s="68"/>
      <c r="B162" s="121"/>
      <c r="C162" s="27" t="s">
        <v>104</v>
      </c>
      <c r="D162" s="4">
        <v>271286</v>
      </c>
      <c r="E162" s="4"/>
      <c r="F162" s="4"/>
      <c r="G162" s="4"/>
      <c r="H162" s="7">
        <f t="shared" si="21"/>
        <v>271286</v>
      </c>
      <c r="I162" s="7">
        <v>137099</v>
      </c>
      <c r="J162" s="7"/>
      <c r="K162" s="7"/>
      <c r="L162" s="7"/>
      <c r="M162" s="7">
        <f t="shared" si="22"/>
        <v>137099</v>
      </c>
      <c r="N162" s="5">
        <f aca="true" t="shared" si="23" ref="N162:N167">M162/H162</f>
        <v>0.5053670296292474</v>
      </c>
      <c r="O162" s="78"/>
    </row>
    <row r="163" spans="1:15" ht="9.75">
      <c r="A163" s="68"/>
      <c r="B163" s="121"/>
      <c r="C163" s="18" t="s">
        <v>193</v>
      </c>
      <c r="D163" s="4">
        <f>44865-38780</f>
        <v>6085</v>
      </c>
      <c r="E163" s="4"/>
      <c r="F163" s="4"/>
      <c r="G163" s="4"/>
      <c r="H163" s="7">
        <f t="shared" si="21"/>
        <v>6085</v>
      </c>
      <c r="I163" s="7">
        <v>6085</v>
      </c>
      <c r="J163" s="7"/>
      <c r="K163" s="7"/>
      <c r="L163" s="7"/>
      <c r="M163" s="7">
        <f t="shared" si="22"/>
        <v>6085</v>
      </c>
      <c r="N163" s="5">
        <f t="shared" si="23"/>
        <v>1</v>
      </c>
      <c r="O163" s="78"/>
    </row>
    <row r="164" spans="1:15" ht="9.75">
      <c r="A164" s="68"/>
      <c r="B164" s="121"/>
      <c r="C164" s="18" t="s">
        <v>72</v>
      </c>
      <c r="D164" s="4">
        <v>660</v>
      </c>
      <c r="E164" s="4"/>
      <c r="F164" s="4"/>
      <c r="G164" s="4"/>
      <c r="H164" s="7">
        <f t="shared" si="21"/>
        <v>660</v>
      </c>
      <c r="I164" s="7">
        <v>8005</v>
      </c>
      <c r="J164" s="7"/>
      <c r="K164" s="7"/>
      <c r="L164" s="7"/>
      <c r="M164" s="7">
        <f t="shared" si="22"/>
        <v>8005</v>
      </c>
      <c r="N164" s="5">
        <f t="shared" si="23"/>
        <v>12.128787878787879</v>
      </c>
      <c r="O164" s="78"/>
    </row>
    <row r="165" spans="1:15" ht="19.5">
      <c r="A165" s="68"/>
      <c r="B165" s="121"/>
      <c r="C165" s="18" t="s">
        <v>208</v>
      </c>
      <c r="D165" s="4">
        <v>21392</v>
      </c>
      <c r="E165" s="4"/>
      <c r="F165" s="4"/>
      <c r="G165" s="4"/>
      <c r="H165" s="7">
        <f t="shared" si="21"/>
        <v>21392</v>
      </c>
      <c r="I165" s="7">
        <v>21393</v>
      </c>
      <c r="J165" s="7"/>
      <c r="K165" s="7"/>
      <c r="L165" s="7"/>
      <c r="M165" s="7">
        <f t="shared" si="22"/>
        <v>21393</v>
      </c>
      <c r="N165" s="5">
        <f t="shared" si="23"/>
        <v>1.00004674644727</v>
      </c>
      <c r="O165" s="78"/>
    </row>
    <row r="166" spans="1:15" ht="9.75">
      <c r="A166" s="68"/>
      <c r="B166" s="121"/>
      <c r="C166" s="18" t="s">
        <v>74</v>
      </c>
      <c r="D166" s="4">
        <v>7200</v>
      </c>
      <c r="E166" s="4"/>
      <c r="F166" s="4"/>
      <c r="G166" s="4"/>
      <c r="H166" s="7">
        <f t="shared" si="21"/>
        <v>7200</v>
      </c>
      <c r="I166" s="7">
        <v>8035</v>
      </c>
      <c r="J166" s="7"/>
      <c r="K166" s="7"/>
      <c r="L166" s="7"/>
      <c r="M166" s="7">
        <f t="shared" si="22"/>
        <v>8035</v>
      </c>
      <c r="N166" s="5">
        <f t="shared" si="23"/>
        <v>1.1159722222222221</v>
      </c>
      <c r="O166" s="78"/>
    </row>
    <row r="167" spans="1:15" ht="18" customHeight="1">
      <c r="A167" s="68"/>
      <c r="B167" s="122"/>
      <c r="C167" s="18" t="s">
        <v>204</v>
      </c>
      <c r="D167" s="4">
        <v>58730</v>
      </c>
      <c r="E167" s="4"/>
      <c r="F167" s="4"/>
      <c r="G167" s="4"/>
      <c r="H167" s="7">
        <f t="shared" si="21"/>
        <v>58730</v>
      </c>
      <c r="I167" s="7">
        <v>58729</v>
      </c>
      <c r="J167" s="7"/>
      <c r="K167" s="7"/>
      <c r="L167" s="7"/>
      <c r="M167" s="7">
        <f t="shared" si="22"/>
        <v>58729</v>
      </c>
      <c r="N167" s="5">
        <f t="shared" si="23"/>
        <v>0.9999829729269538</v>
      </c>
      <c r="O167" s="78"/>
    </row>
    <row r="168" spans="1:15" ht="8.25" customHeight="1">
      <c r="A168" s="68"/>
      <c r="B168" s="33" t="s">
        <v>155</v>
      </c>
      <c r="C168" s="29"/>
      <c r="D168" s="6">
        <f>SUM(D161:D167)</f>
        <v>365353</v>
      </c>
      <c r="E168" s="6">
        <f>SUM(E161:E167)</f>
        <v>0</v>
      </c>
      <c r="F168" s="6">
        <f>SUM(F161:F167)</f>
        <v>0</v>
      </c>
      <c r="G168" s="6">
        <f>SUM(G161:G167)</f>
        <v>0</v>
      </c>
      <c r="H168" s="6">
        <f t="shared" si="21"/>
        <v>365353</v>
      </c>
      <c r="I168" s="6">
        <f>SUM(I161:I167)</f>
        <v>239414</v>
      </c>
      <c r="J168" s="6">
        <f>SUM(J161:J167)</f>
        <v>0</v>
      </c>
      <c r="K168" s="6">
        <f>SUM(K161:K167)</f>
        <v>0</v>
      </c>
      <c r="L168" s="6">
        <f>SUM(L161:L167)</f>
        <v>0</v>
      </c>
      <c r="M168" s="6">
        <f t="shared" si="22"/>
        <v>239414</v>
      </c>
      <c r="N168" s="28">
        <f aca="true" t="shared" si="24" ref="N168:N185">M168/H168</f>
        <v>0.6552950160529679</v>
      </c>
      <c r="O168" s="78"/>
    </row>
    <row r="169" spans="1:15" ht="58.5">
      <c r="A169" s="68"/>
      <c r="B169" s="120" t="s">
        <v>41</v>
      </c>
      <c r="C169" s="18" t="s">
        <v>104</v>
      </c>
      <c r="D169" s="4"/>
      <c r="E169" s="4">
        <v>178500</v>
      </c>
      <c r="F169" s="4"/>
      <c r="G169" s="4"/>
      <c r="H169" s="7">
        <f t="shared" si="21"/>
        <v>178500</v>
      </c>
      <c r="I169" s="7"/>
      <c r="J169" s="7">
        <v>116731</v>
      </c>
      <c r="K169" s="7"/>
      <c r="L169" s="7"/>
      <c r="M169" s="7">
        <f t="shared" si="22"/>
        <v>116731</v>
      </c>
      <c r="N169" s="5">
        <f t="shared" si="24"/>
        <v>0.6539551820728291</v>
      </c>
      <c r="O169" s="78"/>
    </row>
    <row r="170" spans="1:15" ht="9.75" hidden="1">
      <c r="A170" s="68"/>
      <c r="B170" s="121"/>
      <c r="C170" s="18" t="s">
        <v>193</v>
      </c>
      <c r="D170" s="4"/>
      <c r="E170" s="4">
        <f>4578-4578</f>
        <v>0</v>
      </c>
      <c r="F170" s="4"/>
      <c r="G170" s="4"/>
      <c r="H170" s="7">
        <f t="shared" si="21"/>
        <v>0</v>
      </c>
      <c r="I170" s="7"/>
      <c r="J170" s="7"/>
      <c r="K170" s="7"/>
      <c r="L170" s="7"/>
      <c r="M170" s="7">
        <f t="shared" si="22"/>
        <v>0</v>
      </c>
      <c r="N170" s="5" t="e">
        <f t="shared" si="24"/>
        <v>#DIV/0!</v>
      </c>
      <c r="O170" s="78"/>
    </row>
    <row r="171" spans="1:15" ht="9.75">
      <c r="A171" s="68"/>
      <c r="B171" s="121"/>
      <c r="C171" s="18" t="s">
        <v>72</v>
      </c>
      <c r="D171" s="4"/>
      <c r="E171" s="4">
        <v>2236</v>
      </c>
      <c r="F171" s="4"/>
      <c r="G171" s="4"/>
      <c r="H171" s="7">
        <f t="shared" si="21"/>
        <v>2236</v>
      </c>
      <c r="I171" s="7"/>
      <c r="J171" s="7">
        <v>11507</v>
      </c>
      <c r="K171" s="7"/>
      <c r="L171" s="7"/>
      <c r="M171" s="7">
        <f t="shared" si="22"/>
        <v>11507</v>
      </c>
      <c r="N171" s="5">
        <f t="shared" si="24"/>
        <v>5.146243291592129</v>
      </c>
      <c r="O171" s="78"/>
    </row>
    <row r="172" spans="1:15" ht="19.5">
      <c r="A172" s="68"/>
      <c r="B172" s="121"/>
      <c r="C172" s="18" t="s">
        <v>208</v>
      </c>
      <c r="D172" s="4"/>
      <c r="E172" s="4">
        <v>112413</v>
      </c>
      <c r="F172" s="4"/>
      <c r="G172" s="4"/>
      <c r="H172" s="7">
        <f t="shared" si="21"/>
        <v>112413</v>
      </c>
      <c r="I172" s="7"/>
      <c r="J172" s="7">
        <v>112433</v>
      </c>
      <c r="K172" s="7"/>
      <c r="L172" s="7"/>
      <c r="M172" s="7">
        <f t="shared" si="22"/>
        <v>112433</v>
      </c>
      <c r="N172" s="5">
        <f t="shared" si="24"/>
        <v>1.0001779153656605</v>
      </c>
      <c r="O172" s="78"/>
    </row>
    <row r="173" spans="1:15" ht="9.75">
      <c r="A173" s="68"/>
      <c r="B173" s="121"/>
      <c r="C173" s="18" t="s">
        <v>74</v>
      </c>
      <c r="D173" s="4"/>
      <c r="E173" s="4">
        <v>4924</v>
      </c>
      <c r="F173" s="4"/>
      <c r="G173" s="4"/>
      <c r="H173" s="7">
        <f t="shared" si="21"/>
        <v>4924</v>
      </c>
      <c r="I173" s="7"/>
      <c r="J173" s="7">
        <v>4984</v>
      </c>
      <c r="K173" s="7"/>
      <c r="L173" s="7"/>
      <c r="M173" s="7">
        <f t="shared" si="22"/>
        <v>4984</v>
      </c>
      <c r="N173" s="5">
        <f t="shared" si="24"/>
        <v>1.0121852152721365</v>
      </c>
      <c r="O173" s="78"/>
    </row>
    <row r="174" spans="1:15" ht="18" customHeight="1">
      <c r="A174" s="68"/>
      <c r="B174" s="122"/>
      <c r="C174" s="18" t="s">
        <v>204</v>
      </c>
      <c r="D174" s="4"/>
      <c r="E174" s="4">
        <v>406206</v>
      </c>
      <c r="F174" s="4"/>
      <c r="G174" s="4"/>
      <c r="H174" s="7">
        <f t="shared" si="21"/>
        <v>406206</v>
      </c>
      <c r="I174" s="7"/>
      <c r="J174" s="7">
        <v>406206</v>
      </c>
      <c r="K174" s="7"/>
      <c r="L174" s="7"/>
      <c r="M174" s="7">
        <f t="shared" si="22"/>
        <v>406206</v>
      </c>
      <c r="N174" s="5">
        <f t="shared" si="24"/>
        <v>1</v>
      </c>
      <c r="O174" s="78"/>
    </row>
    <row r="175" spans="1:15" ht="9.75">
      <c r="A175" s="68"/>
      <c r="B175" s="33" t="s">
        <v>156</v>
      </c>
      <c r="C175" s="29"/>
      <c r="D175" s="6">
        <f>SUM(D169:D174)</f>
        <v>0</v>
      </c>
      <c r="E175" s="6">
        <f>SUM(E169:E174)</f>
        <v>704279</v>
      </c>
      <c r="F175" s="6">
        <f>SUM(F169:F174)</f>
        <v>0</v>
      </c>
      <c r="G175" s="6">
        <f>SUM(G169:G174)</f>
        <v>0</v>
      </c>
      <c r="H175" s="6">
        <f t="shared" si="21"/>
        <v>704279</v>
      </c>
      <c r="I175" s="6">
        <f>SUM(I169:I174)</f>
        <v>0</v>
      </c>
      <c r="J175" s="6">
        <f>SUM(J169:J174)</f>
        <v>651861</v>
      </c>
      <c r="K175" s="6">
        <f>SUM(K169:K174)</f>
        <v>0</v>
      </c>
      <c r="L175" s="6">
        <f>SUM(L169:L174)</f>
        <v>0</v>
      </c>
      <c r="M175" s="6">
        <f t="shared" si="22"/>
        <v>651861</v>
      </c>
      <c r="N175" s="28">
        <f t="shared" si="24"/>
        <v>0.9255721099166665</v>
      </c>
      <c r="O175" s="78"/>
    </row>
    <row r="176" spans="1:15" ht="58.5">
      <c r="A176" s="68"/>
      <c r="B176" s="120" t="s">
        <v>157</v>
      </c>
      <c r="C176" s="27" t="s">
        <v>104</v>
      </c>
      <c r="D176" s="7"/>
      <c r="E176" s="4">
        <v>156001</v>
      </c>
      <c r="F176" s="4"/>
      <c r="G176" s="4"/>
      <c r="H176" s="7">
        <f t="shared" si="21"/>
        <v>156001</v>
      </c>
      <c r="I176" s="7"/>
      <c r="J176" s="7">
        <v>64370</v>
      </c>
      <c r="K176" s="7"/>
      <c r="L176" s="7"/>
      <c r="M176" s="7">
        <f t="shared" si="22"/>
        <v>64370</v>
      </c>
      <c r="N176" s="5">
        <f t="shared" si="24"/>
        <v>0.4126255600925635</v>
      </c>
      <c r="O176" s="78"/>
    </row>
    <row r="177" spans="1:15" ht="9.75">
      <c r="A177" s="68"/>
      <c r="B177" s="121"/>
      <c r="C177" s="18" t="s">
        <v>193</v>
      </c>
      <c r="D177" s="4"/>
      <c r="E177" s="4">
        <f>30658+12374</f>
        <v>43032</v>
      </c>
      <c r="F177" s="4"/>
      <c r="G177" s="4"/>
      <c r="H177" s="7">
        <f t="shared" si="21"/>
        <v>43032</v>
      </c>
      <c r="I177" s="7"/>
      <c r="J177" s="7">
        <v>44364</v>
      </c>
      <c r="K177" s="7"/>
      <c r="L177" s="7"/>
      <c r="M177" s="7">
        <f t="shared" si="22"/>
        <v>44364</v>
      </c>
      <c r="N177" s="5">
        <f t="shared" si="24"/>
        <v>1.0309537088678193</v>
      </c>
      <c r="O177" s="78"/>
    </row>
    <row r="178" spans="1:15" ht="9.75">
      <c r="A178" s="68"/>
      <c r="B178" s="121"/>
      <c r="C178" s="18" t="s">
        <v>237</v>
      </c>
      <c r="D178" s="4"/>
      <c r="E178" s="4">
        <f>26000-10350</f>
        <v>15650</v>
      </c>
      <c r="F178" s="4"/>
      <c r="G178" s="4"/>
      <c r="H178" s="7">
        <f t="shared" si="21"/>
        <v>15650</v>
      </c>
      <c r="I178" s="7"/>
      <c r="J178" s="7">
        <v>15650</v>
      </c>
      <c r="K178" s="7"/>
      <c r="L178" s="7"/>
      <c r="M178" s="7">
        <f t="shared" si="22"/>
        <v>15650</v>
      </c>
      <c r="N178" s="5">
        <f t="shared" si="24"/>
        <v>1</v>
      </c>
      <c r="O178" s="78"/>
    </row>
    <row r="179" spans="1:15" ht="19.5">
      <c r="A179" s="68"/>
      <c r="B179" s="121"/>
      <c r="C179" s="18" t="s">
        <v>161</v>
      </c>
      <c r="D179" s="4"/>
      <c r="E179" s="4"/>
      <c r="F179" s="4"/>
      <c r="G179" s="4"/>
      <c r="H179" s="7">
        <f t="shared" si="21"/>
        <v>0</v>
      </c>
      <c r="I179" s="7"/>
      <c r="J179" s="7">
        <v>12197</v>
      </c>
      <c r="K179" s="7"/>
      <c r="L179" s="7"/>
      <c r="M179" s="7">
        <f t="shared" si="22"/>
        <v>12197</v>
      </c>
      <c r="N179" s="5"/>
      <c r="O179" s="78"/>
    </row>
    <row r="180" spans="1:15" ht="9.75">
      <c r="A180" s="68"/>
      <c r="B180" s="121"/>
      <c r="C180" s="18" t="s">
        <v>72</v>
      </c>
      <c r="D180" s="4"/>
      <c r="E180" s="4">
        <v>519</v>
      </c>
      <c r="F180" s="4"/>
      <c r="G180" s="4"/>
      <c r="H180" s="7">
        <f t="shared" si="21"/>
        <v>519</v>
      </c>
      <c r="I180" s="7"/>
      <c r="J180" s="7">
        <v>10134</v>
      </c>
      <c r="K180" s="7"/>
      <c r="L180" s="7"/>
      <c r="M180" s="7">
        <f t="shared" si="22"/>
        <v>10134</v>
      </c>
      <c r="N180" s="5">
        <f t="shared" si="24"/>
        <v>19.526011560693643</v>
      </c>
      <c r="O180" s="78"/>
    </row>
    <row r="181" spans="1:15" ht="17.25" customHeight="1">
      <c r="A181" s="68"/>
      <c r="B181" s="121"/>
      <c r="C181" s="18" t="s">
        <v>208</v>
      </c>
      <c r="D181" s="4"/>
      <c r="E181" s="4">
        <v>3284</v>
      </c>
      <c r="F181" s="4"/>
      <c r="G181" s="4"/>
      <c r="H181" s="7">
        <f t="shared" si="21"/>
        <v>3284</v>
      </c>
      <c r="I181" s="7"/>
      <c r="J181" s="7">
        <v>3284</v>
      </c>
      <c r="K181" s="7"/>
      <c r="L181" s="7"/>
      <c r="M181" s="7">
        <f t="shared" si="22"/>
        <v>3284</v>
      </c>
      <c r="N181" s="5">
        <f t="shared" si="24"/>
        <v>1</v>
      </c>
      <c r="O181" s="78"/>
    </row>
    <row r="182" spans="1:15" ht="9.75" customHeight="1">
      <c r="A182" s="68"/>
      <c r="B182" s="121"/>
      <c r="C182" s="18" t="s">
        <v>74</v>
      </c>
      <c r="D182" s="4"/>
      <c r="E182" s="4">
        <v>2</v>
      </c>
      <c r="F182" s="4"/>
      <c r="G182" s="4"/>
      <c r="H182" s="7">
        <f t="shared" si="21"/>
        <v>2</v>
      </c>
      <c r="I182" s="7"/>
      <c r="J182" s="7">
        <v>5199</v>
      </c>
      <c r="K182" s="7"/>
      <c r="L182" s="7"/>
      <c r="M182" s="7">
        <f t="shared" si="22"/>
        <v>5199</v>
      </c>
      <c r="N182" s="5"/>
      <c r="O182" s="78"/>
    </row>
    <row r="183" spans="1:15" ht="18" customHeight="1">
      <c r="A183" s="68"/>
      <c r="B183" s="122"/>
      <c r="C183" s="18" t="s">
        <v>204</v>
      </c>
      <c r="D183" s="4"/>
      <c r="E183" s="4">
        <v>118914</v>
      </c>
      <c r="F183" s="4"/>
      <c r="G183" s="4"/>
      <c r="H183" s="7">
        <f t="shared" si="21"/>
        <v>118914</v>
      </c>
      <c r="I183" s="7"/>
      <c r="J183" s="7">
        <v>118913</v>
      </c>
      <c r="K183" s="7"/>
      <c r="L183" s="7"/>
      <c r="M183" s="7">
        <f t="shared" si="22"/>
        <v>118913</v>
      </c>
      <c r="N183" s="5">
        <f t="shared" si="24"/>
        <v>0.999991590561246</v>
      </c>
      <c r="O183" s="78"/>
    </row>
    <row r="184" spans="1:15" ht="8.25" customHeight="1">
      <c r="A184" s="68"/>
      <c r="B184" s="33" t="s">
        <v>158</v>
      </c>
      <c r="C184" s="29"/>
      <c r="D184" s="6">
        <f>SUM(D176:D183)</f>
        <v>0</v>
      </c>
      <c r="E184" s="6">
        <f>SUM(E176:E183)</f>
        <v>337402</v>
      </c>
      <c r="F184" s="6">
        <f>SUM(F176:F183)</f>
        <v>0</v>
      </c>
      <c r="G184" s="6">
        <f>SUM(G176:G183)</f>
        <v>0</v>
      </c>
      <c r="H184" s="6">
        <f t="shared" si="21"/>
        <v>337402</v>
      </c>
      <c r="I184" s="6">
        <f>SUM(I176:I183)</f>
        <v>0</v>
      </c>
      <c r="J184" s="6">
        <f>SUM(J176:J183)</f>
        <v>274111</v>
      </c>
      <c r="K184" s="6">
        <f>SUM(K176:K183)</f>
        <v>0</v>
      </c>
      <c r="L184" s="6">
        <f>SUM(L176:L183)</f>
        <v>0</v>
      </c>
      <c r="M184" s="6">
        <f t="shared" si="22"/>
        <v>274111</v>
      </c>
      <c r="N184" s="28">
        <f t="shared" si="24"/>
        <v>0.8124166424621075</v>
      </c>
      <c r="O184" s="78"/>
    </row>
    <row r="185" spans="1:15" ht="50.25" customHeight="1">
      <c r="A185" s="68"/>
      <c r="B185" s="120" t="s">
        <v>42</v>
      </c>
      <c r="C185" s="27" t="s">
        <v>104</v>
      </c>
      <c r="D185" s="4"/>
      <c r="E185" s="4">
        <v>28000</v>
      </c>
      <c r="F185" s="4"/>
      <c r="G185" s="4"/>
      <c r="H185" s="7">
        <f t="shared" si="21"/>
        <v>28000</v>
      </c>
      <c r="I185" s="9"/>
      <c r="J185" s="7">
        <v>15951</v>
      </c>
      <c r="K185" s="9"/>
      <c r="L185" s="9"/>
      <c r="M185" s="7">
        <f t="shared" si="22"/>
        <v>15951</v>
      </c>
      <c r="N185" s="5">
        <f t="shared" si="24"/>
        <v>0.5696785714285715</v>
      </c>
      <c r="O185" s="78"/>
    </row>
    <row r="186" spans="1:15" ht="9.75" hidden="1">
      <c r="A186" s="68"/>
      <c r="B186" s="121"/>
      <c r="C186" s="18" t="s">
        <v>193</v>
      </c>
      <c r="D186" s="4"/>
      <c r="E186" s="4">
        <f>150-150</f>
        <v>0</v>
      </c>
      <c r="F186" s="4"/>
      <c r="G186" s="4"/>
      <c r="H186" s="7">
        <f t="shared" si="21"/>
        <v>0</v>
      </c>
      <c r="I186" s="7"/>
      <c r="J186" s="7"/>
      <c r="K186" s="7"/>
      <c r="L186" s="7"/>
      <c r="M186" s="7">
        <f t="shared" si="22"/>
        <v>0</v>
      </c>
      <c r="N186" s="5"/>
      <c r="O186" s="78"/>
    </row>
    <row r="187" spans="1:15" ht="11.25" customHeight="1">
      <c r="A187" s="68"/>
      <c r="B187" s="121"/>
      <c r="C187" s="18" t="s">
        <v>72</v>
      </c>
      <c r="D187" s="4"/>
      <c r="E187" s="4"/>
      <c r="F187" s="4"/>
      <c r="G187" s="4"/>
      <c r="H187" s="7">
        <f t="shared" si="21"/>
        <v>0</v>
      </c>
      <c r="I187" s="7"/>
      <c r="J187" s="7">
        <v>801</v>
      </c>
      <c r="K187" s="7"/>
      <c r="L187" s="7"/>
      <c r="M187" s="7">
        <f t="shared" si="22"/>
        <v>801</v>
      </c>
      <c r="N187" s="5"/>
      <c r="O187" s="78"/>
    </row>
    <row r="188" spans="1:15" ht="9.75">
      <c r="A188" s="68"/>
      <c r="B188" s="122"/>
      <c r="C188" s="18" t="s">
        <v>74</v>
      </c>
      <c r="D188" s="4"/>
      <c r="E188" s="4"/>
      <c r="F188" s="4"/>
      <c r="G188" s="4"/>
      <c r="H188" s="7">
        <f t="shared" si="21"/>
        <v>0</v>
      </c>
      <c r="I188" s="7"/>
      <c r="J188" s="7">
        <v>142</v>
      </c>
      <c r="K188" s="7"/>
      <c r="L188" s="7"/>
      <c r="M188" s="7">
        <f t="shared" si="22"/>
        <v>142</v>
      </c>
      <c r="N188" s="5"/>
      <c r="O188" s="78"/>
    </row>
    <row r="189" spans="1:15" ht="10.5" customHeight="1">
      <c r="A189" s="68"/>
      <c r="B189" s="33" t="s">
        <v>159</v>
      </c>
      <c r="C189" s="29"/>
      <c r="D189" s="6">
        <f>SUM(D185:D188)</f>
        <v>0</v>
      </c>
      <c r="E189" s="6">
        <f>SUM(E185:E188)</f>
        <v>28000</v>
      </c>
      <c r="F189" s="6">
        <f>SUM(F185:F188)</f>
        <v>0</v>
      </c>
      <c r="G189" s="6">
        <f>SUM(G185:G188)</f>
        <v>0</v>
      </c>
      <c r="H189" s="6">
        <f t="shared" si="21"/>
        <v>28000</v>
      </c>
      <c r="I189" s="6">
        <f>SUM(I185:I188)</f>
        <v>0</v>
      </c>
      <c r="J189" s="6">
        <f>SUM(J185:J188)</f>
        <v>16894</v>
      </c>
      <c r="K189" s="6">
        <f>SUM(K185:K188)</f>
        <v>0</v>
      </c>
      <c r="L189" s="6">
        <f>SUM(L185:L188)</f>
        <v>0</v>
      </c>
      <c r="M189" s="6">
        <f t="shared" si="22"/>
        <v>16894</v>
      </c>
      <c r="N189" s="28">
        <f>M189/H189</f>
        <v>0.6033571428571428</v>
      </c>
      <c r="O189" s="78"/>
    </row>
    <row r="190" spans="1:15" ht="41.25" customHeight="1">
      <c r="A190" s="68"/>
      <c r="B190" s="23" t="s">
        <v>43</v>
      </c>
      <c r="C190" s="27" t="s">
        <v>83</v>
      </c>
      <c r="D190" s="4"/>
      <c r="E190" s="4">
        <v>500000</v>
      </c>
      <c r="F190" s="4"/>
      <c r="G190" s="4"/>
      <c r="H190" s="7">
        <f t="shared" si="21"/>
        <v>500000</v>
      </c>
      <c r="I190" s="7"/>
      <c r="J190" s="7">
        <v>11587</v>
      </c>
      <c r="K190" s="7"/>
      <c r="L190" s="7"/>
      <c r="M190" s="7">
        <f t="shared" si="22"/>
        <v>11587</v>
      </c>
      <c r="N190" s="5">
        <f>M190/H190</f>
        <v>0.023174</v>
      </c>
      <c r="O190" s="78"/>
    </row>
    <row r="191" spans="1:15" ht="9.75" customHeight="1">
      <c r="A191" s="68"/>
      <c r="B191" s="33" t="s">
        <v>160</v>
      </c>
      <c r="C191" s="29"/>
      <c r="D191" s="6">
        <f>SUM(D190)</f>
        <v>0</v>
      </c>
      <c r="E191" s="6">
        <f>SUM(E190)</f>
        <v>500000</v>
      </c>
      <c r="F191" s="6">
        <f>SUM(F190)</f>
        <v>0</v>
      </c>
      <c r="G191" s="6">
        <f>SUM(G190)</f>
        <v>0</v>
      </c>
      <c r="H191" s="6">
        <f t="shared" si="21"/>
        <v>500000</v>
      </c>
      <c r="I191" s="6">
        <f>SUM(I190)</f>
        <v>0</v>
      </c>
      <c r="J191" s="6">
        <f>SUM(J190)</f>
        <v>11587</v>
      </c>
      <c r="K191" s="6">
        <f>SUM(K190)</f>
        <v>0</v>
      </c>
      <c r="L191" s="6">
        <f>SUM(L190)</f>
        <v>0</v>
      </c>
      <c r="M191" s="6">
        <f t="shared" si="22"/>
        <v>11587</v>
      </c>
      <c r="N191" s="28">
        <f>M191/H191</f>
        <v>0.023174</v>
      </c>
      <c r="O191" s="78"/>
    </row>
    <row r="192" spans="1:15" ht="9.75">
      <c r="A192" s="68"/>
      <c r="B192" s="120" t="s">
        <v>195</v>
      </c>
      <c r="C192" s="18" t="s">
        <v>193</v>
      </c>
      <c r="D192" s="4"/>
      <c r="E192" s="4">
        <f>16250-3375</f>
        <v>12875</v>
      </c>
      <c r="F192" s="4"/>
      <c r="G192" s="4"/>
      <c r="H192" s="7">
        <f t="shared" si="21"/>
        <v>12875</v>
      </c>
      <c r="I192" s="7"/>
      <c r="J192" s="7">
        <v>12875</v>
      </c>
      <c r="K192" s="7"/>
      <c r="L192" s="7"/>
      <c r="M192" s="7">
        <f t="shared" si="22"/>
        <v>12875</v>
      </c>
      <c r="N192" s="5">
        <f>M192/H192</f>
        <v>1</v>
      </c>
      <c r="O192" s="78"/>
    </row>
    <row r="193" spans="1:15" ht="9.75">
      <c r="A193" s="68"/>
      <c r="B193" s="121"/>
      <c r="C193" s="18" t="s">
        <v>72</v>
      </c>
      <c r="D193" s="4"/>
      <c r="E193" s="4">
        <v>213</v>
      </c>
      <c r="F193" s="4"/>
      <c r="G193" s="4"/>
      <c r="H193" s="7">
        <f t="shared" si="21"/>
        <v>213</v>
      </c>
      <c r="I193" s="7"/>
      <c r="J193" s="7">
        <v>668</v>
      </c>
      <c r="K193" s="7"/>
      <c r="L193" s="7"/>
      <c r="M193" s="7">
        <f t="shared" si="22"/>
        <v>668</v>
      </c>
      <c r="N193" s="5">
        <f>M193/H193</f>
        <v>3.136150234741784</v>
      </c>
      <c r="O193" s="78"/>
    </row>
    <row r="194" spans="1:15" ht="9.75">
      <c r="A194" s="68"/>
      <c r="B194" s="121"/>
      <c r="C194" s="18" t="s">
        <v>74</v>
      </c>
      <c r="D194" s="4"/>
      <c r="E194" s="4"/>
      <c r="F194" s="4"/>
      <c r="G194" s="4"/>
      <c r="H194" s="7">
        <f t="shared" si="21"/>
        <v>0</v>
      </c>
      <c r="I194" s="7"/>
      <c r="J194" s="7">
        <v>35</v>
      </c>
      <c r="K194" s="7"/>
      <c r="L194" s="7"/>
      <c r="M194" s="7">
        <f t="shared" si="22"/>
        <v>35</v>
      </c>
      <c r="N194" s="5"/>
      <c r="O194" s="78"/>
    </row>
    <row r="195" spans="1:15" ht="19.5">
      <c r="A195" s="68"/>
      <c r="B195" s="122"/>
      <c r="C195" s="18" t="s">
        <v>204</v>
      </c>
      <c r="D195" s="4"/>
      <c r="E195" s="4">
        <v>38671</v>
      </c>
      <c r="F195" s="4"/>
      <c r="G195" s="4"/>
      <c r="H195" s="7">
        <f t="shared" si="21"/>
        <v>38671</v>
      </c>
      <c r="I195" s="7"/>
      <c r="J195" s="7">
        <v>38671</v>
      </c>
      <c r="K195" s="7"/>
      <c r="L195" s="7"/>
      <c r="M195" s="7">
        <f t="shared" si="22"/>
        <v>38671</v>
      </c>
      <c r="N195" s="5">
        <f>M195/H195</f>
        <v>1</v>
      </c>
      <c r="O195" s="78"/>
    </row>
    <row r="196" spans="1:15" ht="12.75" customHeight="1">
      <c r="A196" s="68"/>
      <c r="B196" s="33" t="s">
        <v>195</v>
      </c>
      <c r="C196" s="29"/>
      <c r="D196" s="6">
        <f>SUM(D192:D195)</f>
        <v>0</v>
      </c>
      <c r="E196" s="6">
        <f>SUM(E192:E195)</f>
        <v>51759</v>
      </c>
      <c r="F196" s="6">
        <f>SUM(F192:F195)</f>
        <v>0</v>
      </c>
      <c r="G196" s="6">
        <f>SUM(G192:G195)</f>
        <v>0</v>
      </c>
      <c r="H196" s="6">
        <f t="shared" si="21"/>
        <v>51759</v>
      </c>
      <c r="I196" s="6">
        <f>SUM(I192:I195)</f>
        <v>0</v>
      </c>
      <c r="J196" s="6">
        <f>SUM(J192:J195)</f>
        <v>52249</v>
      </c>
      <c r="K196" s="6">
        <f>SUM(K192:K195)</f>
        <v>0</v>
      </c>
      <c r="L196" s="6">
        <f>SUM(L192:L195)</f>
        <v>0</v>
      </c>
      <c r="M196" s="6">
        <f t="shared" si="22"/>
        <v>52249</v>
      </c>
      <c r="N196" s="28">
        <f>M196/H196</f>
        <v>1.009466952607276</v>
      </c>
      <c r="O196" s="78"/>
    </row>
    <row r="197" spans="1:15" ht="19.5">
      <c r="A197" s="68"/>
      <c r="B197" s="23" t="s">
        <v>212</v>
      </c>
      <c r="C197" s="18" t="s">
        <v>74</v>
      </c>
      <c r="D197" s="4"/>
      <c r="E197" s="4"/>
      <c r="F197" s="4"/>
      <c r="G197" s="4"/>
      <c r="H197" s="7">
        <f t="shared" si="21"/>
        <v>0</v>
      </c>
      <c r="I197" s="7">
        <v>80</v>
      </c>
      <c r="J197" s="7"/>
      <c r="K197" s="7"/>
      <c r="L197" s="7"/>
      <c r="M197" s="7">
        <f t="shared" si="22"/>
        <v>80</v>
      </c>
      <c r="N197" s="5"/>
      <c r="O197" s="78"/>
    </row>
    <row r="198" spans="1:15" ht="12" customHeight="1">
      <c r="A198" s="68"/>
      <c r="B198" s="33" t="s">
        <v>213</v>
      </c>
      <c r="C198" s="29"/>
      <c r="D198" s="6">
        <f>SUM(D197)</f>
        <v>0</v>
      </c>
      <c r="E198" s="6">
        <f>SUM(E197)</f>
        <v>0</v>
      </c>
      <c r="F198" s="6">
        <f>SUM(F197)</f>
        <v>0</v>
      </c>
      <c r="G198" s="6">
        <f>SUM(G197)</f>
        <v>0</v>
      </c>
      <c r="H198" s="6">
        <f t="shared" si="21"/>
        <v>0</v>
      </c>
      <c r="I198" s="6">
        <f>SUM(I197)</f>
        <v>80</v>
      </c>
      <c r="J198" s="6">
        <f>SUM(J197)</f>
        <v>0</v>
      </c>
      <c r="K198" s="6">
        <f>SUM(K197)</f>
        <v>0</v>
      </c>
      <c r="L198" s="6">
        <f>SUM(L197)</f>
        <v>0</v>
      </c>
      <c r="M198" s="6">
        <f t="shared" si="22"/>
        <v>80</v>
      </c>
      <c r="N198" s="28"/>
      <c r="O198" s="78"/>
    </row>
    <row r="199" spans="1:15" ht="39">
      <c r="A199" s="68"/>
      <c r="B199" s="23" t="s">
        <v>214</v>
      </c>
      <c r="C199" s="18" t="s">
        <v>216</v>
      </c>
      <c r="D199" s="4"/>
      <c r="E199" s="4"/>
      <c r="F199" s="4"/>
      <c r="G199" s="4"/>
      <c r="H199" s="7">
        <f t="shared" si="21"/>
        <v>0</v>
      </c>
      <c r="I199" s="7">
        <v>908</v>
      </c>
      <c r="J199" s="7"/>
      <c r="K199" s="7"/>
      <c r="L199" s="7"/>
      <c r="M199" s="7">
        <f t="shared" si="22"/>
        <v>908</v>
      </c>
      <c r="N199" s="5"/>
      <c r="O199" s="78"/>
    </row>
    <row r="200" spans="1:15" ht="9.75">
      <c r="A200" s="68"/>
      <c r="B200" s="33" t="s">
        <v>215</v>
      </c>
      <c r="C200" s="29"/>
      <c r="D200" s="6">
        <f>SUM(D199)</f>
        <v>0</v>
      </c>
      <c r="E200" s="6">
        <f>SUM(E199)</f>
        <v>0</v>
      </c>
      <c r="F200" s="6">
        <f>SUM(F199)</f>
        <v>0</v>
      </c>
      <c r="G200" s="6">
        <f>SUM(G199)</f>
        <v>0</v>
      </c>
      <c r="H200" s="6">
        <f>SUM(D200:G200)</f>
        <v>0</v>
      </c>
      <c r="I200" s="6">
        <f>SUM(I199)</f>
        <v>908</v>
      </c>
      <c r="J200" s="6">
        <f>SUM(J199)</f>
        <v>0</v>
      </c>
      <c r="K200" s="6">
        <f>SUM(K199)</f>
        <v>0</v>
      </c>
      <c r="L200" s="6">
        <f>SUM(L199)</f>
        <v>0</v>
      </c>
      <c r="M200" s="6">
        <f t="shared" si="22"/>
        <v>908</v>
      </c>
      <c r="N200" s="28"/>
      <c r="O200" s="78"/>
    </row>
    <row r="201" spans="1:15" ht="11.25">
      <c r="A201" s="53" t="s">
        <v>44</v>
      </c>
      <c r="B201" s="38"/>
      <c r="C201" s="24"/>
      <c r="D201" s="25">
        <f aca="true" t="shared" si="25" ref="D201:M201">SUM(D200,D198,D196,D191,D189,D184,D175,D168,D160,D154,D149)</f>
        <v>1891591</v>
      </c>
      <c r="E201" s="25">
        <f>SUM(E200,E198,E196,E191,E189,E184,E175,E168,E160,E154,E149)</f>
        <v>1663525</v>
      </c>
      <c r="F201" s="25">
        <f>SUM(F200,F198,F196,F191,F189,F184,F175,F168,F160,F154,F149)</f>
        <v>0</v>
      </c>
      <c r="G201" s="25">
        <f>SUM(G200,G198,G196,G191,G189,G184,G175,G168,G160,G154,G149)</f>
        <v>0</v>
      </c>
      <c r="H201" s="25">
        <f t="shared" si="25"/>
        <v>3555116</v>
      </c>
      <c r="I201" s="25">
        <f t="shared" si="25"/>
        <v>1465691</v>
      </c>
      <c r="J201" s="25">
        <f t="shared" si="25"/>
        <v>1029271</v>
      </c>
      <c r="K201" s="25">
        <f t="shared" si="25"/>
        <v>0</v>
      </c>
      <c r="L201" s="25">
        <f t="shared" si="25"/>
        <v>0</v>
      </c>
      <c r="M201" s="25">
        <f t="shared" si="25"/>
        <v>2494962</v>
      </c>
      <c r="N201" s="30">
        <f>M201/H201</f>
        <v>0.7017948218848555</v>
      </c>
      <c r="O201" s="78"/>
    </row>
    <row r="202" spans="1:15" ht="19.5">
      <c r="A202" s="54" t="s">
        <v>45</v>
      </c>
      <c r="B202" s="120" t="s">
        <v>63</v>
      </c>
      <c r="C202" s="18" t="s">
        <v>161</v>
      </c>
      <c r="D202" s="4">
        <v>230000</v>
      </c>
      <c r="E202" s="4"/>
      <c r="F202" s="4"/>
      <c r="G202" s="4"/>
      <c r="H202" s="7">
        <f aca="true" t="shared" si="26" ref="H202:H217">SUM(D202:G202)</f>
        <v>230000</v>
      </c>
      <c r="I202" s="7">
        <v>283087</v>
      </c>
      <c r="J202" s="13"/>
      <c r="K202" s="13"/>
      <c r="L202" s="13"/>
      <c r="M202" s="7">
        <f aca="true" t="shared" si="27" ref="M202:M217">SUM(I202:L202)</f>
        <v>283087</v>
      </c>
      <c r="N202" s="5">
        <f>M202/H202</f>
        <v>1.230813043478261</v>
      </c>
      <c r="O202" s="78"/>
    </row>
    <row r="203" spans="1:15" ht="9.75" hidden="1">
      <c r="A203" s="54"/>
      <c r="B203" s="122"/>
      <c r="C203" s="18" t="s">
        <v>74</v>
      </c>
      <c r="D203" s="4"/>
      <c r="E203" s="4"/>
      <c r="F203" s="4"/>
      <c r="G203" s="4"/>
      <c r="H203" s="7">
        <f t="shared" si="26"/>
        <v>0</v>
      </c>
      <c r="I203" s="13"/>
      <c r="J203" s="13"/>
      <c r="K203" s="13"/>
      <c r="L203" s="13"/>
      <c r="M203" s="7">
        <f t="shared" si="27"/>
        <v>0</v>
      </c>
      <c r="N203" s="5"/>
      <c r="O203" s="78"/>
    </row>
    <row r="204" spans="1:15" ht="9.75">
      <c r="A204" s="68"/>
      <c r="B204" s="33" t="s">
        <v>162</v>
      </c>
      <c r="C204" s="29"/>
      <c r="D204" s="6">
        <f>SUM(D202)</f>
        <v>230000</v>
      </c>
      <c r="E204" s="6">
        <f>SUM(E202)</f>
        <v>0</v>
      </c>
      <c r="F204" s="6">
        <f>SUM(F202)</f>
        <v>0</v>
      </c>
      <c r="G204" s="6">
        <f>SUM(G202)</f>
        <v>0</v>
      </c>
      <c r="H204" s="31">
        <f t="shared" si="26"/>
        <v>230000</v>
      </c>
      <c r="I204" s="6">
        <f>SUM(I202:I203)</f>
        <v>283087</v>
      </c>
      <c r="J204" s="6">
        <f>SUM(J202:J203)</f>
        <v>0</v>
      </c>
      <c r="K204" s="6">
        <f>SUM(K202:K203)</f>
        <v>0</v>
      </c>
      <c r="L204" s="6">
        <f>SUM(L202:L203)</f>
        <v>0</v>
      </c>
      <c r="M204" s="6">
        <f t="shared" si="27"/>
        <v>283087</v>
      </c>
      <c r="N204" s="28">
        <f>M204/H204</f>
        <v>1.230813043478261</v>
      </c>
      <c r="O204" s="78"/>
    </row>
    <row r="205" spans="1:15" ht="39">
      <c r="A205" s="68"/>
      <c r="B205" s="23" t="s">
        <v>217</v>
      </c>
      <c r="C205" s="18" t="s">
        <v>216</v>
      </c>
      <c r="D205" s="4"/>
      <c r="E205" s="4"/>
      <c r="F205" s="4"/>
      <c r="G205" s="4"/>
      <c r="H205" s="7">
        <f t="shared" si="26"/>
        <v>0</v>
      </c>
      <c r="I205" s="7">
        <v>325</v>
      </c>
      <c r="J205" s="7"/>
      <c r="K205" s="7"/>
      <c r="L205" s="7"/>
      <c r="M205" s="7">
        <f t="shared" si="27"/>
        <v>325</v>
      </c>
      <c r="N205" s="5"/>
      <c r="O205" s="78"/>
    </row>
    <row r="206" spans="1:15" ht="9.75">
      <c r="A206" s="68"/>
      <c r="B206" s="33" t="s">
        <v>218</v>
      </c>
      <c r="C206" s="29"/>
      <c r="D206" s="6">
        <f>SUM(D205)</f>
        <v>0</v>
      </c>
      <c r="E206" s="6">
        <f>SUM(E205)</f>
        <v>0</v>
      </c>
      <c r="F206" s="6">
        <f>SUM(F205)</f>
        <v>0</v>
      </c>
      <c r="G206" s="6">
        <f>SUM(G205)</f>
        <v>0</v>
      </c>
      <c r="H206" s="6">
        <f t="shared" si="26"/>
        <v>0</v>
      </c>
      <c r="I206" s="6">
        <f>SUM(I205)</f>
        <v>325</v>
      </c>
      <c r="J206" s="6">
        <f>SUM(J205)</f>
        <v>0</v>
      </c>
      <c r="K206" s="6">
        <f>SUM(K205)</f>
        <v>0</v>
      </c>
      <c r="L206" s="6">
        <f>SUM(L205)</f>
        <v>0</v>
      </c>
      <c r="M206" s="6">
        <f t="shared" si="27"/>
        <v>325</v>
      </c>
      <c r="N206" s="28"/>
      <c r="O206" s="78"/>
    </row>
    <row r="207" spans="1:15" s="10" customFormat="1" ht="9.75">
      <c r="A207" s="69"/>
      <c r="B207" s="130" t="s">
        <v>219</v>
      </c>
      <c r="C207" s="18" t="s">
        <v>72</v>
      </c>
      <c r="D207" s="13"/>
      <c r="E207" s="13"/>
      <c r="F207" s="13"/>
      <c r="G207" s="13"/>
      <c r="H207" s="7">
        <f t="shared" si="26"/>
        <v>0</v>
      </c>
      <c r="I207" s="7">
        <v>73</v>
      </c>
      <c r="J207" s="13"/>
      <c r="K207" s="13"/>
      <c r="L207" s="13"/>
      <c r="M207" s="7">
        <f t="shared" si="27"/>
        <v>73</v>
      </c>
      <c r="N207" s="5"/>
      <c r="O207" s="80"/>
    </row>
    <row r="208" spans="1:15" ht="39">
      <c r="A208" s="68"/>
      <c r="B208" s="131"/>
      <c r="C208" s="18" t="s">
        <v>216</v>
      </c>
      <c r="D208" s="4"/>
      <c r="E208" s="4"/>
      <c r="F208" s="4"/>
      <c r="G208" s="4"/>
      <c r="H208" s="7">
        <f t="shared" si="26"/>
        <v>0</v>
      </c>
      <c r="I208" s="7">
        <v>26967</v>
      </c>
      <c r="J208" s="7"/>
      <c r="K208" s="7"/>
      <c r="L208" s="7"/>
      <c r="M208" s="7">
        <f t="shared" si="27"/>
        <v>26967</v>
      </c>
      <c r="N208" s="5"/>
      <c r="O208" s="78"/>
    </row>
    <row r="209" spans="1:15" ht="9.75">
      <c r="A209" s="68"/>
      <c r="B209" s="33" t="s">
        <v>220</v>
      </c>
      <c r="C209" s="29"/>
      <c r="D209" s="6">
        <f>SUM(D207:D208)</f>
        <v>0</v>
      </c>
      <c r="E209" s="6">
        <f>SUM(E207:E208)</f>
        <v>0</v>
      </c>
      <c r="F209" s="6">
        <f>SUM(F207:F208)</f>
        <v>0</v>
      </c>
      <c r="G209" s="6">
        <f>SUM(G207:G208)</f>
        <v>0</v>
      </c>
      <c r="H209" s="6">
        <f t="shared" si="26"/>
        <v>0</v>
      </c>
      <c r="I209" s="6">
        <f>SUM(I207:I208)</f>
        <v>27040</v>
      </c>
      <c r="J209" s="6">
        <f>SUM(J207:J208)</f>
        <v>0</v>
      </c>
      <c r="K209" s="6">
        <f>SUM(K207:K208)</f>
        <v>0</v>
      </c>
      <c r="L209" s="6">
        <f>SUM(L207:L208)</f>
        <v>0</v>
      </c>
      <c r="M209" s="6">
        <f t="shared" si="27"/>
        <v>27040</v>
      </c>
      <c r="N209" s="28"/>
      <c r="O209" s="78"/>
    </row>
    <row r="210" spans="1:15" ht="50.25" customHeight="1">
      <c r="A210" s="68"/>
      <c r="B210" s="23" t="s">
        <v>163</v>
      </c>
      <c r="C210" s="27" t="s">
        <v>69</v>
      </c>
      <c r="D210" s="4"/>
      <c r="E210" s="4"/>
      <c r="F210" s="4"/>
      <c r="G210" s="4">
        <v>1576000</v>
      </c>
      <c r="H210" s="7">
        <f t="shared" si="26"/>
        <v>1576000</v>
      </c>
      <c r="I210" s="7"/>
      <c r="J210" s="7"/>
      <c r="K210" s="7"/>
      <c r="L210" s="7">
        <v>733350</v>
      </c>
      <c r="M210" s="7">
        <f t="shared" si="27"/>
        <v>733350</v>
      </c>
      <c r="N210" s="5">
        <f>M210/H210</f>
        <v>0.4653236040609137</v>
      </c>
      <c r="O210" s="78"/>
    </row>
    <row r="211" spans="1:15" ht="9.75">
      <c r="A211" s="68"/>
      <c r="B211" s="33" t="s">
        <v>164</v>
      </c>
      <c r="C211" s="29"/>
      <c r="D211" s="6">
        <f>SUM(D210)</f>
        <v>0</v>
      </c>
      <c r="E211" s="6">
        <f>SUM(E210)</f>
        <v>0</v>
      </c>
      <c r="F211" s="6">
        <f>SUM(F210)</f>
        <v>0</v>
      </c>
      <c r="G211" s="6">
        <f>SUM(G210)</f>
        <v>1576000</v>
      </c>
      <c r="H211" s="6">
        <f t="shared" si="26"/>
        <v>1576000</v>
      </c>
      <c r="I211" s="6">
        <f>SUM(I210)</f>
        <v>0</v>
      </c>
      <c r="J211" s="6">
        <f>SUM(J210)</f>
        <v>0</v>
      </c>
      <c r="K211" s="6">
        <f>SUM(K210)</f>
        <v>0</v>
      </c>
      <c r="L211" s="6">
        <f>SUM(L210)</f>
        <v>733350</v>
      </c>
      <c r="M211" s="6">
        <f t="shared" si="27"/>
        <v>733350</v>
      </c>
      <c r="N211" s="28">
        <f>M211/H211</f>
        <v>0.4653236040609137</v>
      </c>
      <c r="O211" s="78"/>
    </row>
    <row r="212" spans="1:15" ht="9.75">
      <c r="A212" s="68"/>
      <c r="B212" s="120" t="s">
        <v>221</v>
      </c>
      <c r="C212" s="50" t="s">
        <v>71</v>
      </c>
      <c r="D212" s="4"/>
      <c r="E212" s="4"/>
      <c r="F212" s="4"/>
      <c r="G212" s="4"/>
      <c r="H212" s="7">
        <f t="shared" si="26"/>
        <v>0</v>
      </c>
      <c r="I212" s="7">
        <v>1086</v>
      </c>
      <c r="J212" s="7"/>
      <c r="K212" s="7"/>
      <c r="L212" s="7"/>
      <c r="M212" s="7">
        <f t="shared" si="27"/>
        <v>1086</v>
      </c>
      <c r="N212" s="5"/>
      <c r="O212" s="78"/>
    </row>
    <row r="213" spans="1:15" ht="10.5" customHeight="1">
      <c r="A213" s="68"/>
      <c r="B213" s="122"/>
      <c r="C213" s="18" t="s">
        <v>193</v>
      </c>
      <c r="D213" s="4"/>
      <c r="E213" s="4"/>
      <c r="F213" s="4"/>
      <c r="G213" s="4"/>
      <c r="H213" s="7">
        <f t="shared" si="26"/>
        <v>0</v>
      </c>
      <c r="I213" s="7">
        <v>33137</v>
      </c>
      <c r="J213" s="7"/>
      <c r="K213" s="7"/>
      <c r="L213" s="7"/>
      <c r="M213" s="7">
        <f t="shared" si="27"/>
        <v>33137</v>
      </c>
      <c r="N213" s="5"/>
      <c r="O213" s="78"/>
    </row>
    <row r="214" spans="1:15" ht="9.75">
      <c r="A214" s="68"/>
      <c r="B214" s="33" t="s">
        <v>222</v>
      </c>
      <c r="C214" s="29"/>
      <c r="D214" s="6">
        <f>SUM(D212:D213)</f>
        <v>0</v>
      </c>
      <c r="E214" s="6">
        <f>SUM(E212:E213)</f>
        <v>0</v>
      </c>
      <c r="F214" s="6">
        <f>SUM(F212:F213)</f>
        <v>0</v>
      </c>
      <c r="G214" s="6">
        <f>SUM(G212:G213)</f>
        <v>0</v>
      </c>
      <c r="H214" s="6">
        <f t="shared" si="26"/>
        <v>0</v>
      </c>
      <c r="I214" s="6">
        <f>SUM(I212:I213)</f>
        <v>34223</v>
      </c>
      <c r="J214" s="6">
        <f>SUM(J212:J213)</f>
        <v>0</v>
      </c>
      <c r="K214" s="6">
        <f>SUM(K212:K213)</f>
        <v>0</v>
      </c>
      <c r="L214" s="6">
        <f>SUM(L212:L213)</f>
        <v>0</v>
      </c>
      <c r="M214" s="6">
        <f t="shared" si="27"/>
        <v>34223</v>
      </c>
      <c r="N214" s="28"/>
      <c r="O214" s="78"/>
    </row>
    <row r="215" spans="1:15" s="10" customFormat="1" ht="13.5" customHeight="1">
      <c r="A215" s="69"/>
      <c r="B215" s="120" t="s">
        <v>223</v>
      </c>
      <c r="C215" s="18" t="s">
        <v>72</v>
      </c>
      <c r="D215" s="13"/>
      <c r="E215" s="13"/>
      <c r="F215" s="13"/>
      <c r="G215" s="13"/>
      <c r="H215" s="13"/>
      <c r="I215" s="13">
        <v>494</v>
      </c>
      <c r="J215" s="13"/>
      <c r="K215" s="13"/>
      <c r="L215" s="13"/>
      <c r="M215" s="7">
        <f t="shared" si="27"/>
        <v>494</v>
      </c>
      <c r="N215" s="5"/>
      <c r="O215" s="80"/>
    </row>
    <row r="216" spans="1:15" ht="39">
      <c r="A216" s="68"/>
      <c r="B216" s="122"/>
      <c r="C216" s="18" t="s">
        <v>216</v>
      </c>
      <c r="D216" s="4"/>
      <c r="E216" s="4"/>
      <c r="F216" s="4"/>
      <c r="G216" s="4"/>
      <c r="H216" s="7">
        <f t="shared" si="26"/>
        <v>0</v>
      </c>
      <c r="I216" s="7">
        <v>1225</v>
      </c>
      <c r="J216" s="7"/>
      <c r="K216" s="7"/>
      <c r="L216" s="7"/>
      <c r="M216" s="7">
        <f t="shared" si="27"/>
        <v>1225</v>
      </c>
      <c r="N216" s="5"/>
      <c r="O216" s="78"/>
    </row>
    <row r="217" spans="1:15" ht="9.75">
      <c r="A217" s="68"/>
      <c r="B217" s="33" t="s">
        <v>223</v>
      </c>
      <c r="C217" s="29"/>
      <c r="D217" s="6">
        <f>SUM(D216)</f>
        <v>0</v>
      </c>
      <c r="E217" s="6">
        <f>SUM(E216)</f>
        <v>0</v>
      </c>
      <c r="F217" s="6">
        <f>SUM(F216)</f>
        <v>0</v>
      </c>
      <c r="G217" s="6">
        <f>SUM(G216)</f>
        <v>0</v>
      </c>
      <c r="H217" s="6">
        <f t="shared" si="26"/>
        <v>0</v>
      </c>
      <c r="I217" s="6">
        <f>SUM(I215:I216)</f>
        <v>1719</v>
      </c>
      <c r="J217" s="6">
        <f>SUM(J215:J216)</f>
        <v>0</v>
      </c>
      <c r="K217" s="6">
        <f>SUM(K215:K216)</f>
        <v>0</v>
      </c>
      <c r="L217" s="6">
        <f>SUM(L215:L216)</f>
        <v>0</v>
      </c>
      <c r="M217" s="6">
        <f t="shared" si="27"/>
        <v>1719</v>
      </c>
      <c r="N217" s="28"/>
      <c r="O217" s="78"/>
    </row>
    <row r="218" spans="1:15" ht="11.25">
      <c r="A218" s="56" t="s">
        <v>46</v>
      </c>
      <c r="B218" s="35"/>
      <c r="C218" s="24"/>
      <c r="D218" s="25">
        <f aca="true" t="shared" si="28" ref="D218:M218">SUM(D217,D214,D211,D209,D206,D204)</f>
        <v>230000</v>
      </c>
      <c r="E218" s="25">
        <f>SUM(E217,E214,E211,E209,E206,E204)</f>
        <v>0</v>
      </c>
      <c r="F218" s="25">
        <f>SUM(F217,F214,F211,F209,F206,F204)</f>
        <v>0</v>
      </c>
      <c r="G218" s="25">
        <f>SUM(G217,G214,G211,G209,G206,G204)</f>
        <v>1576000</v>
      </c>
      <c r="H218" s="25">
        <f t="shared" si="28"/>
        <v>1806000</v>
      </c>
      <c r="I218" s="25">
        <f t="shared" si="28"/>
        <v>346394</v>
      </c>
      <c r="J218" s="25">
        <f t="shared" si="28"/>
        <v>0</v>
      </c>
      <c r="K218" s="25">
        <f t="shared" si="28"/>
        <v>0</v>
      </c>
      <c r="L218" s="25">
        <f t="shared" si="28"/>
        <v>733350</v>
      </c>
      <c r="M218" s="25">
        <f t="shared" si="28"/>
        <v>1079744</v>
      </c>
      <c r="N218" s="30">
        <f>M218/H218</f>
        <v>0.5978648947951274</v>
      </c>
      <c r="O218" s="78"/>
    </row>
    <row r="219" spans="1:15" s="10" customFormat="1" ht="49.5" customHeight="1">
      <c r="A219" s="114" t="s">
        <v>106</v>
      </c>
      <c r="B219" s="120" t="s">
        <v>107</v>
      </c>
      <c r="C219" s="18" t="s">
        <v>104</v>
      </c>
      <c r="D219" s="47"/>
      <c r="E219" s="47"/>
      <c r="F219" s="47"/>
      <c r="G219" s="47"/>
      <c r="H219" s="7">
        <f aca="true" t="shared" si="29" ref="H219:H260">SUM(D219:G219)</f>
        <v>0</v>
      </c>
      <c r="I219" s="47"/>
      <c r="J219" s="7">
        <v>1724</v>
      </c>
      <c r="K219" s="47"/>
      <c r="L219" s="47"/>
      <c r="M219" s="7">
        <f aca="true" t="shared" si="30" ref="M219:M241">SUM(I219:L219)</f>
        <v>1724</v>
      </c>
      <c r="N219" s="5"/>
      <c r="O219" s="80"/>
    </row>
    <row r="220" spans="1:15" s="10" customFormat="1" ht="12" customHeight="1">
      <c r="A220" s="115"/>
      <c r="B220" s="121"/>
      <c r="C220" s="18" t="s">
        <v>193</v>
      </c>
      <c r="D220" s="47"/>
      <c r="E220" s="47"/>
      <c r="F220" s="47"/>
      <c r="G220" s="47"/>
      <c r="H220" s="7">
        <f t="shared" si="29"/>
        <v>0</v>
      </c>
      <c r="I220" s="47"/>
      <c r="J220" s="7">
        <v>2023</v>
      </c>
      <c r="K220" s="47"/>
      <c r="L220" s="47"/>
      <c r="M220" s="7">
        <f t="shared" si="30"/>
        <v>2023</v>
      </c>
      <c r="N220" s="5"/>
      <c r="O220" s="80"/>
    </row>
    <row r="221" spans="1:15" s="10" customFormat="1" ht="11.25">
      <c r="A221" s="115"/>
      <c r="B221" s="49"/>
      <c r="C221" s="18" t="s">
        <v>72</v>
      </c>
      <c r="D221" s="47"/>
      <c r="E221" s="47"/>
      <c r="F221" s="47"/>
      <c r="G221" s="47"/>
      <c r="H221" s="7">
        <f t="shared" si="29"/>
        <v>0</v>
      </c>
      <c r="I221" s="47"/>
      <c r="J221" s="7">
        <v>1107</v>
      </c>
      <c r="K221" s="47"/>
      <c r="L221" s="47"/>
      <c r="M221" s="7">
        <f t="shared" si="30"/>
        <v>1107</v>
      </c>
      <c r="N221" s="5"/>
      <c r="O221" s="80"/>
    </row>
    <row r="222" spans="1:15" ht="40.5" customHeight="1">
      <c r="A222" s="115"/>
      <c r="B222" s="51"/>
      <c r="C222" s="18" t="s">
        <v>83</v>
      </c>
      <c r="D222" s="4"/>
      <c r="E222" s="4">
        <f>100000+103660</f>
        <v>203660</v>
      </c>
      <c r="F222" s="4"/>
      <c r="G222" s="4"/>
      <c r="H222" s="7">
        <f t="shared" si="29"/>
        <v>203660</v>
      </c>
      <c r="I222" s="7"/>
      <c r="J222" s="7">
        <v>38971</v>
      </c>
      <c r="K222" s="7"/>
      <c r="L222" s="7"/>
      <c r="M222" s="7">
        <f t="shared" si="30"/>
        <v>38971</v>
      </c>
      <c r="N222" s="5">
        <f>M222/H222</f>
        <v>0.19135323578513208</v>
      </c>
      <c r="O222" s="78"/>
    </row>
    <row r="223" spans="1:15" ht="9.75">
      <c r="A223" s="55"/>
      <c r="B223" s="33" t="s">
        <v>165</v>
      </c>
      <c r="C223" s="29"/>
      <c r="D223" s="6">
        <f>SUM(D219:D222)</f>
        <v>0</v>
      </c>
      <c r="E223" s="6">
        <f>SUM(E219:E222)</f>
        <v>203660</v>
      </c>
      <c r="F223" s="6">
        <f>SUM(F219:F222)</f>
        <v>0</v>
      </c>
      <c r="G223" s="6">
        <f>SUM(G219:G222)</f>
        <v>0</v>
      </c>
      <c r="H223" s="6">
        <f t="shared" si="29"/>
        <v>203660</v>
      </c>
      <c r="I223" s="6">
        <f>SUM(I219:I222)</f>
        <v>0</v>
      </c>
      <c r="J223" s="6">
        <f>SUM(J219:J222)</f>
        <v>43825</v>
      </c>
      <c r="K223" s="6">
        <f>SUM(K219:K222)</f>
        <v>0</v>
      </c>
      <c r="L223" s="6">
        <f>SUM(L219:L222)</f>
        <v>0</v>
      </c>
      <c r="M223" s="6">
        <f t="shared" si="30"/>
        <v>43825</v>
      </c>
      <c r="N223" s="28">
        <f>M223/H223</f>
        <v>0.2151870765000491</v>
      </c>
      <c r="O223" s="78"/>
    </row>
    <row r="224" spans="1:15" s="10" customFormat="1" ht="10.5" customHeight="1">
      <c r="A224" s="69"/>
      <c r="B224" s="120" t="s">
        <v>108</v>
      </c>
      <c r="C224" s="50" t="s">
        <v>71</v>
      </c>
      <c r="D224" s="13"/>
      <c r="E224" s="13"/>
      <c r="F224" s="13"/>
      <c r="G224" s="13"/>
      <c r="H224" s="7">
        <f t="shared" si="29"/>
        <v>0</v>
      </c>
      <c r="I224" s="7">
        <v>1725</v>
      </c>
      <c r="J224" s="13"/>
      <c r="K224" s="13"/>
      <c r="L224" s="13"/>
      <c r="M224" s="7">
        <f t="shared" si="30"/>
        <v>1725</v>
      </c>
      <c r="N224" s="5"/>
      <c r="O224" s="80"/>
    </row>
    <row r="225" spans="1:15" ht="12" customHeight="1">
      <c r="A225" s="68"/>
      <c r="B225" s="121"/>
      <c r="C225" s="17" t="s">
        <v>76</v>
      </c>
      <c r="D225" s="4"/>
      <c r="E225" s="4">
        <v>420000</v>
      </c>
      <c r="F225" s="4"/>
      <c r="G225" s="4"/>
      <c r="H225" s="7">
        <f t="shared" si="29"/>
        <v>420000</v>
      </c>
      <c r="I225" s="7"/>
      <c r="J225" s="7">
        <v>164419</v>
      </c>
      <c r="K225" s="7"/>
      <c r="L225" s="7"/>
      <c r="M225" s="7">
        <f t="shared" si="30"/>
        <v>164419</v>
      </c>
      <c r="N225" s="5">
        <f>M225/H225</f>
        <v>0.3914738095238095</v>
      </c>
      <c r="O225" s="78"/>
    </row>
    <row r="226" spans="1:15" ht="11.25" customHeight="1">
      <c r="A226" s="68"/>
      <c r="B226" s="121"/>
      <c r="C226" s="18" t="s">
        <v>72</v>
      </c>
      <c r="D226" s="4"/>
      <c r="E226" s="4"/>
      <c r="F226" s="4"/>
      <c r="G226" s="4"/>
      <c r="H226" s="7">
        <f t="shared" si="29"/>
        <v>0</v>
      </c>
      <c r="I226" s="7"/>
      <c r="J226" s="7">
        <v>568</v>
      </c>
      <c r="K226" s="7"/>
      <c r="L226" s="7"/>
      <c r="M226" s="7">
        <f t="shared" si="30"/>
        <v>568</v>
      </c>
      <c r="N226" s="5"/>
      <c r="O226" s="78"/>
    </row>
    <row r="227" spans="1:15" ht="9.75">
      <c r="A227" s="68"/>
      <c r="B227" s="121"/>
      <c r="C227" s="18" t="s">
        <v>74</v>
      </c>
      <c r="D227" s="4"/>
      <c r="E227" s="4"/>
      <c r="F227" s="4"/>
      <c r="G227" s="4"/>
      <c r="H227" s="7">
        <f t="shared" si="29"/>
        <v>0</v>
      </c>
      <c r="I227" s="7"/>
      <c r="J227" s="7">
        <v>847</v>
      </c>
      <c r="K227" s="7"/>
      <c r="L227" s="7"/>
      <c r="M227" s="7">
        <f t="shared" si="30"/>
        <v>847</v>
      </c>
      <c r="N227" s="5"/>
      <c r="O227" s="78"/>
    </row>
    <row r="228" spans="1:15" ht="30.75" customHeight="1">
      <c r="A228" s="68"/>
      <c r="B228" s="122"/>
      <c r="C228" s="22" t="s">
        <v>73</v>
      </c>
      <c r="D228" s="4"/>
      <c r="E228" s="4">
        <v>1397760</v>
      </c>
      <c r="F228" s="4"/>
      <c r="G228" s="4"/>
      <c r="H228" s="7">
        <f t="shared" si="29"/>
        <v>1397760</v>
      </c>
      <c r="I228" s="7"/>
      <c r="J228" s="7">
        <v>631560</v>
      </c>
      <c r="K228" s="7"/>
      <c r="L228" s="7"/>
      <c r="M228" s="7">
        <f t="shared" si="30"/>
        <v>631560</v>
      </c>
      <c r="N228" s="5">
        <f aca="true" t="shared" si="31" ref="N228:N233">M228/H228</f>
        <v>0.45183722527472525</v>
      </c>
      <c r="O228" s="78"/>
    </row>
    <row r="229" spans="1:15" ht="11.25" customHeight="1">
      <c r="A229" s="68"/>
      <c r="B229" s="33" t="s">
        <v>166</v>
      </c>
      <c r="C229" s="29"/>
      <c r="D229" s="6">
        <f>SUM(D224:D228)</f>
        <v>0</v>
      </c>
      <c r="E229" s="6">
        <f>SUM(E224:E228)</f>
        <v>1817760</v>
      </c>
      <c r="F229" s="6">
        <f>SUM(F224:F228)</f>
        <v>0</v>
      </c>
      <c r="G229" s="6">
        <f>SUM(G224:G228)</f>
        <v>0</v>
      </c>
      <c r="H229" s="6">
        <f t="shared" si="29"/>
        <v>1817760</v>
      </c>
      <c r="I229" s="6">
        <f>SUM(I224:I228)</f>
        <v>1725</v>
      </c>
      <c r="J229" s="6">
        <f>SUM(J224:J228)</f>
        <v>797394</v>
      </c>
      <c r="K229" s="6">
        <f>SUM(K224:K228)</f>
        <v>0</v>
      </c>
      <c r="L229" s="6">
        <f>SUM(L224:L228)</f>
        <v>0</v>
      </c>
      <c r="M229" s="6">
        <f t="shared" si="30"/>
        <v>799119</v>
      </c>
      <c r="N229" s="28">
        <f t="shared" si="31"/>
        <v>0.43961744124636914</v>
      </c>
      <c r="O229" s="78"/>
    </row>
    <row r="230" spans="1:15" ht="11.25" customHeight="1">
      <c r="A230" s="68"/>
      <c r="B230" s="124" t="s">
        <v>109</v>
      </c>
      <c r="C230" s="17" t="s">
        <v>76</v>
      </c>
      <c r="D230" s="4">
        <v>355000</v>
      </c>
      <c r="E230" s="4"/>
      <c r="F230" s="4"/>
      <c r="G230" s="4"/>
      <c r="H230" s="7">
        <f t="shared" si="29"/>
        <v>355000</v>
      </c>
      <c r="I230" s="7">
        <v>134009</v>
      </c>
      <c r="J230" s="7"/>
      <c r="K230" s="7"/>
      <c r="L230" s="7"/>
      <c r="M230" s="7">
        <f t="shared" si="30"/>
        <v>134009</v>
      </c>
      <c r="N230" s="5">
        <f t="shared" si="31"/>
        <v>0.37749014084507043</v>
      </c>
      <c r="O230" s="78"/>
    </row>
    <row r="231" spans="1:15" ht="50.25" customHeight="1">
      <c r="A231" s="68"/>
      <c r="B231" s="124"/>
      <c r="C231" s="18" t="s">
        <v>129</v>
      </c>
      <c r="D231" s="4"/>
      <c r="E231" s="4"/>
      <c r="F231" s="4">
        <f>556360-89080-31680</f>
        <v>435600</v>
      </c>
      <c r="G231" s="4"/>
      <c r="H231" s="7">
        <f t="shared" si="29"/>
        <v>435600</v>
      </c>
      <c r="I231" s="7"/>
      <c r="J231" s="7"/>
      <c r="K231" s="7">
        <v>186420</v>
      </c>
      <c r="L231" s="7"/>
      <c r="M231" s="7">
        <f t="shared" si="30"/>
        <v>186420</v>
      </c>
      <c r="N231" s="5">
        <f t="shared" si="31"/>
        <v>0.42796143250688706</v>
      </c>
      <c r="O231" s="78"/>
    </row>
    <row r="232" spans="1:15" ht="33" customHeight="1">
      <c r="A232" s="68"/>
      <c r="B232" s="124"/>
      <c r="C232" s="22" t="s">
        <v>77</v>
      </c>
      <c r="D232" s="4">
        <v>350</v>
      </c>
      <c r="E232" s="4"/>
      <c r="F232" s="4"/>
      <c r="G232" s="4"/>
      <c r="H232" s="7">
        <f t="shared" si="29"/>
        <v>350</v>
      </c>
      <c r="I232" s="7">
        <v>74</v>
      </c>
      <c r="J232" s="7"/>
      <c r="K232" s="7"/>
      <c r="L232" s="7"/>
      <c r="M232" s="7">
        <f t="shared" si="30"/>
        <v>74</v>
      </c>
      <c r="N232" s="5">
        <f t="shared" si="31"/>
        <v>0.21142857142857144</v>
      </c>
      <c r="O232" s="78"/>
    </row>
    <row r="233" spans="1:15" ht="10.5" customHeight="1">
      <c r="A233" s="68"/>
      <c r="B233" s="33" t="s">
        <v>167</v>
      </c>
      <c r="C233" s="29"/>
      <c r="D233" s="6">
        <f>SUM(D230:D232)</f>
        <v>355350</v>
      </c>
      <c r="E233" s="6">
        <f>SUM(E230:E232)</f>
        <v>0</v>
      </c>
      <c r="F233" s="6">
        <f>SUM(F230:F232)</f>
        <v>435600</v>
      </c>
      <c r="G233" s="6">
        <f>SUM(G230:G232)</f>
        <v>0</v>
      </c>
      <c r="H233" s="6">
        <f t="shared" si="29"/>
        <v>790950</v>
      </c>
      <c r="I233" s="6">
        <f>SUM(I230:I232)</f>
        <v>134083</v>
      </c>
      <c r="J233" s="6">
        <f>SUM(J230:J232)</f>
        <v>0</v>
      </c>
      <c r="K233" s="6">
        <f>SUM(K230:K232)</f>
        <v>186420</v>
      </c>
      <c r="L233" s="6">
        <f>SUM(L230:L232)</f>
        <v>0</v>
      </c>
      <c r="M233" s="6">
        <f t="shared" si="30"/>
        <v>320503</v>
      </c>
      <c r="N233" s="28">
        <f t="shared" si="31"/>
        <v>0.40521271888235666</v>
      </c>
      <c r="O233" s="78"/>
    </row>
    <row r="234" spans="1:15" s="10" customFormat="1" ht="9.75">
      <c r="A234" s="69"/>
      <c r="B234" s="119" t="s">
        <v>196</v>
      </c>
      <c r="C234" s="18" t="s">
        <v>74</v>
      </c>
      <c r="D234" s="13"/>
      <c r="E234" s="13"/>
      <c r="F234" s="13"/>
      <c r="G234" s="13"/>
      <c r="H234" s="7">
        <f t="shared" si="29"/>
        <v>0</v>
      </c>
      <c r="I234" s="13"/>
      <c r="J234" s="7">
        <v>275</v>
      </c>
      <c r="K234" s="13"/>
      <c r="L234" s="13"/>
      <c r="M234" s="7">
        <f t="shared" si="30"/>
        <v>275</v>
      </c>
      <c r="N234" s="5"/>
      <c r="O234" s="80"/>
    </row>
    <row r="235" spans="1:15" ht="31.5" customHeight="1">
      <c r="A235" s="68"/>
      <c r="B235" s="119"/>
      <c r="C235" s="18" t="s">
        <v>83</v>
      </c>
      <c r="D235" s="4"/>
      <c r="E235" s="4">
        <f>46700+30478</f>
        <v>77178</v>
      </c>
      <c r="F235" s="4"/>
      <c r="G235" s="4"/>
      <c r="H235" s="7">
        <f t="shared" si="29"/>
        <v>77178</v>
      </c>
      <c r="I235" s="7"/>
      <c r="J235" s="7">
        <v>22406</v>
      </c>
      <c r="K235" s="7"/>
      <c r="L235" s="7"/>
      <c r="M235" s="7">
        <f t="shared" si="30"/>
        <v>22406</v>
      </c>
      <c r="N235" s="5">
        <f>M235/H235</f>
        <v>0.29031589313016665</v>
      </c>
      <c r="O235" s="78"/>
    </row>
    <row r="236" spans="1:15" ht="9.75">
      <c r="A236" s="68"/>
      <c r="B236" s="33" t="s">
        <v>197</v>
      </c>
      <c r="C236" s="29"/>
      <c r="D236" s="6">
        <f>SUM(D234:D235)</f>
        <v>0</v>
      </c>
      <c r="E236" s="6">
        <f>SUM(E234:E235)</f>
        <v>77178</v>
      </c>
      <c r="F236" s="6">
        <f>SUM(F234:F235)</f>
        <v>0</v>
      </c>
      <c r="G236" s="6">
        <f>SUM(G234:G235)</f>
        <v>0</v>
      </c>
      <c r="H236" s="6">
        <f t="shared" si="29"/>
        <v>77178</v>
      </c>
      <c r="I236" s="6">
        <f>SUM(I234:I235)</f>
        <v>0</v>
      </c>
      <c r="J236" s="6">
        <f>SUM(J234:J235)</f>
        <v>22681</v>
      </c>
      <c r="K236" s="6">
        <f>SUM(K234:K235)</f>
        <v>0</v>
      </c>
      <c r="L236" s="6">
        <f>SUM(L234:L235)</f>
        <v>0</v>
      </c>
      <c r="M236" s="6">
        <f t="shared" si="30"/>
        <v>22681</v>
      </c>
      <c r="N236" s="28">
        <f>M236/H236</f>
        <v>0.29387908471326024</v>
      </c>
      <c r="O236" s="78"/>
    </row>
    <row r="237" spans="1:15" s="10" customFormat="1" ht="11.25" customHeight="1">
      <c r="A237" s="69"/>
      <c r="B237" s="120" t="s">
        <v>168</v>
      </c>
      <c r="C237" s="18" t="s">
        <v>72</v>
      </c>
      <c r="D237" s="13"/>
      <c r="E237" s="13"/>
      <c r="F237" s="13"/>
      <c r="G237" s="13"/>
      <c r="H237" s="7">
        <f t="shared" si="29"/>
        <v>0</v>
      </c>
      <c r="I237" s="7">
        <v>20994</v>
      </c>
      <c r="J237" s="13"/>
      <c r="K237" s="13"/>
      <c r="L237" s="13"/>
      <c r="M237" s="7">
        <f t="shared" si="30"/>
        <v>20994</v>
      </c>
      <c r="N237" s="5"/>
      <c r="O237" s="80"/>
    </row>
    <row r="238" spans="1:15" ht="49.5" customHeight="1">
      <c r="A238" s="68"/>
      <c r="B238" s="121"/>
      <c r="C238" s="17" t="s">
        <v>129</v>
      </c>
      <c r="D238" s="4"/>
      <c r="E238" s="4"/>
      <c r="F238" s="4">
        <v>32400310</v>
      </c>
      <c r="G238" s="4"/>
      <c r="H238" s="7">
        <f t="shared" si="29"/>
        <v>32400310</v>
      </c>
      <c r="I238" s="7"/>
      <c r="J238" s="7"/>
      <c r="K238" s="7">
        <v>12700000</v>
      </c>
      <c r="L238" s="7"/>
      <c r="M238" s="7">
        <f t="shared" si="30"/>
        <v>12700000</v>
      </c>
      <c r="N238" s="5">
        <f aca="true" t="shared" si="32" ref="N238:N254">M238/H238</f>
        <v>0.3919715582968188</v>
      </c>
      <c r="O238" s="78"/>
    </row>
    <row r="239" spans="1:15" ht="40.5" customHeight="1">
      <c r="A239" s="68"/>
      <c r="B239" s="122"/>
      <c r="C239" s="22" t="s">
        <v>69</v>
      </c>
      <c r="D239" s="4"/>
      <c r="E239" s="4"/>
      <c r="F239" s="4"/>
      <c r="G239" s="4">
        <v>41800</v>
      </c>
      <c r="H239" s="7">
        <f t="shared" si="29"/>
        <v>41800</v>
      </c>
      <c r="I239" s="7"/>
      <c r="J239" s="7"/>
      <c r="K239" s="7"/>
      <c r="L239" s="7">
        <v>26000</v>
      </c>
      <c r="M239" s="7">
        <f t="shared" si="30"/>
        <v>26000</v>
      </c>
      <c r="N239" s="5">
        <f t="shared" si="32"/>
        <v>0.6220095693779905</v>
      </c>
      <c r="O239" s="78"/>
    </row>
    <row r="240" spans="1:15" ht="12" customHeight="1">
      <c r="A240" s="68"/>
      <c r="B240" s="33" t="s">
        <v>169</v>
      </c>
      <c r="C240" s="29"/>
      <c r="D240" s="6">
        <f>SUM(D237:D239)</f>
        <v>0</v>
      </c>
      <c r="E240" s="6">
        <f>SUM(E237:E239)</f>
        <v>0</v>
      </c>
      <c r="F240" s="6">
        <f>SUM(F237:F239)</f>
        <v>32400310</v>
      </c>
      <c r="G240" s="6">
        <f>SUM(G237:G239)</f>
        <v>41800</v>
      </c>
      <c r="H240" s="6">
        <f t="shared" si="29"/>
        <v>32442110</v>
      </c>
      <c r="I240" s="6">
        <f>SUM(I237:I239)</f>
        <v>20994</v>
      </c>
      <c r="J240" s="6">
        <f>SUM(J237:J239)</f>
        <v>0</v>
      </c>
      <c r="K240" s="6">
        <f>SUM(K237:K239)</f>
        <v>12700000</v>
      </c>
      <c r="L240" s="6">
        <f>SUM(L237:L239)</f>
        <v>26000</v>
      </c>
      <c r="M240" s="6">
        <f t="shared" si="30"/>
        <v>12746994</v>
      </c>
      <c r="N240" s="28">
        <f t="shared" si="32"/>
        <v>0.3929150724166831</v>
      </c>
      <c r="O240" s="78"/>
    </row>
    <row r="241" spans="1:15" ht="69" customHeight="1">
      <c r="A241" s="68"/>
      <c r="B241" s="23" t="s">
        <v>170</v>
      </c>
      <c r="C241" s="27" t="s">
        <v>129</v>
      </c>
      <c r="D241" s="4"/>
      <c r="E241" s="4"/>
      <c r="F241" s="4">
        <f>428490+16510</f>
        <v>445000</v>
      </c>
      <c r="G241" s="4"/>
      <c r="H241" s="7">
        <f t="shared" si="29"/>
        <v>445000</v>
      </c>
      <c r="I241" s="7"/>
      <c r="J241" s="7"/>
      <c r="K241" s="7">
        <v>185410</v>
      </c>
      <c r="L241" s="7"/>
      <c r="M241" s="7">
        <f t="shared" si="30"/>
        <v>185410</v>
      </c>
      <c r="N241" s="5">
        <f t="shared" si="32"/>
        <v>0.4166516853932584</v>
      </c>
      <c r="O241" s="78"/>
    </row>
    <row r="242" spans="1:15" ht="12.75" customHeight="1">
      <c r="A242" s="68"/>
      <c r="B242" s="33" t="s">
        <v>171</v>
      </c>
      <c r="C242" s="29"/>
      <c r="D242" s="6">
        <f>SUM(D241)</f>
        <v>0</v>
      </c>
      <c r="E242" s="6">
        <f>SUM(E241)</f>
        <v>0</v>
      </c>
      <c r="F242" s="6">
        <f>SUM(F241)</f>
        <v>445000</v>
      </c>
      <c r="G242" s="6">
        <f>SUM(G241)</f>
        <v>0</v>
      </c>
      <c r="H242" s="6">
        <f t="shared" si="29"/>
        <v>445000</v>
      </c>
      <c r="I242" s="6">
        <f>SUM(I241)</f>
        <v>0</v>
      </c>
      <c r="J242" s="6">
        <f>SUM(J241)</f>
        <v>0</v>
      </c>
      <c r="K242" s="6">
        <f>SUM(K241)</f>
        <v>185410</v>
      </c>
      <c r="L242" s="6">
        <f>SUM(L241)</f>
        <v>0</v>
      </c>
      <c r="M242" s="6">
        <f>SUM(M241)</f>
        <v>185410</v>
      </c>
      <c r="N242" s="28">
        <f t="shared" si="32"/>
        <v>0.4166516853932584</v>
      </c>
      <c r="O242" s="78"/>
    </row>
    <row r="243" spans="1:15" s="10" customFormat="1" ht="8.25" customHeight="1">
      <c r="A243" s="69"/>
      <c r="B243" s="120" t="s">
        <v>172</v>
      </c>
      <c r="C243" s="18" t="s">
        <v>74</v>
      </c>
      <c r="D243" s="13"/>
      <c r="E243" s="13"/>
      <c r="F243" s="13"/>
      <c r="G243" s="13"/>
      <c r="H243" s="7">
        <f t="shared" si="29"/>
        <v>0</v>
      </c>
      <c r="I243" s="7">
        <v>4566</v>
      </c>
      <c r="J243" s="13"/>
      <c r="K243" s="13"/>
      <c r="L243" s="13"/>
      <c r="M243" s="7">
        <f aca="true" t="shared" si="33" ref="M243:M266">SUM(I243:L243)</f>
        <v>4566</v>
      </c>
      <c r="N243" s="5"/>
      <c r="O243" s="80"/>
    </row>
    <row r="244" spans="1:15" ht="48" customHeight="1">
      <c r="A244" s="68"/>
      <c r="B244" s="121"/>
      <c r="C244" s="17" t="s">
        <v>129</v>
      </c>
      <c r="D244" s="4"/>
      <c r="E244" s="4"/>
      <c r="F244" s="4">
        <f>5053200+49800</f>
        <v>5103000</v>
      </c>
      <c r="G244" s="4"/>
      <c r="H244" s="7">
        <f t="shared" si="29"/>
        <v>5103000</v>
      </c>
      <c r="I244" s="7"/>
      <c r="J244" s="7"/>
      <c r="K244" s="7">
        <v>1827905</v>
      </c>
      <c r="L244" s="7"/>
      <c r="M244" s="7">
        <f t="shared" si="33"/>
        <v>1827905</v>
      </c>
      <c r="N244" s="5">
        <f t="shared" si="32"/>
        <v>0.35820203801685285</v>
      </c>
      <c r="O244" s="78"/>
    </row>
    <row r="245" spans="1:15" ht="39">
      <c r="A245" s="68"/>
      <c r="B245" s="122"/>
      <c r="C245" s="22" t="s">
        <v>101</v>
      </c>
      <c r="D245" s="4">
        <v>283500</v>
      </c>
      <c r="E245" s="4"/>
      <c r="F245" s="4"/>
      <c r="G245" s="4"/>
      <c r="H245" s="7">
        <f t="shared" si="29"/>
        <v>283500</v>
      </c>
      <c r="I245" s="7">
        <v>118125</v>
      </c>
      <c r="J245" s="7"/>
      <c r="K245" s="7"/>
      <c r="L245" s="7"/>
      <c r="M245" s="7">
        <f t="shared" si="33"/>
        <v>118125</v>
      </c>
      <c r="N245" s="5">
        <f t="shared" si="32"/>
        <v>0.4166666666666667</v>
      </c>
      <c r="O245" s="78"/>
    </row>
    <row r="246" spans="1:15" ht="9.75">
      <c r="A246" s="68"/>
      <c r="B246" s="33" t="s">
        <v>173</v>
      </c>
      <c r="C246" s="29"/>
      <c r="D246" s="6">
        <f>SUM(D243:D245)</f>
        <v>283500</v>
      </c>
      <c r="E246" s="6">
        <f>SUM(E243:E245)</f>
        <v>0</v>
      </c>
      <c r="F246" s="6">
        <f>SUM(F243:F245)</f>
        <v>5103000</v>
      </c>
      <c r="G246" s="6">
        <f>SUM(G243:G245)</f>
        <v>0</v>
      </c>
      <c r="H246" s="6">
        <f t="shared" si="29"/>
        <v>5386500</v>
      </c>
      <c r="I246" s="6">
        <f>SUM(I243:I245)</f>
        <v>122691</v>
      </c>
      <c r="J246" s="6">
        <f>SUM(J244:J245)</f>
        <v>0</v>
      </c>
      <c r="K246" s="6">
        <f>SUM(K244:K245)</f>
        <v>1827905</v>
      </c>
      <c r="L246" s="6">
        <f>SUM(L244:L245)</f>
        <v>0</v>
      </c>
      <c r="M246" s="6">
        <f t="shared" si="33"/>
        <v>1950596</v>
      </c>
      <c r="N246" s="28">
        <f t="shared" si="32"/>
        <v>0.36212679847767565</v>
      </c>
      <c r="O246" s="78"/>
    </row>
    <row r="247" spans="1:15" s="10" customFormat="1" ht="9.75">
      <c r="A247" s="69"/>
      <c r="B247" s="120" t="s">
        <v>224</v>
      </c>
      <c r="C247" s="18" t="s">
        <v>72</v>
      </c>
      <c r="D247" s="13"/>
      <c r="E247" s="13"/>
      <c r="F247" s="13"/>
      <c r="G247" s="13"/>
      <c r="H247" s="7">
        <f t="shared" si="29"/>
        <v>0</v>
      </c>
      <c r="I247" s="7">
        <v>73</v>
      </c>
      <c r="J247" s="13"/>
      <c r="K247" s="13"/>
      <c r="L247" s="13"/>
      <c r="M247" s="7">
        <f t="shared" si="33"/>
        <v>73</v>
      </c>
      <c r="N247" s="5"/>
      <c r="O247" s="80"/>
    </row>
    <row r="248" spans="1:15" ht="9.75">
      <c r="A248" s="68"/>
      <c r="B248" s="121"/>
      <c r="C248" s="18" t="s">
        <v>74</v>
      </c>
      <c r="D248" s="4"/>
      <c r="E248" s="4"/>
      <c r="F248" s="4"/>
      <c r="G248" s="4"/>
      <c r="H248" s="7">
        <f t="shared" si="29"/>
        <v>0</v>
      </c>
      <c r="I248" s="7">
        <v>3324</v>
      </c>
      <c r="J248" s="7"/>
      <c r="K248" s="7"/>
      <c r="L248" s="7"/>
      <c r="M248" s="7">
        <f t="shared" si="33"/>
        <v>3324</v>
      </c>
      <c r="N248" s="5"/>
      <c r="O248" s="78"/>
    </row>
    <row r="249" spans="1:15" ht="9.75">
      <c r="A249" s="68"/>
      <c r="B249" s="33" t="s">
        <v>225</v>
      </c>
      <c r="C249" s="29"/>
      <c r="D249" s="6">
        <f>SUM(D247:D248)</f>
        <v>0</v>
      </c>
      <c r="E249" s="6">
        <f>SUM(E247:E248)</f>
        <v>0</v>
      </c>
      <c r="F249" s="6">
        <f>SUM(F247:F248)</f>
        <v>0</v>
      </c>
      <c r="G249" s="6">
        <f>SUM(G247:G248)</f>
        <v>0</v>
      </c>
      <c r="H249" s="6">
        <f t="shared" si="29"/>
        <v>0</v>
      </c>
      <c r="I249" s="6">
        <f>SUM(I247:I248)</f>
        <v>3397</v>
      </c>
      <c r="J249" s="6">
        <f>SUM(J247:J248)</f>
        <v>0</v>
      </c>
      <c r="K249" s="6">
        <f>SUM(K247:K248)</f>
        <v>0</v>
      </c>
      <c r="L249" s="6">
        <f>SUM(L247:L248)</f>
        <v>0</v>
      </c>
      <c r="M249" s="6">
        <f t="shared" si="33"/>
        <v>3397</v>
      </c>
      <c r="N249" s="28"/>
      <c r="O249" s="78"/>
    </row>
    <row r="250" spans="1:15" s="10" customFormat="1" ht="11.25" customHeight="1">
      <c r="A250" s="69"/>
      <c r="B250" s="120" t="s">
        <v>110</v>
      </c>
      <c r="C250" s="17" t="s">
        <v>76</v>
      </c>
      <c r="D250" s="13"/>
      <c r="E250" s="13"/>
      <c r="F250" s="13"/>
      <c r="G250" s="13"/>
      <c r="H250" s="7">
        <f t="shared" si="29"/>
        <v>0</v>
      </c>
      <c r="I250" s="13">
        <v>510</v>
      </c>
      <c r="J250" s="13"/>
      <c r="K250" s="13"/>
      <c r="L250" s="13"/>
      <c r="M250" s="7">
        <f t="shared" si="33"/>
        <v>510</v>
      </c>
      <c r="N250" s="5"/>
      <c r="O250" s="80"/>
    </row>
    <row r="251" spans="1:15" s="10" customFormat="1" ht="9.75" customHeight="1">
      <c r="A251" s="69"/>
      <c r="B251" s="121"/>
      <c r="C251" s="18" t="s">
        <v>74</v>
      </c>
      <c r="D251" s="13"/>
      <c r="E251" s="13"/>
      <c r="F251" s="13"/>
      <c r="G251" s="13"/>
      <c r="H251" s="7">
        <f t="shared" si="29"/>
        <v>0</v>
      </c>
      <c r="I251" s="7">
        <v>726</v>
      </c>
      <c r="J251" s="13"/>
      <c r="K251" s="13"/>
      <c r="L251" s="13"/>
      <c r="M251" s="7">
        <f t="shared" si="33"/>
        <v>726</v>
      </c>
      <c r="N251" s="5"/>
      <c r="O251" s="80"/>
    </row>
    <row r="252" spans="1:15" ht="29.25" customHeight="1">
      <c r="A252" s="68"/>
      <c r="B252" s="122"/>
      <c r="C252" s="18" t="s">
        <v>101</v>
      </c>
      <c r="D252" s="4">
        <v>1104210</v>
      </c>
      <c r="E252" s="4"/>
      <c r="F252" s="4"/>
      <c r="G252" s="4"/>
      <c r="H252" s="7">
        <f t="shared" si="29"/>
        <v>1104210</v>
      </c>
      <c r="I252" s="7">
        <v>509640</v>
      </c>
      <c r="J252" s="7"/>
      <c r="K252" s="7"/>
      <c r="L252" s="7"/>
      <c r="M252" s="7">
        <f t="shared" si="33"/>
        <v>509640</v>
      </c>
      <c r="N252" s="5">
        <f t="shared" si="32"/>
        <v>0.46154264134539624</v>
      </c>
      <c r="O252" s="78"/>
    </row>
    <row r="253" spans="1:15" ht="9.75">
      <c r="A253" s="68"/>
      <c r="B253" s="33" t="s">
        <v>174</v>
      </c>
      <c r="C253" s="29"/>
      <c r="D253" s="6">
        <f>SUM(D250:D252)</f>
        <v>1104210</v>
      </c>
      <c r="E253" s="6">
        <f>SUM(E250:E252)</f>
        <v>0</v>
      </c>
      <c r="F253" s="6">
        <f>SUM(F250:F252)</f>
        <v>0</v>
      </c>
      <c r="G253" s="6">
        <f>SUM(G250:G252)</f>
        <v>0</v>
      </c>
      <c r="H253" s="6">
        <f t="shared" si="29"/>
        <v>1104210</v>
      </c>
      <c r="I253" s="6">
        <f>SUM(I250:I252)</f>
        <v>510876</v>
      </c>
      <c r="J253" s="6">
        <f>SUM(J250:J252)</f>
        <v>0</v>
      </c>
      <c r="K253" s="6">
        <f>SUM(K250:K252)</f>
        <v>0</v>
      </c>
      <c r="L253" s="6">
        <f>SUM(L250:L252)</f>
        <v>0</v>
      </c>
      <c r="M253" s="6">
        <f t="shared" si="33"/>
        <v>510876</v>
      </c>
      <c r="N253" s="28">
        <f t="shared" si="32"/>
        <v>0.46266199364251365</v>
      </c>
      <c r="O253" s="78"/>
    </row>
    <row r="254" spans="1:15" ht="9.75">
      <c r="A254" s="68"/>
      <c r="B254" s="130" t="s">
        <v>175</v>
      </c>
      <c r="C254" s="17" t="s">
        <v>76</v>
      </c>
      <c r="D254" s="4">
        <v>360000</v>
      </c>
      <c r="E254" s="4"/>
      <c r="F254" s="7"/>
      <c r="G254" s="4"/>
      <c r="H254" s="7">
        <f t="shared" si="29"/>
        <v>360000</v>
      </c>
      <c r="I254" s="7">
        <v>136212</v>
      </c>
      <c r="J254" s="9"/>
      <c r="K254" s="9"/>
      <c r="L254" s="9"/>
      <c r="M254" s="7">
        <f t="shared" si="33"/>
        <v>136212</v>
      </c>
      <c r="N254" s="5">
        <f t="shared" si="32"/>
        <v>0.3783666666666667</v>
      </c>
      <c r="O254" s="78"/>
    </row>
    <row r="255" spans="1:15" ht="9.75">
      <c r="A255" s="68"/>
      <c r="B255" s="124"/>
      <c r="C255" s="18" t="s">
        <v>72</v>
      </c>
      <c r="D255" s="4"/>
      <c r="E255" s="4"/>
      <c r="F255" s="7"/>
      <c r="G255" s="4"/>
      <c r="H255" s="7">
        <f t="shared" si="29"/>
        <v>0</v>
      </c>
      <c r="I255" s="7">
        <v>10428</v>
      </c>
      <c r="J255" s="9"/>
      <c r="K255" s="9"/>
      <c r="L255" s="9"/>
      <c r="M255" s="7">
        <f t="shared" si="33"/>
        <v>10428</v>
      </c>
      <c r="N255" s="5"/>
      <c r="O255" s="78"/>
    </row>
    <row r="256" spans="1:15" ht="47.25" customHeight="1">
      <c r="A256" s="68"/>
      <c r="B256" s="124"/>
      <c r="C256" s="18" t="s">
        <v>129</v>
      </c>
      <c r="D256" s="4"/>
      <c r="E256" s="4"/>
      <c r="F256" s="4">
        <v>248420</v>
      </c>
      <c r="G256" s="4"/>
      <c r="H256" s="7">
        <f t="shared" si="29"/>
        <v>248420</v>
      </c>
      <c r="I256" s="7"/>
      <c r="J256" s="7"/>
      <c r="K256" s="7">
        <v>114660</v>
      </c>
      <c r="L256" s="7"/>
      <c r="M256" s="7">
        <f t="shared" si="33"/>
        <v>114660</v>
      </c>
      <c r="N256" s="5">
        <f aca="true" t="shared" si="34" ref="N256:N265">M256/H256</f>
        <v>0.4615570404959343</v>
      </c>
      <c r="O256" s="78"/>
    </row>
    <row r="257" spans="1:15" ht="27" customHeight="1">
      <c r="A257" s="68"/>
      <c r="B257" s="131"/>
      <c r="C257" s="22" t="s">
        <v>77</v>
      </c>
      <c r="D257" s="4">
        <v>750</v>
      </c>
      <c r="E257" s="4"/>
      <c r="F257" s="4"/>
      <c r="G257" s="4"/>
      <c r="H257" s="7">
        <f t="shared" si="29"/>
        <v>750</v>
      </c>
      <c r="I257" s="7">
        <v>265</v>
      </c>
      <c r="J257" s="7"/>
      <c r="K257" s="7"/>
      <c r="L257" s="7"/>
      <c r="M257" s="7">
        <f t="shared" si="33"/>
        <v>265</v>
      </c>
      <c r="N257" s="5">
        <f t="shared" si="34"/>
        <v>0.35333333333333333</v>
      </c>
      <c r="O257" s="78"/>
    </row>
    <row r="258" spans="1:15" ht="9.75">
      <c r="A258" s="68"/>
      <c r="B258" s="33" t="s">
        <v>176</v>
      </c>
      <c r="C258" s="29"/>
      <c r="D258" s="6">
        <f>SUM(D254:D257)</f>
        <v>360750</v>
      </c>
      <c r="E258" s="6">
        <f>SUM(E254:E257)</f>
        <v>0</v>
      </c>
      <c r="F258" s="6">
        <f>SUM(F254:F257)</f>
        <v>248420</v>
      </c>
      <c r="G258" s="6">
        <f>SUM(G254:G257)</f>
        <v>0</v>
      </c>
      <c r="H258" s="6">
        <f t="shared" si="29"/>
        <v>609170</v>
      </c>
      <c r="I258" s="6">
        <f>SUM(I254:I257)</f>
        <v>146905</v>
      </c>
      <c r="J258" s="6">
        <f>SUM(J254:J257)</f>
        <v>0</v>
      </c>
      <c r="K258" s="6">
        <f>SUM(K254:K257)</f>
        <v>114660</v>
      </c>
      <c r="L258" s="6">
        <f>SUM(L254:L257)</f>
        <v>0</v>
      </c>
      <c r="M258" s="6">
        <f t="shared" si="33"/>
        <v>261565</v>
      </c>
      <c r="N258" s="28">
        <f t="shared" si="34"/>
        <v>0.429379319401809</v>
      </c>
      <c r="O258" s="78"/>
    </row>
    <row r="259" spans="1:15" ht="30" customHeight="1">
      <c r="A259" s="68"/>
      <c r="B259" s="119" t="s">
        <v>190</v>
      </c>
      <c r="C259" s="18" t="s">
        <v>101</v>
      </c>
      <c r="D259" s="4">
        <v>197344</v>
      </c>
      <c r="E259" s="4"/>
      <c r="F259" s="4"/>
      <c r="G259" s="4"/>
      <c r="H259" s="7">
        <f t="shared" si="29"/>
        <v>197344</v>
      </c>
      <c r="I259" s="7">
        <v>164500</v>
      </c>
      <c r="J259" s="9"/>
      <c r="K259" s="9"/>
      <c r="L259" s="9"/>
      <c r="M259" s="7">
        <f t="shared" si="33"/>
        <v>164500</v>
      </c>
      <c r="N259" s="5">
        <f t="shared" si="34"/>
        <v>0.8335698070374574</v>
      </c>
      <c r="O259" s="78"/>
    </row>
    <row r="260" spans="1:15" ht="36.75" customHeight="1">
      <c r="A260" s="68"/>
      <c r="B260" s="119"/>
      <c r="C260" s="18" t="s">
        <v>216</v>
      </c>
      <c r="D260" s="4"/>
      <c r="E260" s="4"/>
      <c r="F260" s="4"/>
      <c r="G260" s="4"/>
      <c r="H260" s="7">
        <f t="shared" si="29"/>
        <v>0</v>
      </c>
      <c r="I260" s="7">
        <v>110</v>
      </c>
      <c r="J260" s="9"/>
      <c r="K260" s="9"/>
      <c r="L260" s="9"/>
      <c r="M260" s="7">
        <f t="shared" si="33"/>
        <v>110</v>
      </c>
      <c r="N260" s="5"/>
      <c r="O260" s="78"/>
    </row>
    <row r="261" spans="1:15" ht="9.75">
      <c r="A261" s="68"/>
      <c r="B261" s="37" t="s">
        <v>191</v>
      </c>
      <c r="C261" s="34"/>
      <c r="D261" s="6">
        <f>SUM(D259:D260)</f>
        <v>197344</v>
      </c>
      <c r="E261" s="6">
        <f>SUM(E259:E260)</f>
        <v>0</v>
      </c>
      <c r="F261" s="6">
        <f>SUM(F259:F260)</f>
        <v>0</v>
      </c>
      <c r="G261" s="6">
        <f>SUM(G259:G260)</f>
        <v>0</v>
      </c>
      <c r="H261" s="6">
        <f>SUM(D261:G261)</f>
        <v>197344</v>
      </c>
      <c r="I261" s="6">
        <f>SUM(I259:I260)</f>
        <v>164610</v>
      </c>
      <c r="J261" s="6">
        <f>SUM(J259:J260)</f>
        <v>0</v>
      </c>
      <c r="K261" s="6">
        <f>SUM(K259:K260)</f>
        <v>0</v>
      </c>
      <c r="L261" s="6">
        <f>SUM(L259:L260)</f>
        <v>0</v>
      </c>
      <c r="M261" s="6">
        <f t="shared" si="33"/>
        <v>164610</v>
      </c>
      <c r="N261" s="28">
        <f t="shared" si="34"/>
        <v>0.8341272093400357</v>
      </c>
      <c r="O261" s="78"/>
    </row>
    <row r="262" spans="1:15" ht="9.75" customHeight="1">
      <c r="A262" s="56" t="s">
        <v>105</v>
      </c>
      <c r="B262" s="36"/>
      <c r="C262" s="24"/>
      <c r="D262" s="25">
        <f>SUM(D261,D258,D253,D249,D246,D242,D240,D236,D233,D229,D223)</f>
        <v>2301154</v>
      </c>
      <c r="E262" s="25">
        <f>SUM(E261,E258,E253,E249,E246,E242,E240,E236,E233,E229,E223)</f>
        <v>2098598</v>
      </c>
      <c r="F262" s="25">
        <f>SUM(F261,F258,F253,F249,F246,F242,F240,F236,F233,F229,F223)</f>
        <v>38632330</v>
      </c>
      <c r="G262" s="25">
        <f>SUM(G261,G258,G253,G249,G246,G242,G240,G236,G233,G229,G223)</f>
        <v>41800</v>
      </c>
      <c r="H262" s="25">
        <f>SUM(D262:G262)</f>
        <v>43073882</v>
      </c>
      <c r="I262" s="25">
        <f>SUM(I261,I258,I253,I249,I246,I242,I240,I236,I233,I229,I223)</f>
        <v>1105281</v>
      </c>
      <c r="J262" s="25">
        <f>SUM(J261,J258,J253,J249,J246,J242,J240,J236,J233,J229,J223)</f>
        <v>863900</v>
      </c>
      <c r="K262" s="25">
        <f>SUM(K261,K258,K253,K249,K246,K242,K240,K236,K233,K229,K223)</f>
        <v>15014395</v>
      </c>
      <c r="L262" s="25">
        <f>SUM(L261,L258,L253,L249,L246,L242,L240,L236,L233,L229,L223)</f>
        <v>26000</v>
      </c>
      <c r="M262" s="25">
        <f t="shared" si="33"/>
        <v>17009576</v>
      </c>
      <c r="N262" s="30">
        <f t="shared" si="34"/>
        <v>0.39489303518080865</v>
      </c>
      <c r="O262" s="78"/>
    </row>
    <row r="263" spans="1:15" s="10" customFormat="1" ht="11.25">
      <c r="A263" s="132" t="s">
        <v>111</v>
      </c>
      <c r="B263" s="120" t="s">
        <v>47</v>
      </c>
      <c r="C263" s="18" t="s">
        <v>76</v>
      </c>
      <c r="D263" s="4">
        <v>165000</v>
      </c>
      <c r="E263" s="47"/>
      <c r="F263" s="47"/>
      <c r="G263" s="47"/>
      <c r="H263" s="7">
        <f aca="true" t="shared" si="35" ref="H263:H327">SUM(D263:G263)</f>
        <v>165000</v>
      </c>
      <c r="I263" s="7">
        <v>71821</v>
      </c>
      <c r="J263" s="47"/>
      <c r="K263" s="47"/>
      <c r="L263" s="47"/>
      <c r="M263" s="7">
        <f t="shared" si="33"/>
        <v>71821</v>
      </c>
      <c r="N263" s="5">
        <f t="shared" si="34"/>
        <v>0.4352787878787879</v>
      </c>
      <c r="O263" s="80"/>
    </row>
    <row r="264" spans="1:15" ht="9" customHeight="1">
      <c r="A264" s="132"/>
      <c r="B264" s="122"/>
      <c r="C264" s="18" t="s">
        <v>72</v>
      </c>
      <c r="E264" s="4"/>
      <c r="F264" s="4"/>
      <c r="G264" s="4"/>
      <c r="H264" s="7">
        <f t="shared" si="35"/>
        <v>0</v>
      </c>
      <c r="I264" s="11">
        <v>564</v>
      </c>
      <c r="J264" s="7"/>
      <c r="K264" s="7"/>
      <c r="L264" s="7"/>
      <c r="M264" s="7">
        <f t="shared" si="33"/>
        <v>564</v>
      </c>
      <c r="N264" s="5"/>
      <c r="O264" s="78"/>
    </row>
    <row r="265" spans="1:15" ht="9.75">
      <c r="A265" s="132"/>
      <c r="B265" s="29" t="s">
        <v>177</v>
      </c>
      <c r="C265" s="29"/>
      <c r="D265" s="6">
        <f>SUM(D263:D264)</f>
        <v>165000</v>
      </c>
      <c r="E265" s="6">
        <f>SUM(E263:E264)</f>
        <v>0</v>
      </c>
      <c r="F265" s="6">
        <f>SUM(F263:F264)</f>
        <v>0</v>
      </c>
      <c r="G265" s="6">
        <f>SUM(G263:G264)</f>
        <v>0</v>
      </c>
      <c r="H265" s="6">
        <f t="shared" si="35"/>
        <v>165000</v>
      </c>
      <c r="I265" s="6">
        <f>SUM(I263:I264)</f>
        <v>72385</v>
      </c>
      <c r="J265" s="6">
        <f>SUM(J263:J264)</f>
        <v>0</v>
      </c>
      <c r="K265" s="6">
        <f>SUM(K263:K264)</f>
        <v>0</v>
      </c>
      <c r="L265" s="6">
        <f>SUM(L263:L264)</f>
        <v>0</v>
      </c>
      <c r="M265" s="6">
        <f t="shared" si="33"/>
        <v>72385</v>
      </c>
      <c r="N265" s="28">
        <f t="shared" si="34"/>
        <v>0.4386969696969697</v>
      </c>
      <c r="O265" s="78"/>
    </row>
    <row r="266" spans="1:15" ht="37.5" customHeight="1">
      <c r="A266" s="132"/>
      <c r="B266" s="45" t="s">
        <v>226</v>
      </c>
      <c r="C266" s="18" t="s">
        <v>216</v>
      </c>
      <c r="D266" s="4"/>
      <c r="E266" s="4"/>
      <c r="F266" s="4"/>
      <c r="G266" s="4"/>
      <c r="H266" s="7">
        <f t="shared" si="35"/>
        <v>0</v>
      </c>
      <c r="I266" s="7">
        <v>6</v>
      </c>
      <c r="J266" s="9"/>
      <c r="K266" s="9"/>
      <c r="L266" s="9"/>
      <c r="M266" s="7">
        <f t="shared" si="33"/>
        <v>6</v>
      </c>
      <c r="N266" s="5"/>
      <c r="O266" s="78"/>
    </row>
    <row r="267" spans="1:15" ht="9.75">
      <c r="A267" s="132"/>
      <c r="B267" s="37" t="s">
        <v>226</v>
      </c>
      <c r="C267" s="29"/>
      <c r="D267" s="6">
        <f>SUM(D266)</f>
        <v>0</v>
      </c>
      <c r="E267" s="6">
        <f>SUM(E266)</f>
        <v>0</v>
      </c>
      <c r="F267" s="6">
        <f>SUM(F266)</f>
        <v>0</v>
      </c>
      <c r="G267" s="6">
        <f>SUM(G266)</f>
        <v>0</v>
      </c>
      <c r="H267" s="6">
        <f t="shared" si="35"/>
        <v>0</v>
      </c>
      <c r="I267" s="6">
        <f>SUM(I266)</f>
        <v>6</v>
      </c>
      <c r="J267" s="6">
        <f>SUM(J266)</f>
        <v>0</v>
      </c>
      <c r="K267" s="6">
        <f>SUM(K266)</f>
        <v>0</v>
      </c>
      <c r="L267" s="6">
        <f>SUM(L266)</f>
        <v>0</v>
      </c>
      <c r="M267" s="6">
        <f>SUM(M266)</f>
        <v>6</v>
      </c>
      <c r="N267" s="28"/>
      <c r="O267" s="78"/>
    </row>
    <row r="268" spans="1:15" ht="38.25" customHeight="1">
      <c r="A268" s="132"/>
      <c r="B268" s="120" t="s">
        <v>178</v>
      </c>
      <c r="C268" s="18" t="s">
        <v>69</v>
      </c>
      <c r="D268" s="4"/>
      <c r="E268" s="4"/>
      <c r="F268" s="4"/>
      <c r="G268" s="4">
        <v>255000</v>
      </c>
      <c r="H268" s="7">
        <f t="shared" si="35"/>
        <v>255000</v>
      </c>
      <c r="I268" s="13"/>
      <c r="J268" s="13"/>
      <c r="K268" s="13"/>
      <c r="L268" s="7">
        <v>113830</v>
      </c>
      <c r="M268" s="7">
        <f aca="true" t="shared" si="36" ref="M268:M335">SUM(I268:L268)</f>
        <v>113830</v>
      </c>
      <c r="N268" s="5">
        <f>M268/H268</f>
        <v>0.4463921568627451</v>
      </c>
      <c r="O268" s="78"/>
    </row>
    <row r="269" spans="1:15" ht="28.5" customHeight="1">
      <c r="A269" s="132"/>
      <c r="B269" s="122"/>
      <c r="C269" s="18" t="s">
        <v>83</v>
      </c>
      <c r="D269" s="4"/>
      <c r="E269" s="4">
        <v>44840</v>
      </c>
      <c r="F269" s="4"/>
      <c r="G269" s="4"/>
      <c r="H269" s="7">
        <f t="shared" si="35"/>
        <v>44840</v>
      </c>
      <c r="I269" s="13"/>
      <c r="J269" s="7">
        <v>22892</v>
      </c>
      <c r="K269" s="13"/>
      <c r="L269" s="13"/>
      <c r="M269" s="7">
        <f t="shared" si="36"/>
        <v>22892</v>
      </c>
      <c r="N269" s="5">
        <f>M269/H269</f>
        <v>0.5105263157894737</v>
      </c>
      <c r="O269" s="78"/>
    </row>
    <row r="270" spans="1:15" ht="9.75">
      <c r="A270" s="132"/>
      <c r="B270" s="46" t="s">
        <v>179</v>
      </c>
      <c r="C270" s="29"/>
      <c r="D270" s="6">
        <f>SUM(D268:D269)</f>
        <v>0</v>
      </c>
      <c r="E270" s="6">
        <f>SUM(E268:E269)</f>
        <v>44840</v>
      </c>
      <c r="F270" s="6">
        <f>SUM(F268:F269)</f>
        <v>0</v>
      </c>
      <c r="G270" s="6">
        <f>SUM(G268:G269)</f>
        <v>255000</v>
      </c>
      <c r="H270" s="6">
        <f t="shared" si="35"/>
        <v>299840</v>
      </c>
      <c r="I270" s="6">
        <f>SUM(I268:I269)</f>
        <v>0</v>
      </c>
      <c r="J270" s="6">
        <f>SUM(J268:J269)</f>
        <v>22892</v>
      </c>
      <c r="K270" s="6">
        <f>SUM(K268:K269)</f>
        <v>0</v>
      </c>
      <c r="L270" s="6">
        <f>SUM(L268:L269)</f>
        <v>113830</v>
      </c>
      <c r="M270" s="6">
        <f t="shared" si="36"/>
        <v>136722</v>
      </c>
      <c r="N270" s="28">
        <f aca="true" t="shared" si="37" ref="N270:N279">M270/H270</f>
        <v>0.4559831910352188</v>
      </c>
      <c r="O270" s="78"/>
    </row>
    <row r="271" spans="1:15" s="10" customFormat="1" ht="48" customHeight="1">
      <c r="A271" s="132"/>
      <c r="B271" s="120" t="s">
        <v>48</v>
      </c>
      <c r="C271" s="18" t="s">
        <v>104</v>
      </c>
      <c r="D271" s="13"/>
      <c r="E271" s="13"/>
      <c r="F271" s="13"/>
      <c r="G271" s="13"/>
      <c r="H271" s="7">
        <f t="shared" si="35"/>
        <v>0</v>
      </c>
      <c r="I271" s="13"/>
      <c r="J271" s="7">
        <v>750</v>
      </c>
      <c r="K271" s="13"/>
      <c r="L271" s="13"/>
      <c r="M271" s="7">
        <f t="shared" si="36"/>
        <v>750</v>
      </c>
      <c r="N271" s="5"/>
      <c r="O271" s="80"/>
    </row>
    <row r="272" spans="1:15" s="10" customFormat="1" ht="9.75">
      <c r="A272" s="132"/>
      <c r="B272" s="121"/>
      <c r="C272" s="18" t="s">
        <v>72</v>
      </c>
      <c r="D272" s="13"/>
      <c r="E272" s="13"/>
      <c r="F272" s="13"/>
      <c r="G272" s="13"/>
      <c r="H272" s="7">
        <f t="shared" si="35"/>
        <v>0</v>
      </c>
      <c r="I272" s="13"/>
      <c r="J272" s="7">
        <v>3238</v>
      </c>
      <c r="K272" s="13"/>
      <c r="L272" s="13"/>
      <c r="M272" s="7">
        <f t="shared" si="36"/>
        <v>3238</v>
      </c>
      <c r="N272" s="5"/>
      <c r="O272" s="80"/>
    </row>
    <row r="273" spans="1:15" ht="27.75" customHeight="1">
      <c r="A273" s="132"/>
      <c r="B273" s="122"/>
      <c r="C273" s="18" t="s">
        <v>83</v>
      </c>
      <c r="D273" s="4"/>
      <c r="E273" s="4">
        <v>144478</v>
      </c>
      <c r="F273" s="4"/>
      <c r="G273" s="4"/>
      <c r="H273" s="7">
        <f t="shared" si="35"/>
        <v>144478</v>
      </c>
      <c r="I273" s="9"/>
      <c r="J273" s="7">
        <v>61825</v>
      </c>
      <c r="K273" s="9"/>
      <c r="L273" s="9"/>
      <c r="M273" s="7">
        <f t="shared" si="36"/>
        <v>61825</v>
      </c>
      <c r="N273" s="5">
        <f t="shared" si="37"/>
        <v>0.4279198217029582</v>
      </c>
      <c r="O273" s="78"/>
    </row>
    <row r="274" spans="1:15" ht="9.75">
      <c r="A274" s="132"/>
      <c r="B274" s="46" t="s">
        <v>180</v>
      </c>
      <c r="C274" s="29"/>
      <c r="D274" s="6">
        <f>SUM(D271:D273)</f>
        <v>0</v>
      </c>
      <c r="E274" s="6">
        <f>SUM(E271:E273)</f>
        <v>144478</v>
      </c>
      <c r="F274" s="6">
        <f>SUM(F271:F273)</f>
        <v>0</v>
      </c>
      <c r="G274" s="6">
        <f>SUM(G271:G273)</f>
        <v>0</v>
      </c>
      <c r="H274" s="6">
        <f t="shared" si="35"/>
        <v>144478</v>
      </c>
      <c r="I274" s="6">
        <f>SUM(I271:I273)</f>
        <v>0</v>
      </c>
      <c r="J274" s="6">
        <f>SUM(J271:J273)</f>
        <v>65813</v>
      </c>
      <c r="K274" s="6">
        <f>SUM(K271:K273)</f>
        <v>0</v>
      </c>
      <c r="L274" s="6">
        <f>SUM(L271:L273)</f>
        <v>0</v>
      </c>
      <c r="M274" s="6">
        <f t="shared" si="36"/>
        <v>65813</v>
      </c>
      <c r="N274" s="28">
        <f t="shared" si="37"/>
        <v>0.45552264012514015</v>
      </c>
      <c r="O274" s="78"/>
    </row>
    <row r="275" spans="1:15" ht="11.25">
      <c r="A275" s="72" t="s">
        <v>112</v>
      </c>
      <c r="B275" s="39"/>
      <c r="C275" s="40"/>
      <c r="D275" s="25">
        <f>SUM(D274,D270,D267,D265)</f>
        <v>165000</v>
      </c>
      <c r="E275" s="25">
        <f>SUM(E274,E270,E267,E265)</f>
        <v>189318</v>
      </c>
      <c r="F275" s="25">
        <f>SUM(F274,F270,F267,F265)</f>
        <v>0</v>
      </c>
      <c r="G275" s="25">
        <f>SUM(G274,G270,G267,G265)</f>
        <v>255000</v>
      </c>
      <c r="H275" s="25">
        <f t="shared" si="35"/>
        <v>609318</v>
      </c>
      <c r="I275" s="25">
        <f>SUM(I274,I270,I267,I265)</f>
        <v>72391</v>
      </c>
      <c r="J275" s="25">
        <f>SUM(J274,J270,J267,J265)</f>
        <v>88705</v>
      </c>
      <c r="K275" s="25">
        <f>SUM(K274,K270,K267,K265)</f>
        <v>0</v>
      </c>
      <c r="L275" s="25">
        <f>SUM(L274,L270,L267,L265)</f>
        <v>113830</v>
      </c>
      <c r="M275" s="25">
        <f t="shared" si="36"/>
        <v>274926</v>
      </c>
      <c r="N275" s="30">
        <f t="shared" si="37"/>
        <v>0.45120282020225894</v>
      </c>
      <c r="O275" s="78"/>
    </row>
    <row r="276" spans="1:15" ht="9.75">
      <c r="A276" s="114" t="s">
        <v>49</v>
      </c>
      <c r="B276" s="126" t="s">
        <v>198</v>
      </c>
      <c r="C276" s="18" t="s">
        <v>76</v>
      </c>
      <c r="D276" s="4">
        <f>2058386-1433542</f>
        <v>624844</v>
      </c>
      <c r="E276" s="4">
        <f>9000-6080</f>
        <v>2920</v>
      </c>
      <c r="F276" s="4"/>
      <c r="G276" s="4"/>
      <c r="H276" s="7">
        <f t="shared" si="35"/>
        <v>627764</v>
      </c>
      <c r="I276" s="7">
        <v>646644</v>
      </c>
      <c r="J276" s="7">
        <v>2920</v>
      </c>
      <c r="K276" s="7"/>
      <c r="L276" s="7"/>
      <c r="M276" s="7">
        <f t="shared" si="36"/>
        <v>649564</v>
      </c>
      <c r="N276" s="5">
        <f t="shared" si="37"/>
        <v>1.0347264258543019</v>
      </c>
      <c r="O276" s="78"/>
    </row>
    <row r="277" spans="1:15" ht="9.75">
      <c r="A277" s="115"/>
      <c r="B277" s="128"/>
      <c r="C277" s="18" t="s">
        <v>72</v>
      </c>
      <c r="D277" s="4">
        <v>154</v>
      </c>
      <c r="E277" s="4">
        <v>7</v>
      </c>
      <c r="F277" s="4"/>
      <c r="G277" s="4"/>
      <c r="H277" s="7">
        <f t="shared" si="35"/>
        <v>161</v>
      </c>
      <c r="I277" s="7">
        <v>154</v>
      </c>
      <c r="J277" s="7">
        <v>7</v>
      </c>
      <c r="K277" s="7"/>
      <c r="L277" s="7"/>
      <c r="M277" s="7">
        <f t="shared" si="36"/>
        <v>161</v>
      </c>
      <c r="N277" s="5">
        <f t="shared" si="37"/>
        <v>1</v>
      </c>
      <c r="O277" s="78"/>
    </row>
    <row r="278" spans="1:15" ht="18" customHeight="1">
      <c r="A278" s="115"/>
      <c r="B278" s="128"/>
      <c r="C278" s="18" t="s">
        <v>208</v>
      </c>
      <c r="D278" s="4">
        <v>6506</v>
      </c>
      <c r="E278" s="4"/>
      <c r="F278" s="4"/>
      <c r="G278" s="4"/>
      <c r="H278" s="7">
        <f t="shared" si="35"/>
        <v>6506</v>
      </c>
      <c r="I278" s="7">
        <v>5358</v>
      </c>
      <c r="J278" s="7"/>
      <c r="K278" s="7"/>
      <c r="L278" s="7"/>
      <c r="M278" s="7">
        <f t="shared" si="36"/>
        <v>5358</v>
      </c>
      <c r="N278" s="5">
        <f t="shared" si="37"/>
        <v>0.8235474946203505</v>
      </c>
      <c r="O278" s="78"/>
    </row>
    <row r="279" spans="1:15" ht="18.75" customHeight="1">
      <c r="A279" s="115"/>
      <c r="B279" s="127"/>
      <c r="C279" s="18" t="s">
        <v>204</v>
      </c>
      <c r="D279" s="4">
        <v>258037</v>
      </c>
      <c r="E279" s="4">
        <v>3581</v>
      </c>
      <c r="F279" s="4"/>
      <c r="G279" s="4"/>
      <c r="H279" s="7">
        <f t="shared" si="35"/>
        <v>261618</v>
      </c>
      <c r="I279" s="7">
        <v>254300</v>
      </c>
      <c r="J279" s="7">
        <v>3580</v>
      </c>
      <c r="K279" s="7"/>
      <c r="L279" s="7"/>
      <c r="M279" s="7">
        <f t="shared" si="36"/>
        <v>257880</v>
      </c>
      <c r="N279" s="5">
        <f t="shared" si="37"/>
        <v>0.9857119922941082</v>
      </c>
      <c r="O279" s="78"/>
    </row>
    <row r="280" spans="1:15" ht="9.75" customHeight="1">
      <c r="A280" s="115"/>
      <c r="B280" s="141" t="s">
        <v>258</v>
      </c>
      <c r="C280" s="103"/>
      <c r="D280" s="6">
        <f>SUM(D276:D279)</f>
        <v>889541</v>
      </c>
      <c r="E280" s="6">
        <f>SUM(E276:E279)</f>
        <v>6508</v>
      </c>
      <c r="F280" s="6">
        <f>SUM(F276:F279)</f>
        <v>0</v>
      </c>
      <c r="G280" s="6">
        <f>SUM(G276:G279)</f>
        <v>0</v>
      </c>
      <c r="H280" s="6">
        <f t="shared" si="35"/>
        <v>896049</v>
      </c>
      <c r="I280" s="6">
        <f>SUM(I276:I279)</f>
        <v>906456</v>
      </c>
      <c r="J280" s="6">
        <f>SUM(J276:J279)</f>
        <v>6507</v>
      </c>
      <c r="K280" s="6">
        <f>SUM(K276:K279)</f>
        <v>0</v>
      </c>
      <c r="L280" s="6">
        <f>SUM(L276:L279)</f>
        <v>0</v>
      </c>
      <c r="M280" s="6">
        <f t="shared" si="36"/>
        <v>912963</v>
      </c>
      <c r="N280" s="28">
        <f aca="true" t="shared" si="38" ref="N280:N286">M280/H280</f>
        <v>1.018876199850678</v>
      </c>
      <c r="O280" s="78"/>
    </row>
    <row r="281" spans="1:15" ht="47.25" customHeight="1">
      <c r="A281" s="115"/>
      <c r="B281" s="126" t="s">
        <v>50</v>
      </c>
      <c r="C281" s="18" t="s">
        <v>104</v>
      </c>
      <c r="D281" s="4"/>
      <c r="E281" s="4">
        <v>17800</v>
      </c>
      <c r="F281" s="4"/>
      <c r="G281" s="4"/>
      <c r="H281" s="7">
        <f t="shared" si="35"/>
        <v>17800</v>
      </c>
      <c r="I281" s="7"/>
      <c r="J281" s="7">
        <v>6103</v>
      </c>
      <c r="K281" s="7"/>
      <c r="L281" s="7"/>
      <c r="M281" s="7">
        <f t="shared" si="36"/>
        <v>6103</v>
      </c>
      <c r="N281" s="5">
        <f t="shared" si="38"/>
        <v>0.34286516853932586</v>
      </c>
      <c r="O281" s="78"/>
    </row>
    <row r="282" spans="1:15" ht="9.75">
      <c r="A282" s="115"/>
      <c r="B282" s="128"/>
      <c r="C282" s="27" t="s">
        <v>76</v>
      </c>
      <c r="D282" s="4"/>
      <c r="E282" s="4">
        <f>5000-314</f>
        <v>4686</v>
      </c>
      <c r="F282" s="4"/>
      <c r="G282" s="4"/>
      <c r="H282" s="7">
        <f t="shared" si="35"/>
        <v>4686</v>
      </c>
      <c r="I282" s="7"/>
      <c r="J282" s="7">
        <v>4964</v>
      </c>
      <c r="K282" s="7"/>
      <c r="L282" s="7"/>
      <c r="M282" s="7">
        <f t="shared" si="36"/>
        <v>4964</v>
      </c>
      <c r="N282" s="5">
        <f t="shared" si="38"/>
        <v>1.0593256508749467</v>
      </c>
      <c r="O282" s="78"/>
    </row>
    <row r="283" spans="1:15" ht="9.75">
      <c r="A283" s="115"/>
      <c r="B283" s="128"/>
      <c r="C283" s="18" t="s">
        <v>72</v>
      </c>
      <c r="D283" s="4"/>
      <c r="E283" s="4">
        <v>327</v>
      </c>
      <c r="F283" s="4"/>
      <c r="G283" s="4"/>
      <c r="H283" s="7">
        <f t="shared" si="35"/>
        <v>327</v>
      </c>
      <c r="I283" s="7"/>
      <c r="J283" s="7">
        <v>2146</v>
      </c>
      <c r="K283" s="7"/>
      <c r="L283" s="7"/>
      <c r="M283" s="7">
        <f t="shared" si="36"/>
        <v>2146</v>
      </c>
      <c r="N283" s="5">
        <f t="shared" si="38"/>
        <v>6.562691131498471</v>
      </c>
      <c r="O283" s="78"/>
    </row>
    <row r="284" spans="1:15" ht="19.5">
      <c r="A284" s="115"/>
      <c r="B284" s="128"/>
      <c r="C284" s="18" t="s">
        <v>208</v>
      </c>
      <c r="D284" s="4"/>
      <c r="E284" s="4">
        <v>1200</v>
      </c>
      <c r="F284" s="4"/>
      <c r="G284" s="4"/>
      <c r="H284" s="7">
        <f t="shared" si="35"/>
        <v>1200</v>
      </c>
      <c r="I284" s="7"/>
      <c r="J284" s="7">
        <v>1200</v>
      </c>
      <c r="K284" s="7"/>
      <c r="L284" s="7"/>
      <c r="M284" s="7">
        <f t="shared" si="36"/>
        <v>1200</v>
      </c>
      <c r="N284" s="5">
        <f t="shared" si="38"/>
        <v>1</v>
      </c>
      <c r="O284" s="78"/>
    </row>
    <row r="285" spans="1:15" ht="9.75">
      <c r="A285" s="115"/>
      <c r="B285" s="128"/>
      <c r="C285" s="18" t="s">
        <v>74</v>
      </c>
      <c r="D285" s="4"/>
      <c r="E285" s="4"/>
      <c r="F285" s="4"/>
      <c r="G285" s="4"/>
      <c r="H285" s="7">
        <f t="shared" si="35"/>
        <v>0</v>
      </c>
      <c r="I285" s="7"/>
      <c r="J285" s="7">
        <v>1</v>
      </c>
      <c r="K285" s="7"/>
      <c r="L285" s="7"/>
      <c r="M285" s="7">
        <f t="shared" si="36"/>
        <v>1</v>
      </c>
      <c r="N285" s="5"/>
      <c r="O285" s="78"/>
    </row>
    <row r="286" spans="1:15" ht="18" customHeight="1">
      <c r="A286" s="115"/>
      <c r="B286" s="127"/>
      <c r="C286" s="18" t="s">
        <v>204</v>
      </c>
      <c r="D286" s="4"/>
      <c r="E286" s="4">
        <v>66420</v>
      </c>
      <c r="F286" s="4"/>
      <c r="G286" s="4"/>
      <c r="H286" s="7">
        <f t="shared" si="35"/>
        <v>66420</v>
      </c>
      <c r="I286" s="7"/>
      <c r="J286" s="7">
        <v>66420</v>
      </c>
      <c r="K286" s="7"/>
      <c r="L286" s="7"/>
      <c r="M286" s="7">
        <f t="shared" si="36"/>
        <v>66420</v>
      </c>
      <c r="N286" s="5">
        <f t="shared" si="38"/>
        <v>1</v>
      </c>
      <c r="O286" s="78"/>
    </row>
    <row r="287" spans="1:15" ht="9.75">
      <c r="A287" s="115"/>
      <c r="B287" s="46" t="s">
        <v>181</v>
      </c>
      <c r="C287" s="29"/>
      <c r="D287" s="6">
        <f>SUM(D281:D286)</f>
        <v>0</v>
      </c>
      <c r="E287" s="6">
        <f>SUM(E281:E286)</f>
        <v>90433</v>
      </c>
      <c r="F287" s="6">
        <f>SUM(F281:F286)</f>
        <v>0</v>
      </c>
      <c r="G287" s="6">
        <f>SUM(G281:G286)</f>
        <v>0</v>
      </c>
      <c r="H287" s="6">
        <f t="shared" si="35"/>
        <v>90433</v>
      </c>
      <c r="I287" s="6">
        <f>SUM(I281:I286)</f>
        <v>0</v>
      </c>
      <c r="J287" s="6">
        <f>SUM(J281:J286)</f>
        <v>80834</v>
      </c>
      <c r="K287" s="6">
        <f>SUM(K281:K286)</f>
        <v>0</v>
      </c>
      <c r="L287" s="6">
        <f>SUM(L281:L286)</f>
        <v>0</v>
      </c>
      <c r="M287" s="6">
        <f t="shared" si="36"/>
        <v>80834</v>
      </c>
      <c r="N287" s="28">
        <f>M287/H287</f>
        <v>0.8938551192595623</v>
      </c>
      <c r="O287" s="78"/>
    </row>
    <row r="288" spans="1:15" ht="9.75" customHeight="1" hidden="1">
      <c r="A288" s="115"/>
      <c r="B288" s="22" t="s">
        <v>199</v>
      </c>
      <c r="C288" s="18" t="s">
        <v>76</v>
      </c>
      <c r="D288" s="4"/>
      <c r="E288" s="4">
        <f>14-14</f>
        <v>0</v>
      </c>
      <c r="F288" s="4"/>
      <c r="G288" s="4"/>
      <c r="H288" s="7">
        <f t="shared" si="35"/>
        <v>0</v>
      </c>
      <c r="I288" s="7"/>
      <c r="J288" s="7"/>
      <c r="K288" s="7"/>
      <c r="L288" s="7"/>
      <c r="M288" s="7">
        <f t="shared" si="36"/>
        <v>0</v>
      </c>
      <c r="N288" s="5"/>
      <c r="O288" s="78"/>
    </row>
    <row r="289" spans="1:15" ht="39" customHeight="1">
      <c r="A289" s="115"/>
      <c r="B289" s="120" t="s">
        <v>199</v>
      </c>
      <c r="C289" s="18" t="s">
        <v>72</v>
      </c>
      <c r="D289" s="4"/>
      <c r="E289" s="4"/>
      <c r="F289" s="4"/>
      <c r="G289" s="4"/>
      <c r="H289" s="7">
        <f t="shared" si="35"/>
        <v>0</v>
      </c>
      <c r="I289" s="7"/>
      <c r="J289" s="7">
        <v>1011</v>
      </c>
      <c r="K289" s="7"/>
      <c r="L289" s="7"/>
      <c r="M289" s="7">
        <f t="shared" si="36"/>
        <v>1011</v>
      </c>
      <c r="N289" s="5"/>
      <c r="O289" s="78"/>
    </row>
    <row r="290" spans="1:15" ht="9.75">
      <c r="A290" s="115"/>
      <c r="B290" s="122"/>
      <c r="C290" s="18" t="s">
        <v>74</v>
      </c>
      <c r="D290" s="4"/>
      <c r="E290" s="4"/>
      <c r="F290" s="4"/>
      <c r="G290" s="4"/>
      <c r="H290" s="7">
        <f t="shared" si="35"/>
        <v>0</v>
      </c>
      <c r="I290" s="7"/>
      <c r="J290" s="7">
        <v>21</v>
      </c>
      <c r="K290" s="7"/>
      <c r="L290" s="7"/>
      <c r="M290" s="7">
        <f t="shared" si="36"/>
        <v>21</v>
      </c>
      <c r="N290" s="5"/>
      <c r="O290" s="78"/>
    </row>
    <row r="291" spans="1:15" ht="9.75">
      <c r="A291" s="115"/>
      <c r="B291" s="46" t="s">
        <v>200</v>
      </c>
      <c r="C291" s="29"/>
      <c r="D291" s="6">
        <f>SUM(D288:D290)</f>
        <v>0</v>
      </c>
      <c r="E291" s="6">
        <f>SUM(E288:E290)</f>
        <v>0</v>
      </c>
      <c r="F291" s="6">
        <f>SUM(F288:F290)</f>
        <v>0</v>
      </c>
      <c r="G291" s="6">
        <f>SUM(G288:G290)</f>
        <v>0</v>
      </c>
      <c r="H291" s="6">
        <f t="shared" si="35"/>
        <v>0</v>
      </c>
      <c r="I291" s="6">
        <f>SUM(I288:I289)</f>
        <v>0</v>
      </c>
      <c r="J291" s="6">
        <f>SUM(J288:J290)</f>
        <v>1032</v>
      </c>
      <c r="K291" s="6">
        <f>SUM(K288:K290)</f>
        <v>0</v>
      </c>
      <c r="L291" s="6">
        <f>SUM(L288:L290)</f>
        <v>0</v>
      </c>
      <c r="M291" s="6">
        <f t="shared" si="36"/>
        <v>1032</v>
      </c>
      <c r="N291" s="28"/>
      <c r="O291" s="78"/>
    </row>
    <row r="292" spans="1:15" ht="48" customHeight="1">
      <c r="A292" s="115"/>
      <c r="B292" s="126" t="s">
        <v>51</v>
      </c>
      <c r="C292" s="18" t="s">
        <v>104</v>
      </c>
      <c r="D292" s="4"/>
      <c r="E292" s="4">
        <v>11000</v>
      </c>
      <c r="F292" s="4"/>
      <c r="G292" s="4"/>
      <c r="H292" s="7">
        <f t="shared" si="35"/>
        <v>11000</v>
      </c>
      <c r="I292" s="7"/>
      <c r="J292" s="7">
        <v>2373</v>
      </c>
      <c r="K292" s="7"/>
      <c r="L292" s="7"/>
      <c r="M292" s="7">
        <f t="shared" si="36"/>
        <v>2373</v>
      </c>
      <c r="N292" s="5">
        <f>M292/H292</f>
        <v>0.21572727272727274</v>
      </c>
      <c r="O292" s="78"/>
    </row>
    <row r="293" spans="1:15" ht="9.75" hidden="1">
      <c r="A293" s="115"/>
      <c r="B293" s="128"/>
      <c r="C293" s="18" t="s">
        <v>76</v>
      </c>
      <c r="D293" s="4"/>
      <c r="E293" s="4">
        <f>360-360</f>
        <v>0</v>
      </c>
      <c r="F293" s="4"/>
      <c r="G293" s="4"/>
      <c r="H293" s="7">
        <f t="shared" si="35"/>
        <v>0</v>
      </c>
      <c r="I293" s="7"/>
      <c r="J293" s="7"/>
      <c r="K293" s="7"/>
      <c r="L293" s="7"/>
      <c r="M293" s="7">
        <f t="shared" si="36"/>
        <v>0</v>
      </c>
      <c r="N293" s="5"/>
      <c r="O293" s="78"/>
    </row>
    <row r="294" spans="1:15" ht="9.75">
      <c r="A294" s="115"/>
      <c r="B294" s="127"/>
      <c r="C294" s="18" t="s">
        <v>72</v>
      </c>
      <c r="D294" s="4"/>
      <c r="E294" s="4"/>
      <c r="F294" s="4"/>
      <c r="G294" s="4"/>
      <c r="H294" s="7">
        <f t="shared" si="35"/>
        <v>0</v>
      </c>
      <c r="I294" s="7"/>
      <c r="J294" s="7">
        <v>894</v>
      </c>
      <c r="K294" s="7"/>
      <c r="L294" s="7"/>
      <c r="M294" s="7">
        <f t="shared" si="36"/>
        <v>894</v>
      </c>
      <c r="N294" s="5"/>
      <c r="O294" s="78"/>
    </row>
    <row r="295" spans="1:15" ht="9.75">
      <c r="A295" s="115"/>
      <c r="B295" s="46" t="s">
        <v>182</v>
      </c>
      <c r="C295" s="29"/>
      <c r="D295" s="6">
        <f>SUM(D292:D294)</f>
        <v>0</v>
      </c>
      <c r="E295" s="6">
        <f>SUM(E292:E294)</f>
        <v>11000</v>
      </c>
      <c r="F295" s="6">
        <f>SUM(F292:F294)</f>
        <v>0</v>
      </c>
      <c r="G295" s="6">
        <f>SUM(G292:G294)</f>
        <v>0</v>
      </c>
      <c r="H295" s="6">
        <f t="shared" si="35"/>
        <v>11000</v>
      </c>
      <c r="I295" s="6">
        <f>SUM(I292:I294)</f>
        <v>0</v>
      </c>
      <c r="J295" s="6">
        <f>SUM(J292:J294)</f>
        <v>3267</v>
      </c>
      <c r="K295" s="6">
        <f>SUM(K292:K294)</f>
        <v>0</v>
      </c>
      <c r="L295" s="6">
        <f>SUM(L292:L294)</f>
        <v>0</v>
      </c>
      <c r="M295" s="6">
        <f t="shared" si="36"/>
        <v>3267</v>
      </c>
      <c r="N295" s="28">
        <f aca="true" t="shared" si="39" ref="N295:N316">M295/H295</f>
        <v>0.297</v>
      </c>
      <c r="O295" s="78"/>
    </row>
    <row r="296" spans="1:15" ht="48.75" customHeight="1">
      <c r="A296" s="115"/>
      <c r="B296" s="126" t="s">
        <v>52</v>
      </c>
      <c r="C296" s="27" t="s">
        <v>104</v>
      </c>
      <c r="D296" s="7"/>
      <c r="E296" s="4">
        <v>248500</v>
      </c>
      <c r="F296" s="4"/>
      <c r="G296" s="4"/>
      <c r="H296" s="7">
        <f t="shared" si="35"/>
        <v>248500</v>
      </c>
      <c r="I296" s="7"/>
      <c r="J296" s="7">
        <v>22750</v>
      </c>
      <c r="K296" s="7"/>
      <c r="L296" s="7"/>
      <c r="M296" s="7">
        <f t="shared" si="36"/>
        <v>22750</v>
      </c>
      <c r="N296" s="5">
        <f t="shared" si="39"/>
        <v>0.09154929577464789</v>
      </c>
      <c r="O296" s="80"/>
    </row>
    <row r="297" spans="1:15" ht="9" customHeight="1">
      <c r="A297" s="115"/>
      <c r="B297" s="128"/>
      <c r="C297" s="18" t="s">
        <v>76</v>
      </c>
      <c r="D297" s="4"/>
      <c r="E297" s="4">
        <f>55397-1534</f>
        <v>53863</v>
      </c>
      <c r="F297" s="4"/>
      <c r="G297" s="4"/>
      <c r="H297" s="7">
        <f t="shared" si="35"/>
        <v>53863</v>
      </c>
      <c r="I297" s="7"/>
      <c r="J297" s="7">
        <v>53863</v>
      </c>
      <c r="K297" s="7"/>
      <c r="L297" s="7"/>
      <c r="M297" s="7">
        <f t="shared" si="36"/>
        <v>53863</v>
      </c>
      <c r="N297" s="5">
        <f t="shared" si="39"/>
        <v>1</v>
      </c>
      <c r="O297" s="78"/>
    </row>
    <row r="298" spans="1:15" ht="8.25" customHeight="1">
      <c r="A298" s="115"/>
      <c r="B298" s="128"/>
      <c r="C298" s="18" t="s">
        <v>72</v>
      </c>
      <c r="D298" s="4"/>
      <c r="E298" s="4">
        <v>309</v>
      </c>
      <c r="F298" s="4"/>
      <c r="G298" s="4"/>
      <c r="H298" s="7">
        <f t="shared" si="35"/>
        <v>309</v>
      </c>
      <c r="I298" s="7"/>
      <c r="J298" s="7">
        <v>387</v>
      </c>
      <c r="K298" s="7"/>
      <c r="L298" s="7"/>
      <c r="M298" s="7">
        <f t="shared" si="36"/>
        <v>387</v>
      </c>
      <c r="N298" s="5">
        <f t="shared" si="39"/>
        <v>1.2524271844660195</v>
      </c>
      <c r="O298" s="78"/>
    </row>
    <row r="299" spans="1:15" ht="18" customHeight="1">
      <c r="A299" s="115"/>
      <c r="B299" s="128"/>
      <c r="C299" s="18" t="s">
        <v>208</v>
      </c>
      <c r="D299" s="4"/>
      <c r="E299" s="4">
        <v>29400</v>
      </c>
      <c r="F299" s="4"/>
      <c r="G299" s="4"/>
      <c r="H299" s="7">
        <f t="shared" si="35"/>
        <v>29400</v>
      </c>
      <c r="I299" s="7"/>
      <c r="J299" s="7">
        <v>29400</v>
      </c>
      <c r="K299" s="7"/>
      <c r="L299" s="7"/>
      <c r="M299" s="7">
        <f t="shared" si="36"/>
        <v>29400</v>
      </c>
      <c r="N299" s="5">
        <f t="shared" si="39"/>
        <v>1</v>
      </c>
      <c r="O299" s="78"/>
    </row>
    <row r="300" spans="1:15" ht="18" customHeight="1">
      <c r="A300" s="115"/>
      <c r="B300" s="127"/>
      <c r="C300" s="18" t="s">
        <v>204</v>
      </c>
      <c r="D300" s="4"/>
      <c r="E300" s="4">
        <v>155789</v>
      </c>
      <c r="F300" s="4"/>
      <c r="G300" s="4"/>
      <c r="H300" s="7">
        <f t="shared" si="35"/>
        <v>155789</v>
      </c>
      <c r="I300" s="7"/>
      <c r="J300" s="7">
        <v>155790</v>
      </c>
      <c r="K300" s="7"/>
      <c r="L300" s="7"/>
      <c r="M300" s="7">
        <f t="shared" si="36"/>
        <v>155790</v>
      </c>
      <c r="N300" s="5">
        <f t="shared" si="39"/>
        <v>1.000006418938436</v>
      </c>
      <c r="O300" s="78"/>
    </row>
    <row r="301" spans="1:15" ht="9.75">
      <c r="A301" s="115"/>
      <c r="B301" s="64" t="s">
        <v>183</v>
      </c>
      <c r="C301" s="34"/>
      <c r="D301" s="6">
        <f>SUM(D296:D300)</f>
        <v>0</v>
      </c>
      <c r="E301" s="6">
        <f>SUM(E296:E300)</f>
        <v>487861</v>
      </c>
      <c r="F301" s="6">
        <f>SUM(F296:F300)</f>
        <v>0</v>
      </c>
      <c r="G301" s="6">
        <f>SUM(G296:G300)</f>
        <v>0</v>
      </c>
      <c r="H301" s="6">
        <f t="shared" si="35"/>
        <v>487861</v>
      </c>
      <c r="I301" s="6">
        <f>SUM(I296:I300)</f>
        <v>0</v>
      </c>
      <c r="J301" s="6">
        <f>SUM(J296:J300)</f>
        <v>262190</v>
      </c>
      <c r="K301" s="6">
        <f>SUM(K296:K300)</f>
        <v>0</v>
      </c>
      <c r="L301" s="6">
        <f>SUM(L296:L300)</f>
        <v>0</v>
      </c>
      <c r="M301" s="6">
        <f t="shared" si="36"/>
        <v>262190</v>
      </c>
      <c r="N301" s="28">
        <f t="shared" si="39"/>
        <v>0.5374276689466877</v>
      </c>
      <c r="O301" s="78"/>
    </row>
    <row r="302" spans="1:15" ht="9.75">
      <c r="A302" s="54"/>
      <c r="B302" s="120" t="s">
        <v>201</v>
      </c>
      <c r="C302" s="18" t="s">
        <v>76</v>
      </c>
      <c r="D302" s="7">
        <v>5360</v>
      </c>
      <c r="E302" s="4"/>
      <c r="F302" s="4"/>
      <c r="G302" s="4"/>
      <c r="H302" s="7">
        <f t="shared" si="35"/>
        <v>5360</v>
      </c>
      <c r="I302" s="7">
        <v>5360</v>
      </c>
      <c r="J302" s="7"/>
      <c r="K302" s="7"/>
      <c r="L302" s="7"/>
      <c r="M302" s="7">
        <f t="shared" si="36"/>
        <v>5360</v>
      </c>
      <c r="N302" s="5">
        <f t="shared" si="39"/>
        <v>1</v>
      </c>
      <c r="O302" s="80"/>
    </row>
    <row r="303" spans="1:15" ht="9.75">
      <c r="A303" s="54"/>
      <c r="B303" s="121"/>
      <c r="C303" s="18" t="s">
        <v>72</v>
      </c>
      <c r="D303" s="7">
        <v>19</v>
      </c>
      <c r="E303" s="4"/>
      <c r="F303" s="4"/>
      <c r="G303" s="4"/>
      <c r="H303" s="7">
        <f t="shared" si="35"/>
        <v>19</v>
      </c>
      <c r="I303" s="7">
        <v>19</v>
      </c>
      <c r="J303" s="7"/>
      <c r="K303" s="7"/>
      <c r="L303" s="7"/>
      <c r="M303" s="7">
        <f t="shared" si="36"/>
        <v>19</v>
      </c>
      <c r="N303" s="5">
        <f t="shared" si="39"/>
        <v>1</v>
      </c>
      <c r="O303" s="80"/>
    </row>
    <row r="304" spans="1:15" ht="19.5">
      <c r="A304" s="54"/>
      <c r="B304" s="121"/>
      <c r="C304" s="18" t="s">
        <v>208</v>
      </c>
      <c r="D304" s="7">
        <v>1924</v>
      </c>
      <c r="E304" s="4"/>
      <c r="F304" s="4"/>
      <c r="G304" s="4"/>
      <c r="H304" s="7">
        <f t="shared" si="35"/>
        <v>1924</v>
      </c>
      <c r="I304" s="7">
        <v>1923</v>
      </c>
      <c r="J304" s="7"/>
      <c r="K304" s="7"/>
      <c r="L304" s="7"/>
      <c r="M304" s="7">
        <f t="shared" si="36"/>
        <v>1923</v>
      </c>
      <c r="N304" s="5">
        <f t="shared" si="39"/>
        <v>0.9994802494802495</v>
      </c>
      <c r="O304" s="80"/>
    </row>
    <row r="305" spans="1:15" ht="18.75" customHeight="1">
      <c r="A305" s="54"/>
      <c r="B305" s="122"/>
      <c r="C305" s="18" t="s">
        <v>204</v>
      </c>
      <c r="D305" s="7">
        <v>3859</v>
      </c>
      <c r="E305" s="4"/>
      <c r="F305" s="4"/>
      <c r="G305" s="4"/>
      <c r="H305" s="7">
        <f t="shared" si="35"/>
        <v>3859</v>
      </c>
      <c r="I305" s="7">
        <v>3860</v>
      </c>
      <c r="J305" s="7"/>
      <c r="K305" s="7"/>
      <c r="L305" s="7"/>
      <c r="M305" s="7">
        <f t="shared" si="36"/>
        <v>3860</v>
      </c>
      <c r="N305" s="5">
        <f t="shared" si="39"/>
        <v>1.0002591344908007</v>
      </c>
      <c r="O305" s="80"/>
    </row>
    <row r="306" spans="1:15" ht="9.75">
      <c r="A306" s="71"/>
      <c r="B306" s="64" t="s">
        <v>201</v>
      </c>
      <c r="C306" s="34"/>
      <c r="D306" s="6">
        <f>SUM(D302:D305)</f>
        <v>11162</v>
      </c>
      <c r="E306" s="6">
        <f>SUM(E302:E305)</f>
        <v>0</v>
      </c>
      <c r="F306" s="6">
        <f>SUM(F302:F305)</f>
        <v>0</v>
      </c>
      <c r="G306" s="6">
        <f>SUM(G302:G305)</f>
        <v>0</v>
      </c>
      <c r="H306" s="6">
        <f t="shared" si="35"/>
        <v>11162</v>
      </c>
      <c r="I306" s="6">
        <f>SUM(I302:I305)</f>
        <v>11162</v>
      </c>
      <c r="J306" s="6">
        <f>SUM(J302:J305)</f>
        <v>0</v>
      </c>
      <c r="K306" s="6">
        <f>SUM(K302:K305)</f>
        <v>0</v>
      </c>
      <c r="L306" s="6">
        <f>SUM(L302:L305)</f>
        <v>0</v>
      </c>
      <c r="M306" s="6">
        <f t="shared" si="36"/>
        <v>11162</v>
      </c>
      <c r="N306" s="28">
        <f t="shared" si="39"/>
        <v>1</v>
      </c>
      <c r="O306" s="78"/>
    </row>
    <row r="307" spans="1:15" s="10" customFormat="1" ht="11.25" customHeight="1">
      <c r="A307" s="73"/>
      <c r="B307" s="120" t="s">
        <v>227</v>
      </c>
      <c r="C307" s="18" t="s">
        <v>74</v>
      </c>
      <c r="D307" s="13"/>
      <c r="E307" s="13"/>
      <c r="F307" s="13"/>
      <c r="G307" s="13"/>
      <c r="H307" s="7">
        <f t="shared" si="35"/>
        <v>0</v>
      </c>
      <c r="I307" s="13"/>
      <c r="J307" s="13">
        <v>139</v>
      </c>
      <c r="K307" s="13"/>
      <c r="L307" s="13"/>
      <c r="M307" s="7">
        <f t="shared" si="36"/>
        <v>139</v>
      </c>
      <c r="N307" s="5"/>
      <c r="O307" s="80"/>
    </row>
    <row r="308" spans="1:15" ht="28.5" customHeight="1">
      <c r="A308" s="71"/>
      <c r="B308" s="121"/>
      <c r="C308" s="18" t="s">
        <v>101</v>
      </c>
      <c r="D308" s="7">
        <v>77685</v>
      </c>
      <c r="E308" s="4"/>
      <c r="F308" s="4"/>
      <c r="G308" s="4"/>
      <c r="H308" s="7">
        <f t="shared" si="35"/>
        <v>77685</v>
      </c>
      <c r="I308" s="7">
        <v>38843</v>
      </c>
      <c r="J308" s="7"/>
      <c r="K308" s="7"/>
      <c r="L308" s="7"/>
      <c r="M308" s="7">
        <f t="shared" si="36"/>
        <v>38843</v>
      </c>
      <c r="N308" s="5">
        <f t="shared" si="39"/>
        <v>0.5000064362489541</v>
      </c>
      <c r="O308" s="80"/>
    </row>
    <row r="309" spans="1:15" ht="29.25" customHeight="1">
      <c r="A309" s="71"/>
      <c r="B309" s="121"/>
      <c r="C309" s="22" t="s">
        <v>257</v>
      </c>
      <c r="D309" s="7"/>
      <c r="E309" s="4"/>
      <c r="F309" s="4"/>
      <c r="G309" s="4"/>
      <c r="H309" s="7">
        <f t="shared" si="35"/>
        <v>0</v>
      </c>
      <c r="I309" s="7"/>
      <c r="J309" s="7">
        <v>44</v>
      </c>
      <c r="K309" s="7"/>
      <c r="L309" s="7"/>
      <c r="M309" s="7">
        <f t="shared" si="36"/>
        <v>44</v>
      </c>
      <c r="N309" s="5"/>
      <c r="O309" s="80"/>
    </row>
    <row r="310" spans="1:15" ht="37.5" customHeight="1">
      <c r="A310" s="71"/>
      <c r="B310" s="122"/>
      <c r="C310" s="22" t="s">
        <v>249</v>
      </c>
      <c r="D310" s="7"/>
      <c r="E310" s="4"/>
      <c r="F310" s="4"/>
      <c r="G310" s="4"/>
      <c r="H310" s="7">
        <f t="shared" si="35"/>
        <v>0</v>
      </c>
      <c r="I310" s="7"/>
      <c r="J310" s="7">
        <v>94</v>
      </c>
      <c r="K310" s="7"/>
      <c r="L310" s="7"/>
      <c r="M310" s="7">
        <f t="shared" si="36"/>
        <v>94</v>
      </c>
      <c r="N310" s="5"/>
      <c r="O310" s="80"/>
    </row>
    <row r="311" spans="1:15" ht="9.75">
      <c r="A311" s="71"/>
      <c r="B311" s="65" t="s">
        <v>259</v>
      </c>
      <c r="C311" s="34"/>
      <c r="D311" s="6">
        <f>SUM(D307:D310)</f>
        <v>77685</v>
      </c>
      <c r="E311" s="6">
        <f>SUM(E307:E310)</f>
        <v>0</v>
      </c>
      <c r="F311" s="6">
        <f>SUM(F307:F310)</f>
        <v>0</v>
      </c>
      <c r="G311" s="6">
        <f>SUM(G307:G310)</f>
        <v>0</v>
      </c>
      <c r="H311" s="6">
        <f t="shared" si="35"/>
        <v>77685</v>
      </c>
      <c r="I311" s="6">
        <f>SUM(I307:I310)</f>
        <v>38843</v>
      </c>
      <c r="J311" s="6">
        <f>SUM(J307:J310)</f>
        <v>277</v>
      </c>
      <c r="K311" s="6">
        <f>SUM(K307:K310)</f>
        <v>0</v>
      </c>
      <c r="L311" s="6">
        <f>SUM(L307:L310)</f>
        <v>0</v>
      </c>
      <c r="M311" s="6">
        <f t="shared" si="36"/>
        <v>39120</v>
      </c>
      <c r="N311" s="28">
        <f t="shared" si="39"/>
        <v>0.5035721181695308</v>
      </c>
      <c r="O311" s="78"/>
    </row>
    <row r="312" spans="1:15" ht="9" customHeight="1">
      <c r="A312" s="71"/>
      <c r="B312" s="126" t="s">
        <v>202</v>
      </c>
      <c r="C312" s="18" t="s">
        <v>76</v>
      </c>
      <c r="D312" s="7"/>
      <c r="E312" s="4">
        <f>15505+4182</f>
        <v>19687</v>
      </c>
      <c r="F312" s="4"/>
      <c r="G312" s="4"/>
      <c r="H312" s="7">
        <f t="shared" si="35"/>
        <v>19687</v>
      </c>
      <c r="I312" s="7"/>
      <c r="J312" s="7">
        <v>19888</v>
      </c>
      <c r="K312" s="7"/>
      <c r="L312" s="7"/>
      <c r="M312" s="7">
        <f t="shared" si="36"/>
        <v>19888</v>
      </c>
      <c r="N312" s="5">
        <f t="shared" si="39"/>
        <v>1.0102097831056027</v>
      </c>
      <c r="O312" s="80"/>
    </row>
    <row r="313" spans="1:15" ht="9" customHeight="1">
      <c r="A313" s="71"/>
      <c r="B313" s="128"/>
      <c r="C313" s="18" t="s">
        <v>72</v>
      </c>
      <c r="D313" s="7"/>
      <c r="E313" s="4">
        <v>234</v>
      </c>
      <c r="F313" s="4"/>
      <c r="G313" s="4"/>
      <c r="H313" s="7">
        <f t="shared" si="35"/>
        <v>234</v>
      </c>
      <c r="I313" s="7"/>
      <c r="J313" s="7">
        <v>2395</v>
      </c>
      <c r="K313" s="7"/>
      <c r="L313" s="7"/>
      <c r="M313" s="7">
        <f t="shared" si="36"/>
        <v>2395</v>
      </c>
      <c r="N313" s="5">
        <f t="shared" si="39"/>
        <v>10.235042735042734</v>
      </c>
      <c r="O313" s="80"/>
    </row>
    <row r="314" spans="1:15" ht="9" customHeight="1">
      <c r="A314" s="71"/>
      <c r="B314" s="128"/>
      <c r="C314" s="18" t="s">
        <v>74</v>
      </c>
      <c r="D314" s="7"/>
      <c r="E314" s="4">
        <v>222</v>
      </c>
      <c r="F314" s="4"/>
      <c r="G314" s="4"/>
      <c r="H314" s="7">
        <f t="shared" si="35"/>
        <v>222</v>
      </c>
      <c r="I314" s="7"/>
      <c r="J314" s="7">
        <v>222</v>
      </c>
      <c r="K314" s="7"/>
      <c r="L314" s="7"/>
      <c r="M314" s="7">
        <f t="shared" si="36"/>
        <v>222</v>
      </c>
      <c r="N314" s="5">
        <f t="shared" si="39"/>
        <v>1</v>
      </c>
      <c r="O314" s="80"/>
    </row>
    <row r="315" spans="1:15" ht="18" customHeight="1">
      <c r="A315" s="71"/>
      <c r="B315" s="127"/>
      <c r="C315" s="18" t="s">
        <v>204</v>
      </c>
      <c r="D315" s="7"/>
      <c r="E315" s="4">
        <v>151989</v>
      </c>
      <c r="F315" s="4"/>
      <c r="G315" s="4"/>
      <c r="H315" s="7">
        <f t="shared" si="35"/>
        <v>151989</v>
      </c>
      <c r="I315" s="7"/>
      <c r="J315" s="7">
        <v>151990</v>
      </c>
      <c r="K315" s="7"/>
      <c r="L315" s="7"/>
      <c r="M315" s="7">
        <f t="shared" si="36"/>
        <v>151990</v>
      </c>
      <c r="N315" s="5">
        <f t="shared" si="39"/>
        <v>1.000006579423511</v>
      </c>
      <c r="O315" s="80"/>
    </row>
    <row r="316" spans="1:15" ht="9.75">
      <c r="A316" s="87"/>
      <c r="B316" s="29" t="s">
        <v>203</v>
      </c>
      <c r="C316" s="34"/>
      <c r="D316" s="6">
        <f>SUM(D312:D315)</f>
        <v>0</v>
      </c>
      <c r="E316" s="6">
        <f>SUM(E312:E315)</f>
        <v>172132</v>
      </c>
      <c r="F316" s="6">
        <f>SUM(F312:F315)</f>
        <v>0</v>
      </c>
      <c r="G316" s="6">
        <f>SUM(G312:G315)</f>
        <v>0</v>
      </c>
      <c r="H316" s="6">
        <f t="shared" si="35"/>
        <v>172132</v>
      </c>
      <c r="I316" s="6">
        <f>SUM(I312:I315)</f>
        <v>0</v>
      </c>
      <c r="J316" s="6">
        <f>SUM(J312:J315)</f>
        <v>174495</v>
      </c>
      <c r="K316" s="6">
        <f>SUM(K312:K315)</f>
        <v>0</v>
      </c>
      <c r="L316" s="6">
        <f>SUM(L312:L315)</f>
        <v>0</v>
      </c>
      <c r="M316" s="6">
        <f t="shared" si="36"/>
        <v>174495</v>
      </c>
      <c r="N316" s="28">
        <f t="shared" si="39"/>
        <v>1.0137278367764273</v>
      </c>
      <c r="O316" s="78"/>
    </row>
    <row r="317" spans="1:15" ht="37.5" customHeight="1">
      <c r="A317" s="71"/>
      <c r="B317" s="86" t="s">
        <v>250</v>
      </c>
      <c r="C317" s="18" t="s">
        <v>216</v>
      </c>
      <c r="D317" s="7"/>
      <c r="E317" s="4"/>
      <c r="F317" s="4"/>
      <c r="G317" s="4"/>
      <c r="H317" s="7">
        <f>SUM(D317:G317)</f>
        <v>0</v>
      </c>
      <c r="I317" s="7">
        <v>143</v>
      </c>
      <c r="J317" s="7"/>
      <c r="K317" s="7"/>
      <c r="L317" s="7"/>
      <c r="M317" s="7">
        <f>SUM(I317:L317)</f>
        <v>143</v>
      </c>
      <c r="N317" s="5"/>
      <c r="O317" s="80"/>
    </row>
    <row r="318" spans="1:15" ht="9.75">
      <c r="A318" s="74"/>
      <c r="B318" s="46" t="s">
        <v>251</v>
      </c>
      <c r="C318" s="34"/>
      <c r="D318" s="6">
        <f>SUM(D317)</f>
        <v>0</v>
      </c>
      <c r="E318" s="6">
        <f>SUM(E317)</f>
        <v>0</v>
      </c>
      <c r="F318" s="6">
        <f>SUM(F317)</f>
        <v>0</v>
      </c>
      <c r="G318" s="6">
        <f>SUM(G317)</f>
        <v>0</v>
      </c>
      <c r="H318" s="6">
        <f>SUM(D318:G318)</f>
        <v>0</v>
      </c>
      <c r="I318" s="6">
        <f>SUM(I317:I317)</f>
        <v>143</v>
      </c>
      <c r="J318" s="6">
        <f>SUM(J317:J317)</f>
        <v>0</v>
      </c>
      <c r="K318" s="6">
        <f>SUM(K317:K317)</f>
        <v>0</v>
      </c>
      <c r="L318" s="6">
        <f>SUM(L317:L317)</f>
        <v>0</v>
      </c>
      <c r="M318" s="6">
        <f>SUM(I318:L318)</f>
        <v>143</v>
      </c>
      <c r="N318" s="28"/>
      <c r="O318" s="78"/>
    </row>
    <row r="319" spans="1:15" ht="9" customHeight="1">
      <c r="A319" s="75" t="s">
        <v>53</v>
      </c>
      <c r="B319" s="26"/>
      <c r="C319" s="24"/>
      <c r="D319" s="25">
        <f>SUM(D318,D316,D311,D280,D287,D291,D295,D301,D306)</f>
        <v>978388</v>
      </c>
      <c r="E319" s="25">
        <f>SUM(E318,E316,E311,E280,E287,E291,E295,E301,E306)</f>
        <v>767934</v>
      </c>
      <c r="F319" s="25">
        <f>SUM(F318,F316,F311,F280,F287,F291,F295,F301,F306)</f>
        <v>0</v>
      </c>
      <c r="G319" s="25">
        <f>SUM(G318,G316,G311,G280,G287,G291,G295,G301,G306)</f>
        <v>0</v>
      </c>
      <c r="H319" s="25">
        <f t="shared" si="35"/>
        <v>1746322</v>
      </c>
      <c r="I319" s="25">
        <f>SUM(I318,I316,I311,I280,I287,I291,I295,I301,I306)</f>
        <v>956604</v>
      </c>
      <c r="J319" s="25">
        <f>SUM(J318,J316,J311,J280,J287,J291,J295,J301,J306)</f>
        <v>528602</v>
      </c>
      <c r="K319" s="25">
        <f>SUM(K318,K316,K311,K280,K287,K291,K295,K301,K306)</f>
        <v>0</v>
      </c>
      <c r="L319" s="25">
        <f>SUM(L318,L316,L311,L280,L287,L291,L295,L301,L306)</f>
        <v>0</v>
      </c>
      <c r="M319" s="25">
        <f t="shared" si="36"/>
        <v>1485206</v>
      </c>
      <c r="N319" s="30">
        <f>M319/H319</f>
        <v>0.8504766016805606</v>
      </c>
      <c r="O319" s="78"/>
    </row>
    <row r="320" spans="1:15" ht="16.5" customHeight="1">
      <c r="A320" s="114" t="s">
        <v>54</v>
      </c>
      <c r="B320" s="45" t="s">
        <v>228</v>
      </c>
      <c r="C320" s="18" t="s">
        <v>74</v>
      </c>
      <c r="D320" s="4"/>
      <c r="E320" s="4"/>
      <c r="F320" s="4"/>
      <c r="G320" s="4"/>
      <c r="H320" s="7">
        <f t="shared" si="35"/>
        <v>0</v>
      </c>
      <c r="I320" s="7">
        <v>118</v>
      </c>
      <c r="J320" s="7"/>
      <c r="K320" s="7"/>
      <c r="L320" s="7"/>
      <c r="M320" s="7">
        <f t="shared" si="36"/>
        <v>118</v>
      </c>
      <c r="N320" s="5"/>
      <c r="O320" s="78"/>
    </row>
    <row r="321" spans="1:15" ht="9" customHeight="1">
      <c r="A321" s="115"/>
      <c r="B321" s="46" t="s">
        <v>260</v>
      </c>
      <c r="C321" s="29"/>
      <c r="D321" s="6">
        <f>SUM(D320)</f>
        <v>0</v>
      </c>
      <c r="E321" s="6">
        <f>SUM(E320)</f>
        <v>0</v>
      </c>
      <c r="F321" s="6">
        <f>SUM(F320)</f>
        <v>0</v>
      </c>
      <c r="G321" s="6">
        <f>SUM(G320)</f>
        <v>0</v>
      </c>
      <c r="H321" s="6">
        <f t="shared" si="35"/>
        <v>0</v>
      </c>
      <c r="I321" s="6">
        <f>SUM(I320)</f>
        <v>118</v>
      </c>
      <c r="J321" s="6">
        <f>SUM(J320)</f>
        <v>0</v>
      </c>
      <c r="K321" s="6">
        <f>SUM(K320)</f>
        <v>0</v>
      </c>
      <c r="L321" s="6">
        <f>SUM(L320)</f>
        <v>0</v>
      </c>
      <c r="M321" s="6">
        <f t="shared" si="36"/>
        <v>118</v>
      </c>
      <c r="N321" s="28"/>
      <c r="O321" s="78"/>
    </row>
    <row r="322" spans="1:15" ht="19.5">
      <c r="A322" s="115"/>
      <c r="B322" s="45" t="s">
        <v>229</v>
      </c>
      <c r="C322" s="27" t="s">
        <v>194</v>
      </c>
      <c r="D322" s="4"/>
      <c r="E322" s="4"/>
      <c r="F322" s="4"/>
      <c r="G322" s="4"/>
      <c r="H322" s="7">
        <f t="shared" si="35"/>
        <v>0</v>
      </c>
      <c r="I322" s="7">
        <v>23090</v>
      </c>
      <c r="J322" s="7"/>
      <c r="K322" s="7"/>
      <c r="L322" s="7"/>
      <c r="M322" s="7">
        <f t="shared" si="36"/>
        <v>23090</v>
      </c>
      <c r="N322" s="5"/>
      <c r="O322" s="78"/>
    </row>
    <row r="323" spans="1:15" ht="9.75">
      <c r="A323" s="115"/>
      <c r="B323" s="46" t="s">
        <v>261</v>
      </c>
      <c r="C323" s="29"/>
      <c r="D323" s="6">
        <f>SUM(D322)</f>
        <v>0</v>
      </c>
      <c r="E323" s="6">
        <f>SUM(E322)</f>
        <v>0</v>
      </c>
      <c r="F323" s="6">
        <f>SUM(F322)</f>
        <v>0</v>
      </c>
      <c r="G323" s="6">
        <f>SUM(G322)</f>
        <v>0</v>
      </c>
      <c r="H323" s="6">
        <f t="shared" si="35"/>
        <v>0</v>
      </c>
      <c r="I323" s="6">
        <f>SUM(I322)</f>
        <v>23090</v>
      </c>
      <c r="J323" s="6">
        <f>SUM(J322)</f>
        <v>0</v>
      </c>
      <c r="K323" s="6">
        <f>SUM(K322)</f>
        <v>0</v>
      </c>
      <c r="L323" s="6">
        <f>SUM(L322)</f>
        <v>0</v>
      </c>
      <c r="M323" s="6">
        <f t="shared" si="36"/>
        <v>23090</v>
      </c>
      <c r="N323" s="28"/>
      <c r="O323" s="78"/>
    </row>
    <row r="324" spans="1:15" ht="27.75" customHeight="1">
      <c r="A324" s="115"/>
      <c r="B324" s="66" t="s">
        <v>255</v>
      </c>
      <c r="C324" s="18" t="s">
        <v>72</v>
      </c>
      <c r="D324" s="4"/>
      <c r="E324" s="4"/>
      <c r="F324" s="4"/>
      <c r="G324" s="4"/>
      <c r="H324" s="7">
        <f>SUM(D324:G324)</f>
        <v>0</v>
      </c>
      <c r="I324" s="7">
        <v>10457</v>
      </c>
      <c r="J324" s="7">
        <v>1054</v>
      </c>
      <c r="K324" s="7"/>
      <c r="L324" s="7"/>
      <c r="M324" s="7">
        <f>SUM(I324:L324)</f>
        <v>11511</v>
      </c>
      <c r="N324" s="5"/>
      <c r="O324" s="78"/>
    </row>
    <row r="325" spans="1:15" s="92" customFormat="1" ht="8.25" customHeight="1">
      <c r="A325" s="115"/>
      <c r="B325" s="46" t="s">
        <v>256</v>
      </c>
      <c r="C325" s="93"/>
      <c r="D325" s="94">
        <f>SUM(D324:D324)</f>
        <v>0</v>
      </c>
      <c r="E325" s="94">
        <f>SUM(E324:E324)</f>
        <v>0</v>
      </c>
      <c r="F325" s="94">
        <f>SUM(F324:F324)</f>
        <v>0</v>
      </c>
      <c r="G325" s="94">
        <f>SUM(G324:G324)</f>
        <v>0</v>
      </c>
      <c r="H325" s="94">
        <f>SUM(D325:G325)</f>
        <v>0</v>
      </c>
      <c r="I325" s="6">
        <f>SUM(I324:I324)</f>
        <v>10457</v>
      </c>
      <c r="J325" s="6">
        <f>SUM(J324:J324)</f>
        <v>1054</v>
      </c>
      <c r="K325" s="6">
        <f>SUM(K324:K324)</f>
        <v>0</v>
      </c>
      <c r="L325" s="6">
        <f>SUM(L324:L324)</f>
        <v>0</v>
      </c>
      <c r="M325" s="6">
        <f>SUM(I325:L325)</f>
        <v>11511</v>
      </c>
      <c r="N325" s="28"/>
      <c r="O325" s="91"/>
    </row>
    <row r="326" spans="1:15" ht="48.75" customHeight="1">
      <c r="A326" s="115"/>
      <c r="B326" s="129" t="s">
        <v>61</v>
      </c>
      <c r="C326" s="18" t="s">
        <v>104</v>
      </c>
      <c r="D326" s="4">
        <v>36690</v>
      </c>
      <c r="E326" s="4"/>
      <c r="F326" s="4"/>
      <c r="G326" s="4"/>
      <c r="H326" s="7">
        <f t="shared" si="35"/>
        <v>36690</v>
      </c>
      <c r="I326" s="7">
        <v>14523</v>
      </c>
      <c r="J326" s="7"/>
      <c r="K326" s="7"/>
      <c r="L326" s="7"/>
      <c r="M326" s="7">
        <f t="shared" si="36"/>
        <v>14523</v>
      </c>
      <c r="N326" s="5">
        <f aca="true" t="shared" si="40" ref="N326:N332">M326/H326</f>
        <v>0.39582992641046605</v>
      </c>
      <c r="O326" s="78"/>
    </row>
    <row r="327" spans="1:15" ht="8.25" customHeight="1">
      <c r="A327" s="115"/>
      <c r="B327" s="129"/>
      <c r="C327" s="18" t="s">
        <v>72</v>
      </c>
      <c r="D327" s="4"/>
      <c r="E327" s="4"/>
      <c r="F327" s="4"/>
      <c r="G327" s="4"/>
      <c r="H327" s="7">
        <f t="shared" si="35"/>
        <v>0</v>
      </c>
      <c r="I327" s="7">
        <v>5</v>
      </c>
      <c r="J327" s="7"/>
      <c r="K327" s="7"/>
      <c r="L327" s="7"/>
      <c r="M327" s="7">
        <f t="shared" si="36"/>
        <v>5</v>
      </c>
      <c r="N327" s="5"/>
      <c r="O327" s="78"/>
    </row>
    <row r="328" spans="1:15" ht="9.75">
      <c r="A328" s="115"/>
      <c r="B328" s="46" t="s">
        <v>184</v>
      </c>
      <c r="C328" s="29"/>
      <c r="D328" s="6">
        <f>SUM(D326:D327)</f>
        <v>36690</v>
      </c>
      <c r="E328" s="6">
        <f>SUM(E326:E327)</f>
        <v>0</v>
      </c>
      <c r="F328" s="6">
        <f>SUM(F326:F327)</f>
        <v>0</v>
      </c>
      <c r="G328" s="6">
        <f>SUM(G326:G327)</f>
        <v>0</v>
      </c>
      <c r="H328" s="6">
        <f>SUM(D328:G328)</f>
        <v>36690</v>
      </c>
      <c r="I328" s="6">
        <f>SUM(I326:I327)</f>
        <v>14528</v>
      </c>
      <c r="J328" s="6">
        <f>SUM(J326:J327)</f>
        <v>0</v>
      </c>
      <c r="K328" s="6">
        <f>SUM(K326:K327)</f>
        <v>0</v>
      </c>
      <c r="L328" s="6">
        <f>SUM(L326:L327)</f>
        <v>0</v>
      </c>
      <c r="M328" s="6">
        <f t="shared" si="36"/>
        <v>14528</v>
      </c>
      <c r="N328" s="28">
        <f t="shared" si="40"/>
        <v>0.3959662033251567</v>
      </c>
      <c r="O328" s="78"/>
    </row>
    <row r="329" spans="1:15" ht="47.25" customHeight="1">
      <c r="A329" s="115"/>
      <c r="B329" s="129" t="s">
        <v>55</v>
      </c>
      <c r="C329" s="18" t="s">
        <v>102</v>
      </c>
      <c r="D329" s="4">
        <f>1741588-300000</f>
        <v>1441588</v>
      </c>
      <c r="E329" s="4"/>
      <c r="F329" s="4"/>
      <c r="G329" s="4"/>
      <c r="H329" s="7">
        <f>SUM(D329:G329)</f>
        <v>1441588</v>
      </c>
      <c r="I329" s="7">
        <v>1441588</v>
      </c>
      <c r="J329" s="7"/>
      <c r="K329" s="7"/>
      <c r="L329" s="7"/>
      <c r="M329" s="7">
        <f t="shared" si="36"/>
        <v>1441588</v>
      </c>
      <c r="N329" s="5">
        <f t="shared" si="40"/>
        <v>1</v>
      </c>
      <c r="O329" s="78"/>
    </row>
    <row r="330" spans="1:15" ht="37.5" customHeight="1">
      <c r="A330" s="115"/>
      <c r="B330" s="129"/>
      <c r="C330" s="18" t="s">
        <v>79</v>
      </c>
      <c r="D330" s="4"/>
      <c r="E330" s="4"/>
      <c r="F330" s="4"/>
      <c r="G330" s="4"/>
      <c r="H330" s="7">
        <f>SUM(D330:G330)</f>
        <v>0</v>
      </c>
      <c r="I330" s="7">
        <v>177595</v>
      </c>
      <c r="J330" s="7"/>
      <c r="K330" s="7"/>
      <c r="L330" s="7"/>
      <c r="M330" s="7">
        <f t="shared" si="36"/>
        <v>177595</v>
      </c>
      <c r="N330" s="5"/>
      <c r="O330" s="78"/>
    </row>
    <row r="331" spans="1:15" ht="8.25" customHeight="1">
      <c r="A331" s="125"/>
      <c r="B331" s="67" t="s">
        <v>185</v>
      </c>
      <c r="C331" s="34"/>
      <c r="D331" s="6">
        <f>SUM(D329:D330)</f>
        <v>1441588</v>
      </c>
      <c r="E331" s="6">
        <f>SUM(E329:E330)</f>
        <v>0</v>
      </c>
      <c r="F331" s="6">
        <f>SUM(F329:F330)</f>
        <v>0</v>
      </c>
      <c r="G331" s="6">
        <f>SUM(G329:G330)</f>
        <v>0</v>
      </c>
      <c r="H331" s="6">
        <f aca="true" t="shared" si="41" ref="H331:H346">SUM(D331:G331)</f>
        <v>1441588</v>
      </c>
      <c r="I331" s="6">
        <f>SUM(I329:I330)</f>
        <v>1619183</v>
      </c>
      <c r="J331" s="6">
        <f>SUM(J329:J330)</f>
        <v>0</v>
      </c>
      <c r="K331" s="6">
        <f>SUM(K329:K330)</f>
        <v>0</v>
      </c>
      <c r="L331" s="6">
        <f>SUM(L329:L330)</f>
        <v>0</v>
      </c>
      <c r="M331" s="6">
        <f t="shared" si="36"/>
        <v>1619183</v>
      </c>
      <c r="N331" s="28">
        <f t="shared" si="40"/>
        <v>1.1231940054994909</v>
      </c>
      <c r="O331" s="80"/>
    </row>
    <row r="332" spans="1:15" ht="11.25">
      <c r="A332" s="75" t="s">
        <v>56</v>
      </c>
      <c r="B332" s="36"/>
      <c r="C332" s="24"/>
      <c r="D332" s="25">
        <f>SUM(D331,D328,D323,D321,D325)</f>
        <v>1478278</v>
      </c>
      <c r="E332" s="25">
        <f>SUM(E331,E328,E323,E321)</f>
        <v>0</v>
      </c>
      <c r="F332" s="25">
        <f>SUM(F331,F328,F323,F321)</f>
        <v>0</v>
      </c>
      <c r="G332" s="25">
        <f>SUM(G331,G328,G323,G321)</f>
        <v>0</v>
      </c>
      <c r="H332" s="25">
        <f t="shared" si="41"/>
        <v>1478278</v>
      </c>
      <c r="I332" s="25">
        <f>SUM(I331,I328,I323,I321,I325)</f>
        <v>1667376</v>
      </c>
      <c r="J332" s="25">
        <f>SUM(J331,J328,J323,J321,J325)</f>
        <v>1054</v>
      </c>
      <c r="K332" s="25">
        <f>SUM(K331,K328,K323,K321,K325)</f>
        <v>0</v>
      </c>
      <c r="L332" s="25">
        <f>SUM(L331,L328,L323,L321,L325)</f>
        <v>0</v>
      </c>
      <c r="M332" s="25">
        <f t="shared" si="36"/>
        <v>1668430</v>
      </c>
      <c r="N332" s="30">
        <f t="shared" si="40"/>
        <v>1.1286307446907822</v>
      </c>
      <c r="O332" s="78"/>
    </row>
    <row r="333" spans="1:15" ht="37.5" customHeight="1">
      <c r="A333" s="114" t="s">
        <v>231</v>
      </c>
      <c r="B333" s="66" t="s">
        <v>232</v>
      </c>
      <c r="C333" s="18" t="s">
        <v>216</v>
      </c>
      <c r="D333" s="4"/>
      <c r="E333" s="4"/>
      <c r="F333" s="4"/>
      <c r="G333" s="4"/>
      <c r="H333" s="7">
        <f t="shared" si="41"/>
        <v>0</v>
      </c>
      <c r="I333" s="7">
        <v>464</v>
      </c>
      <c r="J333" s="7"/>
      <c r="K333" s="7"/>
      <c r="L333" s="7"/>
      <c r="M333" s="7">
        <f t="shared" si="36"/>
        <v>464</v>
      </c>
      <c r="N333" s="5"/>
      <c r="O333" s="78"/>
    </row>
    <row r="334" spans="1:15" ht="9.75" customHeight="1">
      <c r="A334" s="125"/>
      <c r="B334" s="67" t="s">
        <v>232</v>
      </c>
      <c r="C334" s="34"/>
      <c r="D334" s="6">
        <f aca="true" t="shared" si="42" ref="D334:G335">SUM(D333)</f>
        <v>0</v>
      </c>
      <c r="E334" s="6">
        <f t="shared" si="42"/>
        <v>0</v>
      </c>
      <c r="F334" s="6">
        <f t="shared" si="42"/>
        <v>0</v>
      </c>
      <c r="G334" s="6">
        <f t="shared" si="42"/>
        <v>0</v>
      </c>
      <c r="H334" s="6">
        <f t="shared" si="41"/>
        <v>0</v>
      </c>
      <c r="I334" s="6">
        <f>SUM(I333:I333)</f>
        <v>464</v>
      </c>
      <c r="J334" s="6">
        <f>SUM(J333:J333)</f>
        <v>0</v>
      </c>
      <c r="K334" s="6">
        <f>SUM(K333:K333)</f>
        <v>0</v>
      </c>
      <c r="L334" s="6">
        <f>SUM(L333:L333)</f>
        <v>0</v>
      </c>
      <c r="M334" s="6">
        <f t="shared" si="36"/>
        <v>464</v>
      </c>
      <c r="N334" s="28"/>
      <c r="O334" s="78"/>
    </row>
    <row r="335" spans="1:15" ht="9.75" customHeight="1">
      <c r="A335" s="26" t="s">
        <v>231</v>
      </c>
      <c r="B335" s="88"/>
      <c r="C335" s="24"/>
      <c r="D335" s="25">
        <f t="shared" si="42"/>
        <v>0</v>
      </c>
      <c r="E335" s="25">
        <f t="shared" si="42"/>
        <v>0</v>
      </c>
      <c r="F335" s="25">
        <f t="shared" si="42"/>
        <v>0</v>
      </c>
      <c r="G335" s="25">
        <f t="shared" si="42"/>
        <v>0</v>
      </c>
      <c r="H335" s="25">
        <f t="shared" si="41"/>
        <v>0</v>
      </c>
      <c r="I335" s="25">
        <f>SUM(I334)</f>
        <v>464</v>
      </c>
      <c r="J335" s="25">
        <f>SUM(J334)</f>
        <v>0</v>
      </c>
      <c r="K335" s="25">
        <f>SUM(K334)</f>
        <v>0</v>
      </c>
      <c r="L335" s="25">
        <f>SUM(L334)</f>
        <v>0</v>
      </c>
      <c r="M335" s="25">
        <f t="shared" si="36"/>
        <v>464</v>
      </c>
      <c r="N335" s="30"/>
      <c r="O335" s="78"/>
    </row>
    <row r="336" spans="1:15" ht="9.75">
      <c r="A336" s="140" t="s">
        <v>59</v>
      </c>
      <c r="B336" s="120" t="s">
        <v>67</v>
      </c>
      <c r="C336" s="18" t="s">
        <v>71</v>
      </c>
      <c r="D336" s="4">
        <v>100000</v>
      </c>
      <c r="E336" s="4"/>
      <c r="F336" s="4"/>
      <c r="G336" s="4"/>
      <c r="H336" s="7">
        <f t="shared" si="41"/>
        <v>100000</v>
      </c>
      <c r="I336" s="7">
        <v>85073</v>
      </c>
      <c r="J336" s="7"/>
      <c r="K336" s="7"/>
      <c r="L336" s="7"/>
      <c r="M336" s="7">
        <f aca="true" t="shared" si="43" ref="M336:M345">SUM(I336:L336)</f>
        <v>85073</v>
      </c>
      <c r="N336" s="5">
        <f aca="true" t="shared" si="44" ref="N336:N347">M336/H336</f>
        <v>0.85073</v>
      </c>
      <c r="O336" s="78"/>
    </row>
    <row r="337" spans="1:15" ht="9.75">
      <c r="A337" s="140"/>
      <c r="B337" s="121"/>
      <c r="C337" s="18" t="s">
        <v>72</v>
      </c>
      <c r="D337" s="4"/>
      <c r="E337" s="4"/>
      <c r="F337" s="4"/>
      <c r="G337" s="4"/>
      <c r="H337" s="7">
        <f t="shared" si="41"/>
        <v>0</v>
      </c>
      <c r="I337" s="7">
        <v>2586</v>
      </c>
      <c r="J337" s="7"/>
      <c r="K337" s="7"/>
      <c r="L337" s="7"/>
      <c r="M337" s="7">
        <f t="shared" si="43"/>
        <v>2586</v>
      </c>
      <c r="N337" s="5"/>
      <c r="O337" s="78"/>
    </row>
    <row r="338" spans="1:15" ht="8.25" customHeight="1">
      <c r="A338" s="140"/>
      <c r="B338" s="122"/>
      <c r="C338" s="18" t="s">
        <v>74</v>
      </c>
      <c r="D338" s="4"/>
      <c r="E338" s="4"/>
      <c r="F338" s="4"/>
      <c r="G338" s="4"/>
      <c r="H338" s="7">
        <f t="shared" si="41"/>
        <v>0</v>
      </c>
      <c r="I338" s="7">
        <v>163</v>
      </c>
      <c r="J338" s="7"/>
      <c r="K338" s="7"/>
      <c r="L338" s="7"/>
      <c r="M338" s="7">
        <f t="shared" si="43"/>
        <v>163</v>
      </c>
      <c r="N338" s="5"/>
      <c r="O338" s="78"/>
    </row>
    <row r="339" spans="1:15" ht="9.75">
      <c r="A339" s="140"/>
      <c r="B339" s="29" t="s">
        <v>186</v>
      </c>
      <c r="C339" s="29"/>
      <c r="D339" s="6">
        <f>SUM(D336:D338)</f>
        <v>100000</v>
      </c>
      <c r="E339" s="6">
        <f>SUM(E336:E338)</f>
        <v>0</v>
      </c>
      <c r="F339" s="6">
        <f>SUM(F336:F338)</f>
        <v>0</v>
      </c>
      <c r="G339" s="6">
        <f>SUM(G336:G338)</f>
        <v>0</v>
      </c>
      <c r="H339" s="6">
        <f t="shared" si="41"/>
        <v>100000</v>
      </c>
      <c r="I339" s="6">
        <f>SUM(I336:I338)</f>
        <v>87822</v>
      </c>
      <c r="J339" s="6">
        <f>SUM(J336:J338)</f>
        <v>0</v>
      </c>
      <c r="K339" s="6">
        <f>SUM(K336:K338)</f>
        <v>0</v>
      </c>
      <c r="L339" s="6">
        <f>SUM(L336:L338)</f>
        <v>0</v>
      </c>
      <c r="M339" s="6">
        <f t="shared" si="43"/>
        <v>87822</v>
      </c>
      <c r="N339" s="28">
        <f t="shared" si="44"/>
        <v>0.87822</v>
      </c>
      <c r="O339" s="78"/>
    </row>
    <row r="340" spans="1:15" ht="9.75" customHeight="1" hidden="1">
      <c r="A340" s="140"/>
      <c r="B340" s="22" t="s">
        <v>233</v>
      </c>
      <c r="C340" s="18" t="s">
        <v>71</v>
      </c>
      <c r="D340" s="4"/>
      <c r="E340" s="4"/>
      <c r="F340" s="4"/>
      <c r="G340" s="4"/>
      <c r="H340" s="7">
        <f t="shared" si="41"/>
        <v>0</v>
      </c>
      <c r="I340" s="7"/>
      <c r="J340" s="7"/>
      <c r="K340" s="7"/>
      <c r="L340" s="7"/>
      <c r="M340" s="7">
        <f t="shared" si="43"/>
        <v>0</v>
      </c>
      <c r="N340" s="5"/>
      <c r="O340" s="78"/>
    </row>
    <row r="341" spans="1:15" ht="58.5">
      <c r="A341" s="140"/>
      <c r="B341" s="120" t="s">
        <v>233</v>
      </c>
      <c r="C341" s="18" t="s">
        <v>104</v>
      </c>
      <c r="D341" s="4">
        <v>230000</v>
      </c>
      <c r="E341" s="4"/>
      <c r="F341" s="4"/>
      <c r="G341" s="4"/>
      <c r="H341" s="7">
        <f t="shared" si="41"/>
        <v>230000</v>
      </c>
      <c r="I341" s="7">
        <v>153885</v>
      </c>
      <c r="J341" s="7"/>
      <c r="K341" s="7"/>
      <c r="L341" s="7"/>
      <c r="M341" s="7">
        <f t="shared" si="43"/>
        <v>153885</v>
      </c>
      <c r="N341" s="5">
        <f t="shared" si="44"/>
        <v>0.6690652173913043</v>
      </c>
      <c r="O341" s="78"/>
    </row>
    <row r="342" spans="1:15" ht="9.75">
      <c r="A342" s="140"/>
      <c r="B342" s="121"/>
      <c r="C342" s="18" t="s">
        <v>72</v>
      </c>
      <c r="D342" s="4"/>
      <c r="E342" s="4"/>
      <c r="F342" s="4"/>
      <c r="G342" s="4"/>
      <c r="H342" s="7">
        <f t="shared" si="41"/>
        <v>0</v>
      </c>
      <c r="I342" s="7">
        <v>5686</v>
      </c>
      <c r="J342" s="7"/>
      <c r="K342" s="7"/>
      <c r="L342" s="7"/>
      <c r="M342" s="7">
        <f t="shared" si="43"/>
        <v>5686</v>
      </c>
      <c r="N342" s="5"/>
      <c r="O342" s="78"/>
    </row>
    <row r="343" spans="1:15" ht="9.75">
      <c r="A343" s="140"/>
      <c r="B343" s="27"/>
      <c r="C343" s="18" t="s">
        <v>74</v>
      </c>
      <c r="D343" s="4">
        <v>10725</v>
      </c>
      <c r="E343" s="4"/>
      <c r="F343" s="4"/>
      <c r="G343" s="4"/>
      <c r="H343" s="7">
        <f t="shared" si="41"/>
        <v>10725</v>
      </c>
      <c r="I343" s="7">
        <v>5513</v>
      </c>
      <c r="J343" s="7"/>
      <c r="K343" s="7"/>
      <c r="L343" s="7"/>
      <c r="M343" s="7">
        <f t="shared" si="43"/>
        <v>5513</v>
      </c>
      <c r="N343" s="5">
        <f t="shared" si="44"/>
        <v>0.514032634032634</v>
      </c>
      <c r="O343" s="78"/>
    </row>
    <row r="344" spans="1:15" ht="18" customHeight="1">
      <c r="A344" s="140"/>
      <c r="B344" s="17"/>
      <c r="C344" s="18" t="s">
        <v>204</v>
      </c>
      <c r="D344" s="4">
        <v>18332</v>
      </c>
      <c r="E344" s="4"/>
      <c r="F344" s="4"/>
      <c r="G344" s="4"/>
      <c r="H344" s="7">
        <f t="shared" si="41"/>
        <v>18332</v>
      </c>
      <c r="I344" s="7">
        <v>18333</v>
      </c>
      <c r="J344" s="7"/>
      <c r="K344" s="7"/>
      <c r="L344" s="7"/>
      <c r="M344" s="7">
        <f t="shared" si="43"/>
        <v>18333</v>
      </c>
      <c r="N344" s="5">
        <f t="shared" si="44"/>
        <v>1.000054549421776</v>
      </c>
      <c r="O344" s="78"/>
    </row>
    <row r="345" spans="1:15" ht="8.25" customHeight="1">
      <c r="A345" s="140"/>
      <c r="B345" s="29" t="s">
        <v>234</v>
      </c>
      <c r="C345" s="29"/>
      <c r="D345" s="6">
        <f>SUM(D340:D344)</f>
        <v>259057</v>
      </c>
      <c r="E345" s="6">
        <f>SUM(E340:E344)</f>
        <v>0</v>
      </c>
      <c r="F345" s="6">
        <f>SUM(F340:F344)</f>
        <v>0</v>
      </c>
      <c r="G345" s="6">
        <f>SUM(G340:G344)</f>
        <v>0</v>
      </c>
      <c r="H345" s="6">
        <f t="shared" si="41"/>
        <v>259057</v>
      </c>
      <c r="I345" s="6">
        <f>SUM(I340:I344)</f>
        <v>183417</v>
      </c>
      <c r="J345" s="6">
        <f>SUM(J340:J344)</f>
        <v>0</v>
      </c>
      <c r="K345" s="6">
        <f>SUM(K340:K344)</f>
        <v>0</v>
      </c>
      <c r="L345" s="6">
        <f>SUM(L340:L344)</f>
        <v>0</v>
      </c>
      <c r="M345" s="6">
        <f t="shared" si="43"/>
        <v>183417</v>
      </c>
      <c r="N345" s="28">
        <f t="shared" si="44"/>
        <v>0.7080179265567037</v>
      </c>
      <c r="O345" s="78"/>
    </row>
    <row r="346" spans="1:15" ht="10.5" customHeight="1">
      <c r="A346" s="26" t="s">
        <v>60</v>
      </c>
      <c r="B346" s="89"/>
      <c r="C346" s="42"/>
      <c r="D346" s="25">
        <f>SUM(D345,D339)</f>
        <v>359057</v>
      </c>
      <c r="E346" s="25">
        <f>SUM(E345,E339)</f>
        <v>0</v>
      </c>
      <c r="F346" s="25">
        <f>SUM(F345,F339)</f>
        <v>0</v>
      </c>
      <c r="G346" s="25">
        <f>SUM(G345,G339)</f>
        <v>0</v>
      </c>
      <c r="H346" s="25">
        <f t="shared" si="41"/>
        <v>359057</v>
      </c>
      <c r="I346" s="25">
        <f>SUM(I339,I345)</f>
        <v>271239</v>
      </c>
      <c r="J346" s="25">
        <f>SUM(J339,J345)</f>
        <v>0</v>
      </c>
      <c r="K346" s="25">
        <f>SUM(K339,K345)</f>
        <v>0</v>
      </c>
      <c r="L346" s="25">
        <f>SUM(L339,L345)</f>
        <v>0</v>
      </c>
      <c r="M346" s="25">
        <f>SUM(M339,M345)</f>
        <v>271239</v>
      </c>
      <c r="N346" s="30">
        <f t="shared" si="44"/>
        <v>0.755420448563877</v>
      </c>
      <c r="O346" s="78"/>
    </row>
    <row r="347" spans="1:15" ht="9" customHeight="1">
      <c r="A347" s="77" t="s">
        <v>7</v>
      </c>
      <c r="B347" s="43"/>
      <c r="C347" s="44"/>
      <c r="D347" s="12">
        <f aca="true" t="shared" si="45" ref="D347:M347">SUM(D24,D38,D60,D82,D85,D94,D131,D142,D201,D218,D262,D275,D319,D332,D335,D346)</f>
        <v>456134813</v>
      </c>
      <c r="E347" s="12">
        <f t="shared" si="45"/>
        <v>126494731</v>
      </c>
      <c r="F347" s="12">
        <f t="shared" si="45"/>
        <v>39723440</v>
      </c>
      <c r="G347" s="12">
        <f t="shared" si="45"/>
        <v>11376500</v>
      </c>
      <c r="H347" s="12">
        <f t="shared" si="45"/>
        <v>633729484</v>
      </c>
      <c r="I347" s="12">
        <f t="shared" si="45"/>
        <v>202732077</v>
      </c>
      <c r="J347" s="12">
        <f t="shared" si="45"/>
        <v>54907470</v>
      </c>
      <c r="K347" s="12">
        <f t="shared" si="45"/>
        <v>15469305</v>
      </c>
      <c r="L347" s="12">
        <f t="shared" si="45"/>
        <v>5560904</v>
      </c>
      <c r="M347" s="12">
        <f t="shared" si="45"/>
        <v>278669756</v>
      </c>
      <c r="N347" s="5">
        <f t="shared" si="44"/>
        <v>0.43972982642543423</v>
      </c>
      <c r="O347" s="78"/>
    </row>
    <row r="348" ht="0.75" customHeight="1"/>
    <row r="349" ht="14.25" customHeight="1">
      <c r="D349" s="32"/>
    </row>
    <row r="350" ht="14.25" customHeight="1">
      <c r="D350" s="32"/>
    </row>
    <row r="351" ht="14.25" customHeight="1">
      <c r="D351" s="32"/>
    </row>
    <row r="352" ht="14.25" customHeight="1">
      <c r="D352" s="32"/>
    </row>
    <row r="353" spans="3:13" ht="15.75" customHeight="1">
      <c r="C353" s="52" t="s">
        <v>238</v>
      </c>
      <c r="D353" s="57" t="s">
        <v>246</v>
      </c>
      <c r="E353" s="57" t="s">
        <v>239</v>
      </c>
      <c r="F353" s="57" t="s">
        <v>240</v>
      </c>
      <c r="M353" s="84">
        <v>173783999</v>
      </c>
    </row>
    <row r="354" spans="3:13" ht="12">
      <c r="C354" s="58" t="s">
        <v>241</v>
      </c>
      <c r="D354" s="12">
        <f>SUM(D355:D357)</f>
        <v>84753193</v>
      </c>
      <c r="E354" s="12">
        <f>SUM(E355:E357)</f>
        <v>14789465</v>
      </c>
      <c r="F354" s="59">
        <f>E354/D354*100</f>
        <v>17.450038725974608</v>
      </c>
      <c r="M354" s="85">
        <f>M347-M353</f>
        <v>104885757</v>
      </c>
    </row>
    <row r="355" spans="3:6" ht="11.25">
      <c r="C355" s="60" t="s">
        <v>242</v>
      </c>
      <c r="D355" s="61">
        <v>14753193</v>
      </c>
      <c r="E355" s="61">
        <v>14753193</v>
      </c>
      <c r="F355" s="59">
        <f>E355/D355*100</f>
        <v>100</v>
      </c>
    </row>
    <row r="356" spans="3:6" ht="11.25">
      <c r="C356" s="60" t="s">
        <v>243</v>
      </c>
      <c r="D356" s="61">
        <v>70000000</v>
      </c>
      <c r="E356" s="61"/>
      <c r="F356" s="59">
        <f>E356/D356*100</f>
        <v>0</v>
      </c>
    </row>
    <row r="357" spans="3:6" ht="11.25">
      <c r="C357" s="60" t="s">
        <v>244</v>
      </c>
      <c r="D357" s="61"/>
      <c r="E357" s="61">
        <v>36272</v>
      </c>
      <c r="F357" s="59"/>
    </row>
    <row r="358" spans="3:6" ht="12">
      <c r="C358" s="58" t="s">
        <v>245</v>
      </c>
      <c r="D358" s="12">
        <f>SUM(H347,D354)</f>
        <v>718482677</v>
      </c>
      <c r="E358" s="12">
        <f>SUM(E354,M347)</f>
        <v>293459221</v>
      </c>
      <c r="F358" s="59">
        <f>E358/D358*100</f>
        <v>40.84430013334894</v>
      </c>
    </row>
  </sheetData>
  <mergeCells count="70">
    <mergeCell ref="A1:N1"/>
    <mergeCell ref="D2:H2"/>
    <mergeCell ref="I2:M2"/>
    <mergeCell ref="A4:A7"/>
    <mergeCell ref="B4:B8"/>
    <mergeCell ref="B11:B17"/>
    <mergeCell ref="B19:B22"/>
    <mergeCell ref="B35:B36"/>
    <mergeCell ref="B46:B48"/>
    <mergeCell ref="B50:B52"/>
    <mergeCell ref="B54:B58"/>
    <mergeCell ref="B77:B80"/>
    <mergeCell ref="B65:B67"/>
    <mergeCell ref="A83:A84"/>
    <mergeCell ref="A86:A93"/>
    <mergeCell ref="B86:B89"/>
    <mergeCell ref="B91:B92"/>
    <mergeCell ref="A95:A103"/>
    <mergeCell ref="B95:B96"/>
    <mergeCell ref="B98:B103"/>
    <mergeCell ref="B106:B117"/>
    <mergeCell ref="B119:B123"/>
    <mergeCell ref="B125:B126"/>
    <mergeCell ref="B128:B129"/>
    <mergeCell ref="B143:B148"/>
    <mergeCell ref="B150:B153"/>
    <mergeCell ref="B155:B159"/>
    <mergeCell ref="B161:B167"/>
    <mergeCell ref="B169:B174"/>
    <mergeCell ref="B176:B183"/>
    <mergeCell ref="B185:B188"/>
    <mergeCell ref="B192:B195"/>
    <mergeCell ref="B202:B203"/>
    <mergeCell ref="B207:B208"/>
    <mergeCell ref="B212:B213"/>
    <mergeCell ref="A219:A222"/>
    <mergeCell ref="B219:B220"/>
    <mergeCell ref="B215:B216"/>
    <mergeCell ref="B224:B228"/>
    <mergeCell ref="B230:B232"/>
    <mergeCell ref="B234:B235"/>
    <mergeCell ref="B237:B239"/>
    <mergeCell ref="B243:B245"/>
    <mergeCell ref="B247:B248"/>
    <mergeCell ref="B250:B252"/>
    <mergeCell ref="B254:B257"/>
    <mergeCell ref="B259:B260"/>
    <mergeCell ref="A263:A274"/>
    <mergeCell ref="B263:B264"/>
    <mergeCell ref="B268:B269"/>
    <mergeCell ref="B271:B273"/>
    <mergeCell ref="A276:A295"/>
    <mergeCell ref="B276:B279"/>
    <mergeCell ref="B281:B286"/>
    <mergeCell ref="B292:B294"/>
    <mergeCell ref="B289:B290"/>
    <mergeCell ref="B280:C280"/>
    <mergeCell ref="A296:A301"/>
    <mergeCell ref="B296:B300"/>
    <mergeCell ref="B302:B305"/>
    <mergeCell ref="B307:B310"/>
    <mergeCell ref="B312:B315"/>
    <mergeCell ref="A320:A331"/>
    <mergeCell ref="B326:B327"/>
    <mergeCell ref="B329:B330"/>
    <mergeCell ref="A333:A334"/>
    <mergeCell ref="A336:A339"/>
    <mergeCell ref="B336:B338"/>
    <mergeCell ref="A340:A345"/>
    <mergeCell ref="B341:B342"/>
  </mergeCells>
  <printOptions/>
  <pageMargins left="0.2362204724409449" right="0.2362204724409449" top="0.5511811023622047" bottom="0.4724409448818898" header="0.5118110236220472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" sqref="C6"/>
    </sheetView>
  </sheetViews>
  <sheetFormatPr defaultColWidth="9.140625" defaultRowHeight="12"/>
  <cols>
    <col min="1" max="1" width="15.140625" style="16" customWidth="1"/>
    <col min="2" max="2" width="20.421875" style="16" customWidth="1"/>
    <col min="3" max="3" width="28.421875" style="16" customWidth="1"/>
    <col min="4" max="4" width="11.140625" style="11" customWidth="1"/>
    <col min="5" max="5" width="11.00390625" style="11" customWidth="1"/>
    <col min="6" max="6" width="10.00390625" style="11" customWidth="1"/>
    <col min="7" max="7" width="9.8515625" style="11" customWidth="1"/>
    <col min="8" max="8" width="11.00390625" style="11" customWidth="1"/>
    <col min="9" max="9" width="11.140625" style="11" customWidth="1"/>
    <col min="10" max="11" width="9.8515625" style="11" customWidth="1"/>
    <col min="12" max="12" width="9.140625" style="11" customWidth="1"/>
    <col min="13" max="13" width="11.28125" style="11" customWidth="1"/>
    <col min="14" max="14" width="6.140625" style="11" customWidth="1"/>
    <col min="15" max="15" width="15.421875" style="10" customWidth="1"/>
    <col min="16" max="22" width="9.28125" style="10" customWidth="1"/>
    <col min="23" max="16384" width="9.28125" style="1" customWidth="1"/>
  </cols>
  <sheetData>
    <row r="1" spans="1:14" ht="41.25" customHeight="1">
      <c r="A1" s="133" t="s">
        <v>262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11.25" customHeight="1">
      <c r="A2" s="145" t="s">
        <v>0</v>
      </c>
      <c r="B2" s="145" t="s">
        <v>1</v>
      </c>
      <c r="C2" s="145" t="s">
        <v>2</v>
      </c>
      <c r="D2" s="136" t="s">
        <v>187</v>
      </c>
      <c r="E2" s="137"/>
      <c r="F2" s="137"/>
      <c r="G2" s="137"/>
      <c r="H2" s="138"/>
      <c r="I2" s="136" t="s">
        <v>263</v>
      </c>
      <c r="J2" s="137"/>
      <c r="K2" s="137"/>
      <c r="L2" s="137"/>
      <c r="M2" s="138"/>
      <c r="N2" s="83"/>
      <c r="O2" s="80"/>
    </row>
    <row r="3" spans="1:22" s="3" customFormat="1" ht="29.25">
      <c r="A3" s="145"/>
      <c r="B3" s="145"/>
      <c r="C3" s="145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57</v>
      </c>
      <c r="O3" s="110"/>
      <c r="P3" s="111"/>
      <c r="Q3" s="111"/>
      <c r="R3" s="111"/>
      <c r="S3" s="111"/>
      <c r="T3" s="111"/>
      <c r="U3" s="111"/>
      <c r="V3" s="111"/>
    </row>
    <row r="4" spans="1:15" ht="10.5" customHeight="1">
      <c r="A4" s="146" t="s">
        <v>64</v>
      </c>
      <c r="B4" s="124" t="s">
        <v>113</v>
      </c>
      <c r="C4" s="17" t="s">
        <v>71</v>
      </c>
      <c r="D4" s="4">
        <v>7000</v>
      </c>
      <c r="E4" s="4"/>
      <c r="F4" s="4"/>
      <c r="G4" s="4"/>
      <c r="H4" s="7">
        <f aca="true" t="shared" si="0" ref="H4:H38">SUM(D4:G4)</f>
        <v>7000</v>
      </c>
      <c r="I4" s="7">
        <v>6617</v>
      </c>
      <c r="J4" s="7"/>
      <c r="K4" s="7"/>
      <c r="L4" s="7"/>
      <c r="M4" s="7">
        <f aca="true" t="shared" si="1" ref="M4:M38">SUM(I4:L4)</f>
        <v>6617</v>
      </c>
      <c r="N4" s="5">
        <f aca="true" t="shared" si="2" ref="N4:N12">M4/H4</f>
        <v>0.9452857142857143</v>
      </c>
      <c r="O4" s="80"/>
    </row>
    <row r="5" spans="1:15" ht="57" customHeight="1">
      <c r="A5" s="146"/>
      <c r="B5" s="124"/>
      <c r="C5" s="18" t="s">
        <v>104</v>
      </c>
      <c r="D5" s="4">
        <v>26220</v>
      </c>
      <c r="E5" s="4"/>
      <c r="F5" s="4"/>
      <c r="G5" s="4"/>
      <c r="H5" s="7">
        <f t="shared" si="0"/>
        <v>26220</v>
      </c>
      <c r="I5" s="7">
        <v>10925</v>
      </c>
      <c r="J5" s="7"/>
      <c r="K5" s="7"/>
      <c r="L5" s="7"/>
      <c r="M5" s="7">
        <f t="shared" si="1"/>
        <v>10925</v>
      </c>
      <c r="N5" s="5">
        <f t="shared" si="2"/>
        <v>0.4166666666666667</v>
      </c>
      <c r="O5" s="80"/>
    </row>
    <row r="6" spans="1:15" ht="9.75">
      <c r="A6" s="146"/>
      <c r="B6" s="124"/>
      <c r="C6" s="18" t="s">
        <v>76</v>
      </c>
      <c r="D6" s="4">
        <v>66486450</v>
      </c>
      <c r="E6" s="4"/>
      <c r="F6" s="4"/>
      <c r="G6" s="4"/>
      <c r="H6" s="7">
        <f t="shared" si="0"/>
        <v>66486450</v>
      </c>
      <c r="I6" s="7">
        <v>31814122</v>
      </c>
      <c r="J6" s="7"/>
      <c r="K6" s="7"/>
      <c r="L6" s="7"/>
      <c r="M6" s="7">
        <f t="shared" si="1"/>
        <v>31814122</v>
      </c>
      <c r="N6" s="5">
        <f t="shared" si="2"/>
        <v>0.47850534958626906</v>
      </c>
      <c r="O6" s="80"/>
    </row>
    <row r="7" spans="1:15" ht="9.75">
      <c r="A7" s="147"/>
      <c r="B7" s="124"/>
      <c r="C7" s="18" t="s">
        <v>72</v>
      </c>
      <c r="D7" s="4">
        <f>42200-26220</f>
        <v>15980</v>
      </c>
      <c r="E7" s="4"/>
      <c r="F7" s="4"/>
      <c r="G7" s="4"/>
      <c r="H7" s="7">
        <f t="shared" si="0"/>
        <v>15980</v>
      </c>
      <c r="I7" s="7">
        <v>35001</v>
      </c>
      <c r="J7" s="9"/>
      <c r="K7" s="9"/>
      <c r="L7" s="9"/>
      <c r="M7" s="7">
        <f t="shared" si="1"/>
        <v>35001</v>
      </c>
      <c r="N7" s="5">
        <f t="shared" si="2"/>
        <v>2.1903003754693366</v>
      </c>
      <c r="O7" s="80"/>
    </row>
    <row r="8" spans="1:15" ht="8.25" customHeight="1">
      <c r="A8" s="148"/>
      <c r="B8" s="124"/>
      <c r="C8" s="22" t="s">
        <v>74</v>
      </c>
      <c r="D8" s="4">
        <v>131350</v>
      </c>
      <c r="E8" s="4"/>
      <c r="F8" s="4"/>
      <c r="G8" s="4"/>
      <c r="H8" s="7">
        <f t="shared" si="0"/>
        <v>131350</v>
      </c>
      <c r="I8" s="7">
        <v>173534</v>
      </c>
      <c r="J8" s="13"/>
      <c r="K8" s="13"/>
      <c r="L8" s="13"/>
      <c r="M8" s="7">
        <f t="shared" si="1"/>
        <v>173534</v>
      </c>
      <c r="N8" s="5">
        <f t="shared" si="2"/>
        <v>1.3211572135515797</v>
      </c>
      <c r="O8" s="80"/>
    </row>
    <row r="9" spans="1:15" ht="47.25" customHeight="1">
      <c r="A9" s="148"/>
      <c r="B9" s="17"/>
      <c r="C9" s="22" t="s">
        <v>235</v>
      </c>
      <c r="D9" s="4">
        <v>3403217</v>
      </c>
      <c r="E9" s="4"/>
      <c r="F9" s="4"/>
      <c r="G9" s="4"/>
      <c r="H9" s="7">
        <f t="shared" si="0"/>
        <v>3403217</v>
      </c>
      <c r="I9" s="7">
        <v>1414694</v>
      </c>
      <c r="J9" s="13"/>
      <c r="K9" s="13"/>
      <c r="L9" s="13"/>
      <c r="M9" s="7">
        <f t="shared" si="1"/>
        <v>1414694</v>
      </c>
      <c r="N9" s="5">
        <f t="shared" si="2"/>
        <v>0.41569315150929254</v>
      </c>
      <c r="O9" s="80"/>
    </row>
    <row r="10" spans="1:15" ht="9.75">
      <c r="A10" s="148"/>
      <c r="B10" s="29" t="s">
        <v>114</v>
      </c>
      <c r="C10" s="29"/>
      <c r="D10" s="6">
        <f>SUM(D4:D9)</f>
        <v>70070217</v>
      </c>
      <c r="E10" s="6">
        <f>SUM(E4:E9)</f>
        <v>0</v>
      </c>
      <c r="F10" s="6">
        <f>SUM(F4:F9)</f>
        <v>0</v>
      </c>
      <c r="G10" s="6">
        <f>SUM(G4:G9)</f>
        <v>0</v>
      </c>
      <c r="H10" s="6">
        <f t="shared" si="0"/>
        <v>70070217</v>
      </c>
      <c r="I10" s="6">
        <f>SUM(I4:I9)</f>
        <v>33454893</v>
      </c>
      <c r="J10" s="6">
        <f>SUM(J4:J9)</f>
        <v>0</v>
      </c>
      <c r="K10" s="6">
        <f>SUM(K4:K9)</f>
        <v>0</v>
      </c>
      <c r="L10" s="6">
        <f>SUM(L4:L9)</f>
        <v>0</v>
      </c>
      <c r="M10" s="6">
        <f t="shared" si="1"/>
        <v>33454893</v>
      </c>
      <c r="N10" s="28">
        <f t="shared" si="2"/>
        <v>0.4774481146533341</v>
      </c>
      <c r="O10" s="80"/>
    </row>
    <row r="11" spans="1:15" s="10" customFormat="1" ht="9.75">
      <c r="A11" s="149"/>
      <c r="B11" s="120" t="s">
        <v>115</v>
      </c>
      <c r="C11" s="17" t="s">
        <v>71</v>
      </c>
      <c r="D11" s="13"/>
      <c r="E11" s="7">
        <v>780000</v>
      </c>
      <c r="F11" s="13"/>
      <c r="G11" s="13"/>
      <c r="H11" s="7">
        <f t="shared" si="0"/>
        <v>780000</v>
      </c>
      <c r="I11" s="100"/>
      <c r="J11" s="7">
        <v>342723</v>
      </c>
      <c r="K11" s="13"/>
      <c r="L11" s="13"/>
      <c r="M11" s="7">
        <f t="shared" si="1"/>
        <v>342723</v>
      </c>
      <c r="N11" s="5">
        <f t="shared" si="2"/>
        <v>0.43938846153846156</v>
      </c>
      <c r="O11" s="80"/>
    </row>
    <row r="12" spans="1:15" s="10" customFormat="1" ht="58.5">
      <c r="A12" s="149"/>
      <c r="B12" s="121"/>
      <c r="C12" s="18" t="s">
        <v>104</v>
      </c>
      <c r="D12" s="13"/>
      <c r="E12" s="7">
        <v>80000</v>
      </c>
      <c r="F12" s="13"/>
      <c r="G12" s="13"/>
      <c r="H12" s="7">
        <f t="shared" si="0"/>
        <v>80000</v>
      </c>
      <c r="I12" s="100"/>
      <c r="J12" s="7">
        <v>31114</v>
      </c>
      <c r="K12" s="13"/>
      <c r="L12" s="13"/>
      <c r="M12" s="7">
        <f t="shared" si="1"/>
        <v>31114</v>
      </c>
      <c r="N12" s="5">
        <f t="shared" si="2"/>
        <v>0.388925</v>
      </c>
      <c r="O12" s="80"/>
    </row>
    <row r="13" spans="1:15" s="10" customFormat="1" ht="9.75">
      <c r="A13" s="149"/>
      <c r="B13" s="121"/>
      <c r="C13" s="18" t="s">
        <v>72</v>
      </c>
      <c r="D13" s="13"/>
      <c r="E13" s="7"/>
      <c r="F13" s="13"/>
      <c r="G13" s="13"/>
      <c r="H13" s="7">
        <f t="shared" si="0"/>
        <v>0</v>
      </c>
      <c r="I13" s="7"/>
      <c r="J13" s="7">
        <v>4655</v>
      </c>
      <c r="K13" s="13"/>
      <c r="L13" s="13"/>
      <c r="M13" s="7">
        <f t="shared" si="1"/>
        <v>4655</v>
      </c>
      <c r="N13" s="5"/>
      <c r="O13" s="80"/>
    </row>
    <row r="14" spans="1:15" s="10" customFormat="1" ht="8.25" customHeight="1">
      <c r="A14" s="149"/>
      <c r="B14" s="121"/>
      <c r="C14" s="18" t="s">
        <v>74</v>
      </c>
      <c r="D14" s="13"/>
      <c r="E14" s="7">
        <v>40000</v>
      </c>
      <c r="F14" s="13"/>
      <c r="G14" s="13"/>
      <c r="H14" s="7">
        <f t="shared" si="0"/>
        <v>40000</v>
      </c>
      <c r="I14" s="100"/>
      <c r="J14" s="7">
        <v>47038</v>
      </c>
      <c r="K14" s="13"/>
      <c r="L14" s="13"/>
      <c r="M14" s="7">
        <f t="shared" si="1"/>
        <v>47038</v>
      </c>
      <c r="N14" s="5">
        <f aca="true" t="shared" si="3" ref="N14:N19">M14/H14</f>
        <v>1.17595</v>
      </c>
      <c r="O14" s="80"/>
    </row>
    <row r="15" spans="1:15" s="10" customFormat="1" ht="18" customHeight="1">
      <c r="A15" s="149"/>
      <c r="B15" s="121"/>
      <c r="C15" s="17" t="s">
        <v>204</v>
      </c>
      <c r="D15" s="13"/>
      <c r="E15" s="7">
        <v>417392</v>
      </c>
      <c r="F15" s="13"/>
      <c r="G15" s="13"/>
      <c r="H15" s="7">
        <f t="shared" si="0"/>
        <v>417392</v>
      </c>
      <c r="I15" s="80"/>
      <c r="J15" s="7">
        <v>417392</v>
      </c>
      <c r="K15" s="13"/>
      <c r="L15" s="13"/>
      <c r="M15" s="7">
        <f>SUM(J15:L15)</f>
        <v>417392</v>
      </c>
      <c r="N15" s="5">
        <f t="shared" si="3"/>
        <v>1</v>
      </c>
      <c r="O15" s="80"/>
    </row>
    <row r="16" spans="1:15" ht="48" customHeight="1">
      <c r="A16" s="148"/>
      <c r="B16" s="121"/>
      <c r="C16" s="17" t="s">
        <v>70</v>
      </c>
      <c r="D16" s="4"/>
      <c r="E16" s="4">
        <v>186234</v>
      </c>
      <c r="F16" s="4"/>
      <c r="G16" s="4"/>
      <c r="H16" s="7">
        <f t="shared" si="0"/>
        <v>186234</v>
      </c>
      <c r="I16" s="62"/>
      <c r="J16" s="7">
        <v>341</v>
      </c>
      <c r="K16" s="9"/>
      <c r="L16" s="9"/>
      <c r="M16" s="7">
        <f t="shared" si="1"/>
        <v>341</v>
      </c>
      <c r="N16" s="5">
        <f t="shared" si="3"/>
        <v>0.0018310297797394675</v>
      </c>
      <c r="O16" s="80"/>
    </row>
    <row r="17" spans="1:15" ht="47.25" customHeight="1">
      <c r="A17" s="148"/>
      <c r="B17" s="122"/>
      <c r="C17" s="22" t="s">
        <v>79</v>
      </c>
      <c r="D17" s="4"/>
      <c r="E17" s="4">
        <v>10250000</v>
      </c>
      <c r="F17" s="4"/>
      <c r="G17" s="4"/>
      <c r="H17" s="7">
        <f t="shared" si="0"/>
        <v>10250000</v>
      </c>
      <c r="I17" s="7"/>
      <c r="J17" s="13"/>
      <c r="K17" s="13"/>
      <c r="L17" s="13"/>
      <c r="M17" s="7">
        <f t="shared" si="1"/>
        <v>0</v>
      </c>
      <c r="N17" s="5">
        <f t="shared" si="3"/>
        <v>0</v>
      </c>
      <c r="O17" s="80"/>
    </row>
    <row r="18" spans="1:15" ht="9.75">
      <c r="A18" s="148"/>
      <c r="B18" s="29" t="s">
        <v>116</v>
      </c>
      <c r="C18" s="29"/>
      <c r="D18" s="6">
        <f>SUM(D11:D17)</f>
        <v>0</v>
      </c>
      <c r="E18" s="6">
        <f>SUM(E11:E17)</f>
        <v>11753626</v>
      </c>
      <c r="F18" s="6">
        <f>SUM(F11:F17)</f>
        <v>0</v>
      </c>
      <c r="G18" s="6">
        <f>SUM(G11:G17)</f>
        <v>0</v>
      </c>
      <c r="H18" s="6">
        <f t="shared" si="0"/>
        <v>11753626</v>
      </c>
      <c r="I18" s="6">
        <f>SUM(I11:I17)</f>
        <v>0</v>
      </c>
      <c r="J18" s="6">
        <f>SUM(J11:J17)</f>
        <v>843263</v>
      </c>
      <c r="K18" s="6">
        <f>SUM(K11:K17)</f>
        <v>0</v>
      </c>
      <c r="L18" s="6">
        <f>SUM(L11:L17)</f>
        <v>0</v>
      </c>
      <c r="M18" s="6">
        <f t="shared" si="1"/>
        <v>843263</v>
      </c>
      <c r="N18" s="28">
        <f t="shared" si="3"/>
        <v>0.07174492365164588</v>
      </c>
      <c r="O18" s="80"/>
    </row>
    <row r="19" spans="1:15" ht="9" customHeight="1">
      <c r="A19" s="148"/>
      <c r="B19" s="120" t="s">
        <v>66</v>
      </c>
      <c r="C19" s="18" t="s">
        <v>71</v>
      </c>
      <c r="D19" s="4">
        <v>100000</v>
      </c>
      <c r="E19" s="4"/>
      <c r="F19" s="4"/>
      <c r="G19" s="4"/>
      <c r="H19" s="7">
        <f t="shared" si="0"/>
        <v>100000</v>
      </c>
      <c r="I19" s="7">
        <v>30225</v>
      </c>
      <c r="J19" s="7"/>
      <c r="K19" s="7"/>
      <c r="L19" s="7"/>
      <c r="M19" s="7">
        <f t="shared" si="1"/>
        <v>30225</v>
      </c>
      <c r="N19" s="5">
        <f t="shared" si="3"/>
        <v>0.30225</v>
      </c>
      <c r="O19" s="80"/>
    </row>
    <row r="20" spans="1:15" ht="9" customHeight="1">
      <c r="A20" s="148"/>
      <c r="B20" s="121"/>
      <c r="C20" s="18" t="s">
        <v>74</v>
      </c>
      <c r="D20" s="4"/>
      <c r="E20" s="4"/>
      <c r="F20" s="4"/>
      <c r="G20" s="4"/>
      <c r="H20" s="7">
        <f t="shared" si="0"/>
        <v>0</v>
      </c>
      <c r="I20" s="7">
        <v>7985</v>
      </c>
      <c r="J20" s="7"/>
      <c r="K20" s="7"/>
      <c r="L20" s="7"/>
      <c r="M20" s="7">
        <f t="shared" si="1"/>
        <v>7985</v>
      </c>
      <c r="N20" s="5"/>
      <c r="O20" s="80"/>
    </row>
    <row r="21" spans="1:15" ht="47.25" customHeight="1">
      <c r="A21" s="148"/>
      <c r="B21" s="121"/>
      <c r="C21" s="17" t="s">
        <v>70</v>
      </c>
      <c r="D21" s="4"/>
      <c r="E21" s="4"/>
      <c r="F21" s="4"/>
      <c r="G21" s="4"/>
      <c r="H21" s="7">
        <f t="shared" si="0"/>
        <v>0</v>
      </c>
      <c r="I21" s="7"/>
      <c r="J21" s="7">
        <v>-608</v>
      </c>
      <c r="K21" s="7"/>
      <c r="L21" s="7"/>
      <c r="M21" s="7">
        <f t="shared" si="1"/>
        <v>-608</v>
      </c>
      <c r="N21" s="5"/>
      <c r="O21" s="80"/>
    </row>
    <row r="22" spans="1:15" ht="47.25" customHeight="1">
      <c r="A22" s="148"/>
      <c r="B22" s="122"/>
      <c r="C22" s="17" t="s">
        <v>192</v>
      </c>
      <c r="D22" s="4">
        <v>161709</v>
      </c>
      <c r="E22" s="4"/>
      <c r="F22" s="4"/>
      <c r="G22" s="4"/>
      <c r="H22" s="7">
        <f t="shared" si="0"/>
        <v>161709</v>
      </c>
      <c r="I22" s="7">
        <v>168325</v>
      </c>
      <c r="J22" s="7"/>
      <c r="K22" s="7"/>
      <c r="L22" s="7"/>
      <c r="M22" s="7">
        <f t="shared" si="1"/>
        <v>168325</v>
      </c>
      <c r="N22" s="5">
        <f aca="true" t="shared" si="4" ref="N22:N31">M22/H22</f>
        <v>1.0409129980396885</v>
      </c>
      <c r="O22" s="80"/>
    </row>
    <row r="23" spans="1:15" ht="9" customHeight="1">
      <c r="A23" s="148"/>
      <c r="B23" s="29" t="s">
        <v>117</v>
      </c>
      <c r="C23" s="29"/>
      <c r="D23" s="6">
        <f>SUM(D19:D22)</f>
        <v>261709</v>
      </c>
      <c r="E23" s="6">
        <f>SUM(E19:E22)</f>
        <v>0</v>
      </c>
      <c r="F23" s="6">
        <f>SUM(F19:F22)</f>
        <v>0</v>
      </c>
      <c r="G23" s="6">
        <f>SUM(G19:G22)</f>
        <v>0</v>
      </c>
      <c r="H23" s="6">
        <f t="shared" si="0"/>
        <v>261709</v>
      </c>
      <c r="I23" s="6">
        <f>SUM(I19:I22)</f>
        <v>206535</v>
      </c>
      <c r="J23" s="6">
        <f>SUM(J19:J22)</f>
        <v>-608</v>
      </c>
      <c r="K23" s="6">
        <f>SUM(K19:K22)</f>
        <v>0</v>
      </c>
      <c r="L23" s="6">
        <f>SUM(L19:L22)</f>
        <v>0</v>
      </c>
      <c r="M23" s="6">
        <f t="shared" si="1"/>
        <v>205927</v>
      </c>
      <c r="N23" s="28">
        <f t="shared" si="4"/>
        <v>0.7868548655185722</v>
      </c>
      <c r="O23" s="80"/>
    </row>
    <row r="24" spans="1:15" ht="9.75" customHeight="1">
      <c r="A24" s="26" t="s">
        <v>65</v>
      </c>
      <c r="B24" s="24"/>
      <c r="C24" s="24"/>
      <c r="D24" s="25">
        <f>SUM(D23,D18,D10)</f>
        <v>70331926</v>
      </c>
      <c r="E24" s="25">
        <f>SUM(E23,E18,E10)</f>
        <v>11753626</v>
      </c>
      <c r="F24" s="25">
        <f>SUM(F23,F18,F10)</f>
        <v>0</v>
      </c>
      <c r="G24" s="25">
        <f>SUM(G23,G18,G10)</f>
        <v>0</v>
      </c>
      <c r="H24" s="25">
        <f t="shared" si="0"/>
        <v>82085552</v>
      </c>
      <c r="I24" s="25">
        <f>SUM(I23,I18,I10)</f>
        <v>33661428</v>
      </c>
      <c r="J24" s="25">
        <f>SUM(J23,J18,J10)</f>
        <v>842655</v>
      </c>
      <c r="K24" s="25">
        <f>SUM(K23,K18,K10)</f>
        <v>0</v>
      </c>
      <c r="L24" s="25">
        <f>SUM(L23,L18,L10)</f>
        <v>0</v>
      </c>
      <c r="M24" s="25">
        <f t="shared" si="1"/>
        <v>34504083</v>
      </c>
      <c r="N24" s="30">
        <f t="shared" si="4"/>
        <v>0.4203429490246956</v>
      </c>
      <c r="O24" s="80"/>
    </row>
    <row r="25" spans="1:15" ht="48" customHeight="1">
      <c r="A25" s="150" t="s">
        <v>265</v>
      </c>
      <c r="B25" s="95" t="s">
        <v>267</v>
      </c>
      <c r="C25" s="17" t="s">
        <v>79</v>
      </c>
      <c r="D25" s="4">
        <v>4800000</v>
      </c>
      <c r="E25" s="4"/>
      <c r="F25" s="4"/>
      <c r="G25" s="4"/>
      <c r="H25" s="7">
        <f>SUM(D25:G25)</f>
        <v>4800000</v>
      </c>
      <c r="I25" s="7"/>
      <c r="J25" s="7"/>
      <c r="K25" s="7"/>
      <c r="L25" s="7"/>
      <c r="M25" s="7">
        <f>SUM(I25:L25)</f>
        <v>0</v>
      </c>
      <c r="N25" s="5">
        <f t="shared" si="4"/>
        <v>0</v>
      </c>
      <c r="O25" s="80"/>
    </row>
    <row r="26" spans="1:22" s="92" customFormat="1" ht="9.75">
      <c r="A26" s="151"/>
      <c r="B26" s="34" t="s">
        <v>264</v>
      </c>
      <c r="C26" s="93"/>
      <c r="D26" s="94">
        <f>SUM(D25:D25)</f>
        <v>4800000</v>
      </c>
      <c r="E26" s="94">
        <f>SUM(E25:E25)</f>
        <v>0</v>
      </c>
      <c r="F26" s="94">
        <f>SUM(F25:F25)</f>
        <v>0</v>
      </c>
      <c r="G26" s="94">
        <f>SUM(G25:G25)</f>
        <v>0</v>
      </c>
      <c r="H26" s="94">
        <f>SUM(D26:G26)</f>
        <v>4800000</v>
      </c>
      <c r="I26" s="94">
        <f>SUM(I25:I25)</f>
        <v>0</v>
      </c>
      <c r="J26" s="94">
        <f>SUM(J25:J25)</f>
        <v>0</v>
      </c>
      <c r="K26" s="94">
        <f>SUM(K25:K25)</f>
        <v>0</v>
      </c>
      <c r="L26" s="94">
        <f>SUM(L25:L25)</f>
        <v>0</v>
      </c>
      <c r="M26" s="94">
        <f>SUM(I26:L26)</f>
        <v>0</v>
      </c>
      <c r="N26" s="96">
        <f t="shared" si="4"/>
        <v>0</v>
      </c>
      <c r="O26" s="112"/>
      <c r="P26" s="113"/>
      <c r="Q26" s="113"/>
      <c r="R26" s="113"/>
      <c r="S26" s="113"/>
      <c r="T26" s="113"/>
      <c r="U26" s="113"/>
      <c r="V26" s="113"/>
    </row>
    <row r="27" spans="1:22" s="99" customFormat="1" ht="11.25">
      <c r="A27" s="105" t="s">
        <v>266</v>
      </c>
      <c r="B27" s="106"/>
      <c r="C27" s="97"/>
      <c r="D27" s="98">
        <f>SUM(D26)</f>
        <v>4800000</v>
      </c>
      <c r="E27" s="98">
        <f>SUM(E26)</f>
        <v>0</v>
      </c>
      <c r="F27" s="98">
        <f>SUM(F26)</f>
        <v>0</v>
      </c>
      <c r="G27" s="98">
        <f>SUM(G26)</f>
        <v>0</v>
      </c>
      <c r="H27" s="25">
        <f t="shared" si="0"/>
        <v>4800000</v>
      </c>
      <c r="I27" s="98">
        <f>SUM(I26)</f>
        <v>0</v>
      </c>
      <c r="J27" s="98">
        <f>SUM(J26)</f>
        <v>0</v>
      </c>
      <c r="K27" s="98">
        <f>SUM(K26)</f>
        <v>0</v>
      </c>
      <c r="L27" s="98">
        <f>SUM(L26)</f>
        <v>0</v>
      </c>
      <c r="M27" s="25">
        <f t="shared" si="1"/>
        <v>0</v>
      </c>
      <c r="N27" s="30">
        <f t="shared" si="4"/>
        <v>0</v>
      </c>
      <c r="O27" s="112"/>
      <c r="P27" s="113"/>
      <c r="Q27" s="113"/>
      <c r="R27" s="113"/>
      <c r="S27" s="113"/>
      <c r="T27" s="113"/>
      <c r="U27" s="113"/>
      <c r="V27" s="113"/>
    </row>
    <row r="28" spans="1:15" ht="30.75" customHeight="1">
      <c r="A28" s="152" t="s">
        <v>8</v>
      </c>
      <c r="B28" s="23" t="s">
        <v>9</v>
      </c>
      <c r="C28" s="17" t="s">
        <v>78</v>
      </c>
      <c r="D28" s="4">
        <v>2200000</v>
      </c>
      <c r="E28" s="4"/>
      <c r="F28" s="4"/>
      <c r="G28" s="4"/>
      <c r="H28" s="7">
        <f t="shared" si="0"/>
        <v>2200000</v>
      </c>
      <c r="I28" s="7">
        <v>1802428</v>
      </c>
      <c r="J28" s="7"/>
      <c r="K28" s="7"/>
      <c r="L28" s="7"/>
      <c r="M28" s="7">
        <f t="shared" si="1"/>
        <v>1802428</v>
      </c>
      <c r="N28" s="5">
        <f t="shared" si="4"/>
        <v>0.8192854545454545</v>
      </c>
      <c r="O28" s="80"/>
    </row>
    <row r="29" spans="1:15" ht="59.25" customHeight="1">
      <c r="A29" s="148"/>
      <c r="B29" s="19"/>
      <c r="C29" s="18" t="s">
        <v>104</v>
      </c>
      <c r="D29" s="4">
        <v>6800000</v>
      </c>
      <c r="E29" s="4"/>
      <c r="F29" s="4"/>
      <c r="G29" s="4"/>
      <c r="H29" s="7">
        <f t="shared" si="0"/>
        <v>6800000</v>
      </c>
      <c r="I29" s="7">
        <v>3031534</v>
      </c>
      <c r="J29" s="9"/>
      <c r="K29" s="9"/>
      <c r="L29" s="9"/>
      <c r="M29" s="7">
        <f t="shared" si="1"/>
        <v>3031534</v>
      </c>
      <c r="N29" s="5">
        <f t="shared" si="4"/>
        <v>0.4458138235294118</v>
      </c>
      <c r="O29" s="80"/>
    </row>
    <row r="30" spans="1:15" ht="39.75" customHeight="1">
      <c r="A30" s="148"/>
      <c r="B30" s="19"/>
      <c r="C30" s="18" t="s">
        <v>75</v>
      </c>
      <c r="D30" s="4">
        <v>760000</v>
      </c>
      <c r="E30" s="4"/>
      <c r="F30" s="4"/>
      <c r="G30" s="4"/>
      <c r="H30" s="7">
        <f t="shared" si="0"/>
        <v>760000</v>
      </c>
      <c r="I30" s="7">
        <v>287963</v>
      </c>
      <c r="J30" s="7"/>
      <c r="K30" s="7"/>
      <c r="L30" s="7"/>
      <c r="M30" s="7">
        <f t="shared" si="1"/>
        <v>287963</v>
      </c>
      <c r="N30" s="5">
        <f t="shared" si="4"/>
        <v>0.3788986842105263</v>
      </c>
      <c r="O30" s="80"/>
    </row>
    <row r="31" spans="1:15" ht="39" customHeight="1">
      <c r="A31" s="148"/>
      <c r="B31" s="19"/>
      <c r="C31" s="18" t="s">
        <v>236</v>
      </c>
      <c r="D31" s="4">
        <f>19150000+1500000</f>
        <v>20650000</v>
      </c>
      <c r="E31" s="4"/>
      <c r="F31" s="4"/>
      <c r="G31" s="4"/>
      <c r="H31" s="7">
        <f t="shared" si="0"/>
        <v>20650000</v>
      </c>
      <c r="I31" s="7">
        <v>10399858</v>
      </c>
      <c r="J31" s="7"/>
      <c r="K31" s="7"/>
      <c r="L31" s="7"/>
      <c r="M31" s="7">
        <f t="shared" si="1"/>
        <v>10399858</v>
      </c>
      <c r="N31" s="5">
        <f t="shared" si="4"/>
        <v>0.5036250847457627</v>
      </c>
      <c r="O31" s="80"/>
    </row>
    <row r="32" spans="1:15" ht="9.75">
      <c r="A32" s="148"/>
      <c r="B32" s="19"/>
      <c r="C32" s="18" t="s">
        <v>76</v>
      </c>
      <c r="D32" s="4"/>
      <c r="E32" s="4"/>
      <c r="F32" s="4"/>
      <c r="G32" s="4"/>
      <c r="H32" s="7">
        <f t="shared" si="0"/>
        <v>0</v>
      </c>
      <c r="I32" s="7">
        <v>53057</v>
      </c>
      <c r="J32" s="7"/>
      <c r="K32" s="7"/>
      <c r="L32" s="7"/>
      <c r="M32" s="7">
        <f t="shared" si="1"/>
        <v>53057</v>
      </c>
      <c r="N32" s="5"/>
      <c r="O32" s="80"/>
    </row>
    <row r="33" spans="1:15" ht="9.75">
      <c r="A33" s="148"/>
      <c r="B33" s="19"/>
      <c r="C33" s="18" t="s">
        <v>72</v>
      </c>
      <c r="D33" s="4"/>
      <c r="E33" s="4"/>
      <c r="F33" s="4"/>
      <c r="G33" s="4"/>
      <c r="H33" s="7">
        <f t="shared" si="0"/>
        <v>0</v>
      </c>
      <c r="I33" s="7">
        <v>70750</v>
      </c>
      <c r="J33" s="7"/>
      <c r="K33" s="7"/>
      <c r="L33" s="7"/>
      <c r="M33" s="7">
        <f t="shared" si="1"/>
        <v>70750</v>
      </c>
      <c r="N33" s="5"/>
      <c r="O33" s="80"/>
    </row>
    <row r="34" spans="1:15" ht="9.75">
      <c r="A34" s="148"/>
      <c r="B34" s="19"/>
      <c r="C34" s="18" t="s">
        <v>74</v>
      </c>
      <c r="D34" s="4"/>
      <c r="E34" s="4"/>
      <c r="F34" s="4"/>
      <c r="G34" s="4"/>
      <c r="H34" s="7">
        <f t="shared" si="0"/>
        <v>0</v>
      </c>
      <c r="I34" s="7">
        <v>2487</v>
      </c>
      <c r="J34" s="7"/>
      <c r="K34" s="7"/>
      <c r="L34" s="7"/>
      <c r="M34" s="7">
        <f t="shared" si="1"/>
        <v>2487</v>
      </c>
      <c r="N34" s="5"/>
      <c r="O34" s="80"/>
    </row>
    <row r="35" spans="1:15" ht="48.75" customHeight="1">
      <c r="A35" s="148"/>
      <c r="B35" s="19"/>
      <c r="C35" s="18" t="s">
        <v>69</v>
      </c>
      <c r="D35" s="4"/>
      <c r="E35" s="4"/>
      <c r="F35" s="4"/>
      <c r="G35" s="4">
        <f>125000+157644+63050</f>
        <v>345694</v>
      </c>
      <c r="H35" s="7">
        <f t="shared" si="0"/>
        <v>345694</v>
      </c>
      <c r="I35" s="7"/>
      <c r="J35" s="7"/>
      <c r="K35" s="7"/>
      <c r="L35" s="7">
        <v>345694</v>
      </c>
      <c r="M35" s="7">
        <f t="shared" si="1"/>
        <v>345694</v>
      </c>
      <c r="N35" s="5">
        <f>M35/H35</f>
        <v>1</v>
      </c>
      <c r="O35" s="80"/>
    </row>
    <row r="36" spans="1:15" ht="30.75" customHeight="1">
      <c r="A36" s="148"/>
      <c r="B36" s="19"/>
      <c r="C36" s="22" t="s">
        <v>77</v>
      </c>
      <c r="D36" s="4"/>
      <c r="E36" s="4">
        <v>2285000</v>
      </c>
      <c r="F36" s="4"/>
      <c r="G36" s="4"/>
      <c r="H36" s="7">
        <f t="shared" si="0"/>
        <v>2285000</v>
      </c>
      <c r="I36" s="9"/>
      <c r="J36" s="7">
        <v>974882</v>
      </c>
      <c r="K36" s="9"/>
      <c r="L36" s="9"/>
      <c r="M36" s="7">
        <f t="shared" si="1"/>
        <v>974882</v>
      </c>
      <c r="N36" s="5">
        <f>M36/H36</f>
        <v>0.4266442013129103</v>
      </c>
      <c r="O36" s="80"/>
    </row>
    <row r="37" spans="1:15" ht="9.75">
      <c r="A37" s="148"/>
      <c r="B37" s="29" t="s">
        <v>118</v>
      </c>
      <c r="C37" s="29"/>
      <c r="D37" s="6">
        <f>SUM(D28:D36)</f>
        <v>30410000</v>
      </c>
      <c r="E37" s="6">
        <f>SUM(E28:E36)</f>
        <v>2285000</v>
      </c>
      <c r="F37" s="6">
        <f>SUM(F28:F36)</f>
        <v>0</v>
      </c>
      <c r="G37" s="6">
        <f>SUM(G28:G36)</f>
        <v>345694</v>
      </c>
      <c r="H37" s="6">
        <f t="shared" si="0"/>
        <v>33040694</v>
      </c>
      <c r="I37" s="6">
        <f>SUM(I28:I36)</f>
        <v>15648077</v>
      </c>
      <c r="J37" s="6">
        <f>SUM(J28:J36)</f>
        <v>974882</v>
      </c>
      <c r="K37" s="6">
        <f>SUM(K28:K36)</f>
        <v>0</v>
      </c>
      <c r="L37" s="6">
        <f>SUM(L28:L36)</f>
        <v>345694</v>
      </c>
      <c r="M37" s="6">
        <f t="shared" si="1"/>
        <v>16968653</v>
      </c>
      <c r="N37" s="28">
        <f>M37/H37</f>
        <v>0.5135682985351336</v>
      </c>
      <c r="O37" s="80"/>
    </row>
    <row r="38" spans="1:15" s="10" customFormat="1" ht="59.25" customHeight="1">
      <c r="A38" s="148"/>
      <c r="B38" s="120" t="s">
        <v>10</v>
      </c>
      <c r="C38" s="18" t="s">
        <v>104</v>
      </c>
      <c r="D38" s="4">
        <v>5500000</v>
      </c>
      <c r="E38" s="4"/>
      <c r="F38" s="4"/>
      <c r="G38" s="4"/>
      <c r="H38" s="7">
        <f t="shared" si="0"/>
        <v>5500000</v>
      </c>
      <c r="I38" s="7">
        <v>2795387</v>
      </c>
      <c r="J38" s="13"/>
      <c r="K38" s="13"/>
      <c r="L38" s="13"/>
      <c r="M38" s="7">
        <f t="shared" si="1"/>
        <v>2795387</v>
      </c>
      <c r="N38" s="5">
        <f>M38/H38</f>
        <v>0.5082521818181818</v>
      </c>
      <c r="O38" s="80"/>
    </row>
    <row r="39" spans="1:15" s="10" customFormat="1" ht="9.75">
      <c r="A39" s="148"/>
      <c r="B39" s="122"/>
      <c r="C39" s="18" t="s">
        <v>72</v>
      </c>
      <c r="D39" s="4"/>
      <c r="E39" s="4"/>
      <c r="F39" s="4"/>
      <c r="G39" s="4"/>
      <c r="H39" s="7">
        <f aca="true" t="shared" si="5" ref="H39:H71">SUM(D39:G39)</f>
        <v>0</v>
      </c>
      <c r="I39" s="7">
        <v>23363</v>
      </c>
      <c r="J39" s="13"/>
      <c r="K39" s="13"/>
      <c r="L39" s="13"/>
      <c r="M39" s="7">
        <f aca="true" t="shared" si="6" ref="M39:M71">SUM(I39:L39)</f>
        <v>23363</v>
      </c>
      <c r="N39" s="5"/>
      <c r="O39" s="80"/>
    </row>
    <row r="40" spans="1:22" s="11" customFormat="1" ht="9.75">
      <c r="A40" s="148"/>
      <c r="B40" s="29" t="s">
        <v>119</v>
      </c>
      <c r="C40" s="29"/>
      <c r="D40" s="6">
        <f>SUM(D38:D39)</f>
        <v>5500000</v>
      </c>
      <c r="E40" s="6">
        <f>SUM(E38:E39)</f>
        <v>0</v>
      </c>
      <c r="F40" s="6">
        <f>SUM(F38:F39)</f>
        <v>0</v>
      </c>
      <c r="G40" s="6">
        <f>SUM(G38:G39)</f>
        <v>0</v>
      </c>
      <c r="H40" s="6">
        <f t="shared" si="5"/>
        <v>5500000</v>
      </c>
      <c r="I40" s="6">
        <f>SUM(I38:I39)</f>
        <v>2818750</v>
      </c>
      <c r="J40" s="6">
        <f>SUM(J38:J39)</f>
        <v>0</v>
      </c>
      <c r="K40" s="6">
        <f>SUM(K38:K39)</f>
        <v>0</v>
      </c>
      <c r="L40" s="6">
        <f>SUM(L38:L39)</f>
        <v>0</v>
      </c>
      <c r="M40" s="6">
        <f t="shared" si="6"/>
        <v>2818750</v>
      </c>
      <c r="N40" s="28">
        <f aca="true" t="shared" si="7" ref="N40:N48">M40/H40</f>
        <v>0.5125</v>
      </c>
      <c r="O40" s="142"/>
      <c r="P40" s="143"/>
      <c r="Q40" s="143"/>
      <c r="R40" s="143"/>
      <c r="S40" s="143"/>
      <c r="T40" s="143"/>
      <c r="U40" s="143"/>
      <c r="V40" s="143"/>
    </row>
    <row r="41" spans="1:15" ht="11.25">
      <c r="A41" s="26" t="s">
        <v>11</v>
      </c>
      <c r="B41" s="24"/>
      <c r="C41" s="24"/>
      <c r="D41" s="25">
        <f>SUM(D40,D37)</f>
        <v>35910000</v>
      </c>
      <c r="E41" s="25">
        <f>SUM(E40,E37)</f>
        <v>2285000</v>
      </c>
      <c r="F41" s="25">
        <f>SUM(F40,F37)</f>
        <v>0</v>
      </c>
      <c r="G41" s="25">
        <f>SUM(G40,G37)</f>
        <v>345694</v>
      </c>
      <c r="H41" s="25">
        <f t="shared" si="5"/>
        <v>38540694</v>
      </c>
      <c r="I41" s="25">
        <f>SUM(I40,I37)</f>
        <v>18466827</v>
      </c>
      <c r="J41" s="25">
        <f>SUM(J40,J37)</f>
        <v>974882</v>
      </c>
      <c r="K41" s="25">
        <f>SUM(K40,K37)</f>
        <v>0</v>
      </c>
      <c r="L41" s="25">
        <f>SUM(L40,L37)</f>
        <v>345694</v>
      </c>
      <c r="M41" s="25">
        <f t="shared" si="6"/>
        <v>19787403</v>
      </c>
      <c r="N41" s="30">
        <f t="shared" si="7"/>
        <v>0.5134158455994591</v>
      </c>
      <c r="O41" s="80"/>
    </row>
    <row r="42" spans="1:15" s="10" customFormat="1" ht="48.75">
      <c r="A42" s="152" t="s">
        <v>12</v>
      </c>
      <c r="B42" s="22" t="s">
        <v>120</v>
      </c>
      <c r="C42" s="17" t="s">
        <v>192</v>
      </c>
      <c r="D42" s="4">
        <v>103960</v>
      </c>
      <c r="E42" s="47"/>
      <c r="F42" s="47"/>
      <c r="G42" s="47"/>
      <c r="H42" s="7">
        <f t="shared" si="5"/>
        <v>103960</v>
      </c>
      <c r="I42" s="7">
        <v>267</v>
      </c>
      <c r="J42" s="47"/>
      <c r="K42" s="47"/>
      <c r="L42" s="47"/>
      <c r="M42" s="7">
        <f t="shared" si="6"/>
        <v>267</v>
      </c>
      <c r="N42" s="5">
        <f t="shared" si="7"/>
        <v>0.002568295498268565</v>
      </c>
      <c r="O42" s="80"/>
    </row>
    <row r="43" spans="1:15" ht="47.25" customHeight="1">
      <c r="A43" s="153"/>
      <c r="B43" s="48"/>
      <c r="C43" s="18" t="s">
        <v>121</v>
      </c>
      <c r="D43" s="4">
        <v>7960</v>
      </c>
      <c r="E43" s="4"/>
      <c r="F43" s="4"/>
      <c r="G43" s="4"/>
      <c r="H43" s="7">
        <f t="shared" si="5"/>
        <v>7960</v>
      </c>
      <c r="I43" s="7"/>
      <c r="J43" s="7"/>
      <c r="K43" s="7"/>
      <c r="L43" s="7"/>
      <c r="M43" s="7">
        <f t="shared" si="6"/>
        <v>0</v>
      </c>
      <c r="N43" s="5">
        <f t="shared" si="7"/>
        <v>0</v>
      </c>
      <c r="O43" s="80"/>
    </row>
    <row r="44" spans="1:15" ht="9.75">
      <c r="A44" s="148"/>
      <c r="B44" s="29" t="s">
        <v>122</v>
      </c>
      <c r="C44" s="29"/>
      <c r="D44" s="6">
        <f>SUM(D42:D43)</f>
        <v>111920</v>
      </c>
      <c r="E44" s="6">
        <f>SUM(E42:E43)</f>
        <v>0</v>
      </c>
      <c r="F44" s="6">
        <f>SUM(F42:F43)</f>
        <v>0</v>
      </c>
      <c r="G44" s="6">
        <f>SUM(G42:G43)</f>
        <v>0</v>
      </c>
      <c r="H44" s="6">
        <f t="shared" si="5"/>
        <v>111920</v>
      </c>
      <c r="I44" s="6">
        <f>SUM(I42:I43)</f>
        <v>267</v>
      </c>
      <c r="J44" s="6">
        <f>SUM(J42:J43)</f>
        <v>0</v>
      </c>
      <c r="K44" s="6">
        <f>SUM(K42:K43)</f>
        <v>0</v>
      </c>
      <c r="L44" s="6">
        <f>SUM(L42:L43)</f>
        <v>0</v>
      </c>
      <c r="M44" s="6">
        <f t="shared" si="6"/>
        <v>267</v>
      </c>
      <c r="N44" s="28">
        <f t="shared" si="7"/>
        <v>0.0023856325947105073</v>
      </c>
      <c r="O44" s="80"/>
    </row>
    <row r="45" spans="1:15" ht="48" customHeight="1">
      <c r="A45" s="148"/>
      <c r="B45" s="23" t="s">
        <v>13</v>
      </c>
      <c r="C45" s="27" t="s">
        <v>69</v>
      </c>
      <c r="D45" s="4"/>
      <c r="E45" s="4"/>
      <c r="F45" s="4"/>
      <c r="G45" s="4">
        <v>173000</v>
      </c>
      <c r="H45" s="7">
        <f t="shared" si="5"/>
        <v>173000</v>
      </c>
      <c r="I45" s="13"/>
      <c r="J45" s="13"/>
      <c r="K45" s="13"/>
      <c r="L45" s="13"/>
      <c r="M45" s="7">
        <f t="shared" si="6"/>
        <v>0</v>
      </c>
      <c r="N45" s="5">
        <f t="shared" si="7"/>
        <v>0</v>
      </c>
      <c r="O45" s="80"/>
    </row>
    <row r="46" spans="1:22" s="11" customFormat="1" ht="9.75">
      <c r="A46" s="148"/>
      <c r="B46" s="29" t="s">
        <v>123</v>
      </c>
      <c r="C46" s="29"/>
      <c r="D46" s="6">
        <f>SUM(D45)</f>
        <v>0</v>
      </c>
      <c r="E46" s="6">
        <f>SUM(E45)</f>
        <v>0</v>
      </c>
      <c r="F46" s="6">
        <f>SUM(F45)</f>
        <v>0</v>
      </c>
      <c r="G46" s="6">
        <f>SUM(G45)</f>
        <v>173000</v>
      </c>
      <c r="H46" s="6">
        <f t="shared" si="5"/>
        <v>173000</v>
      </c>
      <c r="I46" s="6">
        <f>SUM(I45)</f>
        <v>0</v>
      </c>
      <c r="J46" s="6">
        <f>SUM(J45)</f>
        <v>0</v>
      </c>
      <c r="K46" s="6">
        <f>SUM(K45)</f>
        <v>0</v>
      </c>
      <c r="L46" s="6">
        <f>SUM(L45)</f>
        <v>0</v>
      </c>
      <c r="M46" s="6">
        <f t="shared" si="6"/>
        <v>0</v>
      </c>
      <c r="N46" s="28">
        <f t="shared" si="7"/>
        <v>0</v>
      </c>
      <c r="O46" s="142"/>
      <c r="P46" s="143"/>
      <c r="Q46" s="143"/>
      <c r="R46" s="143"/>
      <c r="S46" s="143"/>
      <c r="T46" s="143"/>
      <c r="U46" s="143"/>
      <c r="V46" s="143"/>
    </row>
    <row r="47" spans="1:15" ht="48.75">
      <c r="A47" s="148"/>
      <c r="B47" s="23" t="s">
        <v>14</v>
      </c>
      <c r="C47" s="27" t="s">
        <v>69</v>
      </c>
      <c r="D47" s="4"/>
      <c r="E47" s="4"/>
      <c r="F47" s="4"/>
      <c r="G47" s="4">
        <v>60000</v>
      </c>
      <c r="H47" s="7">
        <f t="shared" si="5"/>
        <v>60000</v>
      </c>
      <c r="I47" s="7"/>
      <c r="J47" s="7"/>
      <c r="K47" s="7"/>
      <c r="L47" s="7"/>
      <c r="M47" s="7">
        <f t="shared" si="6"/>
        <v>0</v>
      </c>
      <c r="N47" s="5">
        <f t="shared" si="7"/>
        <v>0</v>
      </c>
      <c r="O47" s="80"/>
    </row>
    <row r="48" spans="1:15" ht="9.75">
      <c r="A48" s="148"/>
      <c r="B48" s="29" t="s">
        <v>124</v>
      </c>
      <c r="C48" s="29"/>
      <c r="D48" s="6">
        <f>SUM(D47)</f>
        <v>0</v>
      </c>
      <c r="E48" s="6">
        <f>SUM(E47)</f>
        <v>0</v>
      </c>
      <c r="F48" s="6">
        <f>SUM(F47)</f>
        <v>0</v>
      </c>
      <c r="G48" s="6">
        <f>SUM(G47)</f>
        <v>60000</v>
      </c>
      <c r="H48" s="6">
        <f t="shared" si="5"/>
        <v>60000</v>
      </c>
      <c r="I48" s="6">
        <f>SUM(I47)</f>
        <v>0</v>
      </c>
      <c r="J48" s="6">
        <f>SUM(J47)</f>
        <v>0</v>
      </c>
      <c r="K48" s="6">
        <f>SUM(K47)</f>
        <v>0</v>
      </c>
      <c r="L48" s="6">
        <f>SUM(L47)</f>
        <v>0</v>
      </c>
      <c r="M48" s="6">
        <f t="shared" si="6"/>
        <v>0</v>
      </c>
      <c r="N48" s="28">
        <f t="shared" si="7"/>
        <v>0</v>
      </c>
      <c r="O48" s="80"/>
    </row>
    <row r="49" spans="1:15" ht="11.25" customHeight="1">
      <c r="A49" s="149"/>
      <c r="B49" s="120" t="s">
        <v>15</v>
      </c>
      <c r="C49" s="18" t="s">
        <v>71</v>
      </c>
      <c r="D49" s="13"/>
      <c r="E49" s="13"/>
      <c r="F49" s="13"/>
      <c r="G49" s="13"/>
      <c r="H49" s="7">
        <f t="shared" si="5"/>
        <v>0</v>
      </c>
      <c r="I49" s="13"/>
      <c r="J49" s="13">
        <v>105</v>
      </c>
      <c r="K49" s="13"/>
      <c r="L49" s="13"/>
      <c r="M49" s="13"/>
      <c r="N49" s="5"/>
      <c r="O49" s="80"/>
    </row>
    <row r="50" spans="1:15" ht="9.75">
      <c r="A50" s="149"/>
      <c r="B50" s="121"/>
      <c r="C50" s="18" t="s">
        <v>72</v>
      </c>
      <c r="D50" s="13"/>
      <c r="E50" s="13"/>
      <c r="F50" s="13"/>
      <c r="G50" s="13"/>
      <c r="H50" s="7">
        <f t="shared" si="5"/>
        <v>0</v>
      </c>
      <c r="I50" s="13"/>
      <c r="J50" s="7">
        <v>331</v>
      </c>
      <c r="K50" s="13"/>
      <c r="L50" s="13"/>
      <c r="M50" s="7">
        <f t="shared" si="6"/>
        <v>331</v>
      </c>
      <c r="N50" s="5"/>
      <c r="O50" s="80"/>
    </row>
    <row r="51" spans="1:15" ht="49.5" customHeight="1">
      <c r="A51" s="148"/>
      <c r="B51" s="121"/>
      <c r="C51" s="18" t="s">
        <v>69</v>
      </c>
      <c r="D51" s="4"/>
      <c r="E51" s="4"/>
      <c r="F51" s="4"/>
      <c r="G51" s="4">
        <v>434400</v>
      </c>
      <c r="H51" s="7">
        <f t="shared" si="5"/>
        <v>434400</v>
      </c>
      <c r="I51" s="7"/>
      <c r="J51" s="7"/>
      <c r="K51" s="7"/>
      <c r="L51" s="7">
        <v>240400</v>
      </c>
      <c r="M51" s="7">
        <f t="shared" si="6"/>
        <v>240400</v>
      </c>
      <c r="N51" s="5">
        <f aca="true" t="shared" si="8" ref="N51:N59">M51/H51</f>
        <v>0.5534069981583793</v>
      </c>
      <c r="O51" s="80"/>
    </row>
    <row r="52" spans="1:15" ht="30.75" customHeight="1">
      <c r="A52" s="148"/>
      <c r="B52" s="122"/>
      <c r="C52" s="22" t="s">
        <v>77</v>
      </c>
      <c r="D52" s="4"/>
      <c r="E52" s="4">
        <v>250</v>
      </c>
      <c r="F52" s="4"/>
      <c r="G52" s="4"/>
      <c r="H52" s="7">
        <f t="shared" si="5"/>
        <v>250</v>
      </c>
      <c r="I52" s="7"/>
      <c r="J52" s="7">
        <v>4</v>
      </c>
      <c r="K52" s="7"/>
      <c r="L52" s="7"/>
      <c r="M52" s="7">
        <f t="shared" si="6"/>
        <v>4</v>
      </c>
      <c r="N52" s="5">
        <f t="shared" si="8"/>
        <v>0.016</v>
      </c>
      <c r="O52" s="80"/>
    </row>
    <row r="53" spans="1:15" ht="9.75">
      <c r="A53" s="148"/>
      <c r="B53" s="29" t="s">
        <v>125</v>
      </c>
      <c r="C53" s="29"/>
      <c r="D53" s="6">
        <f>SUM(D49:D52)</f>
        <v>0</v>
      </c>
      <c r="E53" s="6">
        <f>SUM(E49:E52)</f>
        <v>250</v>
      </c>
      <c r="F53" s="6">
        <f>SUM(F49:F52)</f>
        <v>0</v>
      </c>
      <c r="G53" s="6">
        <f>SUM(G49:G52)</f>
        <v>434400</v>
      </c>
      <c r="H53" s="6">
        <f t="shared" si="5"/>
        <v>434650</v>
      </c>
      <c r="I53" s="6">
        <f>SUM(I49:I52)</f>
        <v>0</v>
      </c>
      <c r="J53" s="6">
        <f>SUM(J49:J52)</f>
        <v>440</v>
      </c>
      <c r="K53" s="6">
        <f>SUM(K49:K52)</f>
        <v>0</v>
      </c>
      <c r="L53" s="6">
        <f>SUM(L49:L52)</f>
        <v>240400</v>
      </c>
      <c r="M53" s="6">
        <f t="shared" si="6"/>
        <v>240840</v>
      </c>
      <c r="N53" s="28">
        <f t="shared" si="8"/>
        <v>0.5541010008052456</v>
      </c>
      <c r="O53" s="80"/>
    </row>
    <row r="54" spans="1:15" ht="9.75">
      <c r="A54" s="149"/>
      <c r="B54" s="119" t="s">
        <v>62</v>
      </c>
      <c r="C54" s="18" t="s">
        <v>71</v>
      </c>
      <c r="D54" s="13"/>
      <c r="E54" s="13"/>
      <c r="F54" s="13"/>
      <c r="G54" s="13"/>
      <c r="H54" s="7">
        <f t="shared" si="5"/>
        <v>0</v>
      </c>
      <c r="I54" s="7">
        <v>421</v>
      </c>
      <c r="J54" s="13"/>
      <c r="K54" s="13"/>
      <c r="L54" s="13"/>
      <c r="M54" s="7">
        <f t="shared" si="6"/>
        <v>421</v>
      </c>
      <c r="N54" s="5"/>
      <c r="O54" s="80"/>
    </row>
    <row r="55" spans="1:15" ht="10.5" customHeight="1">
      <c r="A55" s="149"/>
      <c r="B55" s="119"/>
      <c r="C55" s="18" t="s">
        <v>72</v>
      </c>
      <c r="D55" s="13"/>
      <c r="E55" s="13"/>
      <c r="F55" s="13"/>
      <c r="G55" s="13"/>
      <c r="H55" s="7">
        <f t="shared" si="5"/>
        <v>0</v>
      </c>
      <c r="I55" s="7">
        <v>170</v>
      </c>
      <c r="J55" s="13"/>
      <c r="K55" s="13"/>
      <c r="L55" s="13"/>
      <c r="M55" s="7">
        <f t="shared" si="6"/>
        <v>170</v>
      </c>
      <c r="N55" s="5"/>
      <c r="O55" s="80"/>
    </row>
    <row r="56" spans="1:15" ht="48.75">
      <c r="A56" s="148"/>
      <c r="B56" s="119"/>
      <c r="C56" s="27" t="s">
        <v>80</v>
      </c>
      <c r="D56" s="4">
        <v>27500</v>
      </c>
      <c r="E56" s="4"/>
      <c r="F56" s="4"/>
      <c r="G56" s="4"/>
      <c r="H56" s="7">
        <f t="shared" si="5"/>
        <v>27500</v>
      </c>
      <c r="I56" s="7">
        <v>27500</v>
      </c>
      <c r="J56" s="7"/>
      <c r="K56" s="7"/>
      <c r="L56" s="7"/>
      <c r="M56" s="7">
        <f t="shared" si="6"/>
        <v>27500</v>
      </c>
      <c r="N56" s="5">
        <f t="shared" si="8"/>
        <v>1</v>
      </c>
      <c r="O56" s="80"/>
    </row>
    <row r="57" spans="1:15" ht="9.75">
      <c r="A57" s="148"/>
      <c r="B57" s="29" t="s">
        <v>126</v>
      </c>
      <c r="C57" s="29"/>
      <c r="D57" s="6">
        <f>SUM(D54:D56)</f>
        <v>27500</v>
      </c>
      <c r="E57" s="6">
        <f>SUM(E54:E56)</f>
        <v>0</v>
      </c>
      <c r="F57" s="6">
        <f>SUM(F54:F56)</f>
        <v>0</v>
      </c>
      <c r="G57" s="6">
        <f>SUM(G54:G56)</f>
        <v>0</v>
      </c>
      <c r="H57" s="6">
        <f t="shared" si="5"/>
        <v>27500</v>
      </c>
      <c r="I57" s="6">
        <f>SUM(I54:I56)</f>
        <v>28091</v>
      </c>
      <c r="J57" s="6">
        <f>SUM(J54:J56)</f>
        <v>0</v>
      </c>
      <c r="K57" s="6">
        <f>SUM(K54:K56)</f>
        <v>0</v>
      </c>
      <c r="L57" s="6">
        <f>SUM(L54:L56)</f>
        <v>0</v>
      </c>
      <c r="M57" s="6">
        <f t="shared" si="6"/>
        <v>28091</v>
      </c>
      <c r="N57" s="28">
        <f t="shared" si="8"/>
        <v>1.021490909090909</v>
      </c>
      <c r="O57" s="80"/>
    </row>
    <row r="58" spans="1:15" ht="47.25" customHeight="1">
      <c r="A58" s="148"/>
      <c r="B58" s="120" t="s">
        <v>16</v>
      </c>
      <c r="C58" s="17" t="s">
        <v>104</v>
      </c>
      <c r="D58" s="4">
        <f>216200-97200</f>
        <v>119000</v>
      </c>
      <c r="E58" s="4"/>
      <c r="F58" s="4"/>
      <c r="G58" s="4"/>
      <c r="H58" s="7">
        <f t="shared" si="5"/>
        <v>119000</v>
      </c>
      <c r="I58" s="7">
        <v>60128</v>
      </c>
      <c r="J58" s="7"/>
      <c r="K58" s="7"/>
      <c r="L58" s="7"/>
      <c r="M58" s="7">
        <f t="shared" si="6"/>
        <v>60128</v>
      </c>
      <c r="N58" s="5">
        <f t="shared" si="8"/>
        <v>0.5052773109243698</v>
      </c>
      <c r="O58" s="80"/>
    </row>
    <row r="59" spans="1:15" ht="9.75">
      <c r="A59" s="148"/>
      <c r="B59" s="121"/>
      <c r="C59" s="18" t="s">
        <v>76</v>
      </c>
      <c r="D59" s="4">
        <f>110000+266500</f>
        <v>376500</v>
      </c>
      <c r="E59" s="4"/>
      <c r="F59" s="4"/>
      <c r="G59" s="4"/>
      <c r="H59" s="7">
        <f t="shared" si="5"/>
        <v>376500</v>
      </c>
      <c r="I59" s="7">
        <v>78346</v>
      </c>
      <c r="J59" s="7"/>
      <c r="K59" s="7"/>
      <c r="L59" s="7"/>
      <c r="M59" s="7">
        <f t="shared" si="6"/>
        <v>78346</v>
      </c>
      <c r="N59" s="5">
        <f t="shared" si="8"/>
        <v>0.20809030544488713</v>
      </c>
      <c r="O59" s="80"/>
    </row>
    <row r="60" spans="1:15" ht="9.75">
      <c r="A60" s="148"/>
      <c r="B60" s="121"/>
      <c r="C60" s="18" t="s">
        <v>72</v>
      </c>
      <c r="D60" s="4"/>
      <c r="E60" s="4"/>
      <c r="F60" s="4"/>
      <c r="G60" s="4"/>
      <c r="H60" s="7">
        <f t="shared" si="5"/>
        <v>0</v>
      </c>
      <c r="I60" s="7">
        <v>228</v>
      </c>
      <c r="J60" s="7"/>
      <c r="K60" s="7"/>
      <c r="L60" s="7"/>
      <c r="M60" s="7">
        <f t="shared" si="6"/>
        <v>228</v>
      </c>
      <c r="N60" s="5"/>
      <c r="O60" s="80"/>
    </row>
    <row r="61" spans="1:15" ht="39.75" customHeight="1" hidden="1">
      <c r="A61" s="148"/>
      <c r="B61" s="121"/>
      <c r="C61" s="22" t="s">
        <v>127</v>
      </c>
      <c r="D61" s="4">
        <f>103960-103960</f>
        <v>0</v>
      </c>
      <c r="E61" s="4"/>
      <c r="F61" s="4"/>
      <c r="G61" s="4"/>
      <c r="H61" s="7">
        <f t="shared" si="5"/>
        <v>0</v>
      </c>
      <c r="I61" s="9"/>
      <c r="J61" s="9"/>
      <c r="K61" s="9"/>
      <c r="L61" s="9"/>
      <c r="M61" s="7">
        <f t="shared" si="6"/>
        <v>0</v>
      </c>
      <c r="N61" s="5"/>
      <c r="O61" s="80"/>
    </row>
    <row r="62" spans="1:15" ht="40.5" customHeight="1">
      <c r="A62" s="148"/>
      <c r="B62" s="122"/>
      <c r="C62" s="22" t="s">
        <v>249</v>
      </c>
      <c r="D62" s="4">
        <v>144100</v>
      </c>
      <c r="E62" s="4"/>
      <c r="F62" s="4"/>
      <c r="G62" s="4"/>
      <c r="H62" s="7">
        <f t="shared" si="5"/>
        <v>144100</v>
      </c>
      <c r="I62" s="7">
        <v>144100</v>
      </c>
      <c r="J62" s="9"/>
      <c r="K62" s="9"/>
      <c r="L62" s="9"/>
      <c r="M62" s="7">
        <f t="shared" si="6"/>
        <v>144100</v>
      </c>
      <c r="N62" s="5">
        <f aca="true" t="shared" si="9" ref="N62:N68">M62/H62</f>
        <v>1</v>
      </c>
      <c r="O62" s="80"/>
    </row>
    <row r="63" spans="1:15" ht="9.75">
      <c r="A63" s="148"/>
      <c r="B63" s="29" t="s">
        <v>128</v>
      </c>
      <c r="C63" s="29"/>
      <c r="D63" s="6">
        <f>SUM(D58:D62)</f>
        <v>639600</v>
      </c>
      <c r="E63" s="6">
        <f>SUM(E58:E62)</f>
        <v>0</v>
      </c>
      <c r="F63" s="6">
        <f>SUM(F58:F62)</f>
        <v>0</v>
      </c>
      <c r="G63" s="6">
        <f>SUM(G58:G62)</f>
        <v>0</v>
      </c>
      <c r="H63" s="6">
        <f t="shared" si="5"/>
        <v>639600</v>
      </c>
      <c r="I63" s="6">
        <f>SUM(I58:I62)</f>
        <v>282802</v>
      </c>
      <c r="J63" s="6">
        <f>SUM(J58:J61)</f>
        <v>0</v>
      </c>
      <c r="K63" s="6">
        <f>SUM(K58:K61)</f>
        <v>0</v>
      </c>
      <c r="L63" s="6">
        <f>SUM(L58:L61)</f>
        <v>0</v>
      </c>
      <c r="M63" s="6">
        <f t="shared" si="6"/>
        <v>282802</v>
      </c>
      <c r="N63" s="28">
        <f t="shared" si="9"/>
        <v>0.44215447154471543</v>
      </c>
      <c r="O63" s="80"/>
    </row>
    <row r="64" spans="1:15" ht="9.75" customHeight="1">
      <c r="A64" s="26" t="s">
        <v>17</v>
      </c>
      <c r="B64" s="24"/>
      <c r="C64" s="24"/>
      <c r="D64" s="25">
        <f>SUM(D63,D57,D53,D48,D46,D44)</f>
        <v>779020</v>
      </c>
      <c r="E64" s="25">
        <f>SUM(E63,E57,E53,E48,E46,E44)</f>
        <v>250</v>
      </c>
      <c r="F64" s="25">
        <f>SUM(F63,F57,F53,F48,F46,F44)</f>
        <v>0</v>
      </c>
      <c r="G64" s="25">
        <f>SUM(G63,G57,G53,G48,G46,G44)</f>
        <v>667400</v>
      </c>
      <c r="H64" s="25">
        <f t="shared" si="5"/>
        <v>1446670</v>
      </c>
      <c r="I64" s="25">
        <f>SUM(I63,I57,I53,I48,I46,I44)</f>
        <v>311160</v>
      </c>
      <c r="J64" s="25">
        <f>SUM(J63,J57,J53,J48,J46,J44)</f>
        <v>440</v>
      </c>
      <c r="K64" s="25">
        <f>SUM(K63,K57,K53,K48,K46,K44)</f>
        <v>0</v>
      </c>
      <c r="L64" s="25">
        <f>SUM(L63,L57,L53,L48,L46,L44)</f>
        <v>240400</v>
      </c>
      <c r="M64" s="25">
        <f t="shared" si="6"/>
        <v>552000</v>
      </c>
      <c r="N64" s="30">
        <f t="shared" si="9"/>
        <v>0.38156594109230163</v>
      </c>
      <c r="O64" s="80"/>
    </row>
    <row r="65" spans="1:15" ht="48.75">
      <c r="A65" s="152" t="s">
        <v>18</v>
      </c>
      <c r="B65" s="23" t="s">
        <v>19</v>
      </c>
      <c r="C65" s="17" t="s">
        <v>129</v>
      </c>
      <c r="D65" s="4"/>
      <c r="E65" s="4"/>
      <c r="F65" s="4">
        <v>1054500</v>
      </c>
      <c r="G65" s="4"/>
      <c r="H65" s="7">
        <f t="shared" si="5"/>
        <v>1054500</v>
      </c>
      <c r="I65" s="7"/>
      <c r="J65" s="7"/>
      <c r="K65" s="7">
        <v>527600</v>
      </c>
      <c r="L65" s="7"/>
      <c r="M65" s="7">
        <f t="shared" si="6"/>
        <v>527600</v>
      </c>
      <c r="N65" s="5">
        <f t="shared" si="9"/>
        <v>0.5003319108582267</v>
      </c>
      <c r="O65" s="80"/>
    </row>
    <row r="66" spans="1:15" ht="40.5" customHeight="1">
      <c r="A66" s="148"/>
      <c r="B66" s="19"/>
      <c r="C66" s="18" t="s">
        <v>69</v>
      </c>
      <c r="D66" s="4"/>
      <c r="E66" s="4"/>
      <c r="F66" s="4"/>
      <c r="G66" s="4">
        <v>531300</v>
      </c>
      <c r="H66" s="7">
        <f t="shared" si="5"/>
        <v>531300</v>
      </c>
      <c r="I66" s="7"/>
      <c r="J66" s="7"/>
      <c r="K66" s="7"/>
      <c r="L66" s="7">
        <v>289400</v>
      </c>
      <c r="M66" s="7">
        <f t="shared" si="6"/>
        <v>289400</v>
      </c>
      <c r="N66" s="5">
        <f t="shared" si="9"/>
        <v>0.5447016751364577</v>
      </c>
      <c r="O66" s="80"/>
    </row>
    <row r="67" spans="1:15" ht="39">
      <c r="A67" s="148"/>
      <c r="B67" s="19"/>
      <c r="C67" s="22" t="s">
        <v>77</v>
      </c>
      <c r="D67" s="4">
        <f>81000-11765</f>
        <v>69235</v>
      </c>
      <c r="E67" s="4">
        <v>1250</v>
      </c>
      <c r="F67" s="4"/>
      <c r="G67" s="4"/>
      <c r="H67" s="7">
        <f t="shared" si="5"/>
        <v>70485</v>
      </c>
      <c r="I67" s="7">
        <f>21617+1</f>
        <v>21618</v>
      </c>
      <c r="J67" s="7">
        <v>4232</v>
      </c>
      <c r="K67" s="7"/>
      <c r="L67" s="7"/>
      <c r="M67" s="7">
        <f t="shared" si="6"/>
        <v>25850</v>
      </c>
      <c r="N67" s="5">
        <f t="shared" si="9"/>
        <v>0.36674469745335886</v>
      </c>
      <c r="O67" s="80"/>
    </row>
    <row r="68" spans="1:15" ht="9.75">
      <c r="A68" s="148"/>
      <c r="B68" s="29" t="s">
        <v>130</v>
      </c>
      <c r="C68" s="29"/>
      <c r="D68" s="6">
        <f>SUM(D65:D67)</f>
        <v>69235</v>
      </c>
      <c r="E68" s="6">
        <f>SUM(E65:E67)</f>
        <v>1250</v>
      </c>
      <c r="F68" s="6">
        <f>SUM(F65:F67)</f>
        <v>1054500</v>
      </c>
      <c r="G68" s="6">
        <f>SUM(G65:G67)</f>
        <v>531300</v>
      </c>
      <c r="H68" s="6">
        <f t="shared" si="5"/>
        <v>1656285</v>
      </c>
      <c r="I68" s="6">
        <f>SUM(I65:I67)</f>
        <v>21618</v>
      </c>
      <c r="J68" s="6">
        <f>SUM(J65:J67)</f>
        <v>4232</v>
      </c>
      <c r="K68" s="6">
        <f>SUM(K65:K67)</f>
        <v>527600</v>
      </c>
      <c r="L68" s="6">
        <f>SUM(L65:L67)</f>
        <v>289400</v>
      </c>
      <c r="M68" s="6">
        <f t="shared" si="6"/>
        <v>842850</v>
      </c>
      <c r="N68" s="28">
        <f t="shared" si="9"/>
        <v>0.5088798123511352</v>
      </c>
      <c r="O68" s="80"/>
    </row>
    <row r="69" spans="1:15" ht="29.25" customHeight="1">
      <c r="A69" s="149"/>
      <c r="B69" s="120" t="s">
        <v>20</v>
      </c>
      <c r="C69" s="18" t="s">
        <v>253</v>
      </c>
      <c r="D69" s="13"/>
      <c r="E69" s="13"/>
      <c r="F69" s="13"/>
      <c r="G69" s="13"/>
      <c r="H69" s="7">
        <f t="shared" si="5"/>
        <v>0</v>
      </c>
      <c r="I69" s="7">
        <v>190</v>
      </c>
      <c r="J69" s="13"/>
      <c r="K69" s="13"/>
      <c r="L69" s="13"/>
      <c r="M69" s="7">
        <f t="shared" si="6"/>
        <v>190</v>
      </c>
      <c r="N69" s="5"/>
      <c r="O69" s="80"/>
    </row>
    <row r="70" spans="1:15" ht="12" customHeight="1">
      <c r="A70" s="148"/>
      <c r="B70" s="121"/>
      <c r="C70" s="17" t="s">
        <v>82</v>
      </c>
      <c r="D70" s="4">
        <v>12000</v>
      </c>
      <c r="E70" s="4">
        <v>24000</v>
      </c>
      <c r="F70" s="4"/>
      <c r="G70" s="4"/>
      <c r="H70" s="7">
        <f t="shared" si="5"/>
        <v>36000</v>
      </c>
      <c r="I70" s="7">
        <v>8172</v>
      </c>
      <c r="J70" s="7">
        <f>24126-1</f>
        <v>24125</v>
      </c>
      <c r="K70" s="7"/>
      <c r="L70" s="7"/>
      <c r="M70" s="7">
        <f t="shared" si="6"/>
        <v>32297</v>
      </c>
      <c r="N70" s="5">
        <f aca="true" t="shared" si="10" ref="N70:N81">M70/H70</f>
        <v>0.8971388888888889</v>
      </c>
      <c r="O70" s="80"/>
    </row>
    <row r="71" spans="1:15" ht="11.25" customHeight="1">
      <c r="A71" s="148"/>
      <c r="B71" s="104"/>
      <c r="C71" s="18" t="s">
        <v>71</v>
      </c>
      <c r="D71" s="4">
        <v>391600</v>
      </c>
      <c r="E71" s="4">
        <v>15400</v>
      </c>
      <c r="F71" s="4"/>
      <c r="G71" s="4"/>
      <c r="H71" s="7">
        <f t="shared" si="5"/>
        <v>407000</v>
      </c>
      <c r="I71" s="7">
        <v>474087</v>
      </c>
      <c r="J71" s="7">
        <v>27515</v>
      </c>
      <c r="K71" s="7"/>
      <c r="L71" s="7"/>
      <c r="M71" s="7">
        <f t="shared" si="6"/>
        <v>501602</v>
      </c>
      <c r="N71" s="5">
        <f t="shared" si="10"/>
        <v>1.2324373464373464</v>
      </c>
      <c r="O71" s="80"/>
    </row>
    <row r="72" spans="1:15" ht="49.5" customHeight="1">
      <c r="A72" s="148"/>
      <c r="B72" s="19"/>
      <c r="C72" s="18" t="s">
        <v>104</v>
      </c>
      <c r="D72" s="4">
        <v>385000</v>
      </c>
      <c r="E72" s="4"/>
      <c r="F72" s="4"/>
      <c r="G72" s="4"/>
      <c r="H72" s="7">
        <f aca="true" t="shared" si="11" ref="H72:H104">SUM(D72:G72)</f>
        <v>385000</v>
      </c>
      <c r="I72" s="7">
        <v>129702</v>
      </c>
      <c r="J72" s="7"/>
      <c r="K72" s="7"/>
      <c r="L72" s="7"/>
      <c r="M72" s="7">
        <f aca="true" t="shared" si="12" ref="M72:M80">SUM(I72:L72)</f>
        <v>129702</v>
      </c>
      <c r="N72" s="5">
        <f t="shared" si="10"/>
        <v>0.3368883116883117</v>
      </c>
      <c r="O72" s="80"/>
    </row>
    <row r="73" spans="1:15" ht="11.25" customHeight="1">
      <c r="A73" s="148"/>
      <c r="B73" s="19"/>
      <c r="C73" s="18" t="s">
        <v>161</v>
      </c>
      <c r="D73" s="4"/>
      <c r="E73" s="4"/>
      <c r="F73" s="4"/>
      <c r="G73" s="4"/>
      <c r="H73" s="7">
        <f t="shared" si="11"/>
        <v>0</v>
      </c>
      <c r="I73" s="7">
        <v>19370</v>
      </c>
      <c r="J73" s="7"/>
      <c r="K73" s="7"/>
      <c r="L73" s="7"/>
      <c r="M73" s="7">
        <f t="shared" si="12"/>
        <v>19370</v>
      </c>
      <c r="N73" s="5"/>
      <c r="O73" s="80"/>
    </row>
    <row r="74" spans="1:15" ht="9.75">
      <c r="A74" s="148"/>
      <c r="B74" s="19"/>
      <c r="C74" s="18" t="s">
        <v>72</v>
      </c>
      <c r="D74" s="4"/>
      <c r="E74" s="4"/>
      <c r="F74" s="4"/>
      <c r="G74" s="4"/>
      <c r="H74" s="7">
        <f t="shared" si="11"/>
        <v>0</v>
      </c>
      <c r="I74" s="7">
        <f>48429-1</f>
        <v>48428</v>
      </c>
      <c r="J74" s="7">
        <v>10969</v>
      </c>
      <c r="K74" s="7"/>
      <c r="L74" s="7"/>
      <c r="M74" s="7">
        <f t="shared" si="12"/>
        <v>59397</v>
      </c>
      <c r="N74" s="5"/>
      <c r="O74" s="80"/>
    </row>
    <row r="75" spans="1:15" ht="19.5">
      <c r="A75" s="148"/>
      <c r="B75" s="19"/>
      <c r="C75" s="18" t="s">
        <v>208</v>
      </c>
      <c r="D75" s="4"/>
      <c r="E75" s="4"/>
      <c r="F75" s="4"/>
      <c r="G75" s="4"/>
      <c r="H75" s="7">
        <f t="shared" si="11"/>
        <v>0</v>
      </c>
      <c r="I75" s="7">
        <v>50</v>
      </c>
      <c r="J75" s="7"/>
      <c r="K75" s="7"/>
      <c r="L75" s="7"/>
      <c r="M75" s="7">
        <f t="shared" si="12"/>
        <v>50</v>
      </c>
      <c r="N75" s="5"/>
      <c r="O75" s="80"/>
    </row>
    <row r="76" spans="1:15" ht="9.75">
      <c r="A76" s="148"/>
      <c r="B76" s="19"/>
      <c r="C76" s="18" t="s">
        <v>74</v>
      </c>
      <c r="D76" s="4">
        <v>21318</v>
      </c>
      <c r="E76" s="4"/>
      <c r="F76" s="4"/>
      <c r="G76" s="4"/>
      <c r="H76" s="7">
        <f t="shared" si="11"/>
        <v>21318</v>
      </c>
      <c r="I76" s="7">
        <v>138967</v>
      </c>
      <c r="J76" s="7"/>
      <c r="K76" s="7"/>
      <c r="L76" s="7"/>
      <c r="M76" s="7">
        <f t="shared" si="12"/>
        <v>138967</v>
      </c>
      <c r="N76" s="5">
        <f t="shared" si="10"/>
        <v>6.518763486255747</v>
      </c>
      <c r="O76" s="80"/>
    </row>
    <row r="77" spans="1:15" ht="28.5" customHeight="1">
      <c r="A77" s="148"/>
      <c r="B77" s="19"/>
      <c r="C77" s="22" t="s">
        <v>83</v>
      </c>
      <c r="D77" s="4"/>
      <c r="E77" s="4">
        <v>12300</v>
      </c>
      <c r="F77" s="4"/>
      <c r="G77" s="4"/>
      <c r="H77" s="7">
        <f t="shared" si="11"/>
        <v>12300</v>
      </c>
      <c r="I77" s="9"/>
      <c r="J77" s="7">
        <v>6053</v>
      </c>
      <c r="K77" s="9"/>
      <c r="L77" s="9"/>
      <c r="M77" s="7">
        <f t="shared" si="12"/>
        <v>6053</v>
      </c>
      <c r="N77" s="5">
        <f t="shared" si="10"/>
        <v>0.4921138211382114</v>
      </c>
      <c r="O77" s="80"/>
    </row>
    <row r="78" spans="1:15" ht="28.5" customHeight="1">
      <c r="A78" s="148"/>
      <c r="B78" s="17"/>
      <c r="C78" s="22" t="s">
        <v>254</v>
      </c>
      <c r="D78" s="4"/>
      <c r="E78" s="4"/>
      <c r="F78" s="4"/>
      <c r="G78" s="4"/>
      <c r="H78" s="7"/>
      <c r="I78" s="7">
        <v>24600</v>
      </c>
      <c r="J78" s="7"/>
      <c r="K78" s="9"/>
      <c r="L78" s="9"/>
      <c r="M78" s="7"/>
      <c r="N78" s="5"/>
      <c r="O78" s="80"/>
    </row>
    <row r="79" spans="1:15" ht="9.75">
      <c r="A79" s="148"/>
      <c r="B79" s="33" t="s">
        <v>131</v>
      </c>
      <c r="C79" s="29"/>
      <c r="D79" s="6">
        <f>SUM(D70:D77)</f>
        <v>809918</v>
      </c>
      <c r="E79" s="6">
        <f>SUM(E70:E77)</f>
        <v>51700</v>
      </c>
      <c r="F79" s="6">
        <f>SUM(F70:F77)</f>
        <v>0</v>
      </c>
      <c r="G79" s="6">
        <f>SUM(G70:G77)</f>
        <v>0</v>
      </c>
      <c r="H79" s="6">
        <f t="shared" si="11"/>
        <v>861618</v>
      </c>
      <c r="I79" s="6">
        <f>SUM(I69:I78)</f>
        <v>843566</v>
      </c>
      <c r="J79" s="6">
        <f>SUM(J69:J77)</f>
        <v>68662</v>
      </c>
      <c r="K79" s="6">
        <f>SUM(K69:K77)</f>
        <v>0</v>
      </c>
      <c r="L79" s="6">
        <f>SUM(L69:L77)</f>
        <v>0</v>
      </c>
      <c r="M79" s="6">
        <f t="shared" si="12"/>
        <v>912228</v>
      </c>
      <c r="N79" s="28">
        <f t="shared" si="10"/>
        <v>1.0587383271937216</v>
      </c>
      <c r="O79" s="80"/>
    </row>
    <row r="80" spans="1:15" ht="38.25" customHeight="1">
      <c r="A80" s="148"/>
      <c r="B80" s="23" t="s">
        <v>21</v>
      </c>
      <c r="C80" s="27" t="s">
        <v>69</v>
      </c>
      <c r="D80" s="4"/>
      <c r="E80" s="4"/>
      <c r="F80" s="4"/>
      <c r="G80" s="4">
        <v>94000</v>
      </c>
      <c r="H80" s="7">
        <f t="shared" si="11"/>
        <v>94000</v>
      </c>
      <c r="I80" s="7"/>
      <c r="J80" s="7"/>
      <c r="K80" s="7"/>
      <c r="L80" s="7">
        <v>94000</v>
      </c>
      <c r="M80" s="7">
        <f t="shared" si="12"/>
        <v>94000</v>
      </c>
      <c r="N80" s="5">
        <f t="shared" si="10"/>
        <v>1</v>
      </c>
      <c r="O80" s="80"/>
    </row>
    <row r="81" spans="1:15" ht="9.75">
      <c r="A81" s="148"/>
      <c r="B81" s="33" t="s">
        <v>132</v>
      </c>
      <c r="C81" s="29"/>
      <c r="D81" s="6">
        <f>SUM(D80)</f>
        <v>0</v>
      </c>
      <c r="E81" s="6">
        <f>SUM(E80)</f>
        <v>0</v>
      </c>
      <c r="F81" s="6">
        <f>SUM(F80)</f>
        <v>0</v>
      </c>
      <c r="G81" s="6">
        <f>SUM(G80)</f>
        <v>94000</v>
      </c>
      <c r="H81" s="6">
        <f t="shared" si="11"/>
        <v>94000</v>
      </c>
      <c r="I81" s="6">
        <f>SUM(I80)</f>
        <v>0</v>
      </c>
      <c r="J81" s="6">
        <f>SUM(J80)</f>
        <v>0</v>
      </c>
      <c r="K81" s="6">
        <f>SUM(K80)</f>
        <v>0</v>
      </c>
      <c r="L81" s="6">
        <f>SUM(L80)</f>
        <v>94000</v>
      </c>
      <c r="M81" s="6">
        <f>SUM(M80)</f>
        <v>94000</v>
      </c>
      <c r="N81" s="28">
        <f t="shared" si="10"/>
        <v>1</v>
      </c>
      <c r="O81" s="80"/>
    </row>
    <row r="82" spans="1:15" ht="9.75">
      <c r="A82" s="149"/>
      <c r="B82" s="120" t="s">
        <v>22</v>
      </c>
      <c r="C82" s="18" t="s">
        <v>72</v>
      </c>
      <c r="D82" s="13"/>
      <c r="E82" s="13"/>
      <c r="F82" s="13"/>
      <c r="G82" s="13"/>
      <c r="H82" s="7">
        <f t="shared" si="11"/>
        <v>0</v>
      </c>
      <c r="I82" s="7">
        <f>772+1</f>
        <v>773</v>
      </c>
      <c r="J82" s="13"/>
      <c r="K82" s="13"/>
      <c r="L82" s="13"/>
      <c r="M82" s="7">
        <f aca="true" t="shared" si="13" ref="M82:M88">SUM(I82:L82)</f>
        <v>773</v>
      </c>
      <c r="N82" s="5"/>
      <c r="O82" s="80"/>
    </row>
    <row r="83" spans="1:15" ht="9.75">
      <c r="A83" s="149"/>
      <c r="B83" s="121"/>
      <c r="C83" s="18" t="s">
        <v>74</v>
      </c>
      <c r="D83" s="13"/>
      <c r="E83" s="13"/>
      <c r="F83" s="13"/>
      <c r="G83" s="13"/>
      <c r="H83" s="7">
        <f t="shared" si="11"/>
        <v>0</v>
      </c>
      <c r="I83" s="7">
        <v>20170</v>
      </c>
      <c r="J83" s="13"/>
      <c r="K83" s="13"/>
      <c r="L83" s="13"/>
      <c r="M83" s="7">
        <f t="shared" si="13"/>
        <v>20170</v>
      </c>
      <c r="N83" s="5"/>
      <c r="O83" s="80"/>
    </row>
    <row r="84" spans="1:15" ht="19.5">
      <c r="A84" s="149"/>
      <c r="B84" s="121"/>
      <c r="C84" s="18" t="s">
        <v>204</v>
      </c>
      <c r="D84" s="7">
        <v>53180</v>
      </c>
      <c r="E84" s="13"/>
      <c r="F84" s="13"/>
      <c r="G84" s="13"/>
      <c r="H84" s="7">
        <f t="shared" si="11"/>
        <v>53180</v>
      </c>
      <c r="I84" s="7">
        <f>53181-1</f>
        <v>53180</v>
      </c>
      <c r="J84" s="13"/>
      <c r="K84" s="13"/>
      <c r="L84" s="13"/>
      <c r="M84" s="7">
        <f t="shared" si="13"/>
        <v>53180</v>
      </c>
      <c r="N84" s="5">
        <f aca="true" t="shared" si="14" ref="N84:N90">M84/H84</f>
        <v>1</v>
      </c>
      <c r="O84" s="80"/>
    </row>
    <row r="85" spans="1:15" ht="42.75" customHeight="1">
      <c r="A85" s="148"/>
      <c r="B85" s="122"/>
      <c r="C85" s="18" t="s">
        <v>70</v>
      </c>
      <c r="D85" s="4">
        <v>13000</v>
      </c>
      <c r="E85" s="4"/>
      <c r="F85" s="4"/>
      <c r="G85" s="4"/>
      <c r="H85" s="7">
        <f t="shared" si="11"/>
        <v>13000</v>
      </c>
      <c r="I85" s="7">
        <v>-80</v>
      </c>
      <c r="J85" s="9"/>
      <c r="K85" s="9"/>
      <c r="L85" s="9"/>
      <c r="M85" s="7">
        <f t="shared" si="13"/>
        <v>-80</v>
      </c>
      <c r="N85" s="5">
        <f t="shared" si="14"/>
        <v>-0.006153846153846154</v>
      </c>
      <c r="O85" s="80"/>
    </row>
    <row r="86" spans="1:15" ht="9.75">
      <c r="A86" s="148"/>
      <c r="B86" s="37" t="s">
        <v>133</v>
      </c>
      <c r="C86" s="34"/>
      <c r="D86" s="6">
        <f>SUM(D82:D85)</f>
        <v>66180</v>
      </c>
      <c r="E86" s="6">
        <f>SUM(E82:E85)</f>
        <v>0</v>
      </c>
      <c r="F86" s="6">
        <f>SUM(F82:F85)</f>
        <v>0</v>
      </c>
      <c r="G86" s="6">
        <f>SUM(G82:G85)</f>
        <v>0</v>
      </c>
      <c r="H86" s="6">
        <f t="shared" si="11"/>
        <v>66180</v>
      </c>
      <c r="I86" s="6">
        <f>SUM(I82:I85)</f>
        <v>74043</v>
      </c>
      <c r="J86" s="6">
        <f>SUM(J82:J85)</f>
        <v>0</v>
      </c>
      <c r="K86" s="6">
        <f>SUM(K82:K85)</f>
        <v>0</v>
      </c>
      <c r="L86" s="6">
        <f>SUM(L82:L85)</f>
        <v>0</v>
      </c>
      <c r="M86" s="6">
        <f t="shared" si="13"/>
        <v>74043</v>
      </c>
      <c r="N86" s="28">
        <f t="shared" si="14"/>
        <v>1.1188123300090662</v>
      </c>
      <c r="O86" s="80"/>
    </row>
    <row r="87" spans="1:15" ht="11.25">
      <c r="A87" s="35" t="s">
        <v>23</v>
      </c>
      <c r="B87" s="36"/>
      <c r="C87" s="24"/>
      <c r="D87" s="25">
        <f>SUM(D86,D81,D79,D68)</f>
        <v>945333</v>
      </c>
      <c r="E87" s="25">
        <f>SUM(E86,E81,E79,E68)</f>
        <v>52950</v>
      </c>
      <c r="F87" s="25">
        <f>SUM(F86,F81,F79,F68)</f>
        <v>1054500</v>
      </c>
      <c r="G87" s="25">
        <f>SUM(G86,G81,G79,G68)</f>
        <v>625300</v>
      </c>
      <c r="H87" s="25">
        <f t="shared" si="11"/>
        <v>2678083</v>
      </c>
      <c r="I87" s="25">
        <f>SUM(I86,I81,I79,I68)</f>
        <v>939227</v>
      </c>
      <c r="J87" s="25">
        <f>SUM(J86,J81,J79,J68)</f>
        <v>72894</v>
      </c>
      <c r="K87" s="25">
        <f>SUM(K86,K81,K79,K68)</f>
        <v>527600</v>
      </c>
      <c r="L87" s="25">
        <f>SUM(L86,L81,L79,L68)</f>
        <v>383400</v>
      </c>
      <c r="M87" s="25">
        <f t="shared" si="13"/>
        <v>1923121</v>
      </c>
      <c r="N87" s="30">
        <f t="shared" si="14"/>
        <v>0.7180961157663897</v>
      </c>
      <c r="O87" s="80"/>
    </row>
    <row r="88" spans="1:15" ht="49.5" customHeight="1">
      <c r="A88" s="154" t="s">
        <v>24</v>
      </c>
      <c r="B88" s="23" t="s">
        <v>25</v>
      </c>
      <c r="C88" s="27" t="s">
        <v>129</v>
      </c>
      <c r="D88" s="4"/>
      <c r="E88" s="4"/>
      <c r="F88" s="4">
        <v>36610</v>
      </c>
      <c r="G88" s="4"/>
      <c r="H88" s="7">
        <f t="shared" si="11"/>
        <v>36610</v>
      </c>
      <c r="I88" s="7"/>
      <c r="J88" s="7"/>
      <c r="K88" s="7">
        <v>18306</v>
      </c>
      <c r="L88" s="7"/>
      <c r="M88" s="7">
        <f t="shared" si="13"/>
        <v>18306</v>
      </c>
      <c r="N88" s="5">
        <f t="shared" si="14"/>
        <v>0.5000273149412728</v>
      </c>
      <c r="O88" s="80"/>
    </row>
    <row r="89" spans="1:15" ht="13.5" customHeight="1">
      <c r="A89" s="154"/>
      <c r="B89" s="37" t="s">
        <v>134</v>
      </c>
      <c r="C89" s="34"/>
      <c r="D89" s="6">
        <f aca="true" t="shared" si="15" ref="D89:G90">SUM(D88)</f>
        <v>0</v>
      </c>
      <c r="E89" s="6">
        <f t="shared" si="15"/>
        <v>0</v>
      </c>
      <c r="F89" s="6">
        <f t="shared" si="15"/>
        <v>36610</v>
      </c>
      <c r="G89" s="6">
        <f t="shared" si="15"/>
        <v>0</v>
      </c>
      <c r="H89" s="6">
        <f t="shared" si="11"/>
        <v>36610</v>
      </c>
      <c r="I89" s="6">
        <f aca="true" t="shared" si="16" ref="I89:M90">SUM(I88)</f>
        <v>0</v>
      </c>
      <c r="J89" s="6">
        <f t="shared" si="16"/>
        <v>0</v>
      </c>
      <c r="K89" s="6">
        <f t="shared" si="16"/>
        <v>18306</v>
      </c>
      <c r="L89" s="6">
        <f t="shared" si="16"/>
        <v>0</v>
      </c>
      <c r="M89" s="6">
        <f t="shared" si="16"/>
        <v>18306</v>
      </c>
      <c r="N89" s="28">
        <f t="shared" si="14"/>
        <v>0.5000273149412728</v>
      </c>
      <c r="O89" s="80"/>
    </row>
    <row r="90" spans="1:15" ht="11.25">
      <c r="A90" s="35" t="s">
        <v>26</v>
      </c>
      <c r="B90" s="36"/>
      <c r="C90" s="24"/>
      <c r="D90" s="25">
        <f t="shared" si="15"/>
        <v>0</v>
      </c>
      <c r="E90" s="25">
        <f t="shared" si="15"/>
        <v>0</v>
      </c>
      <c r="F90" s="25">
        <f t="shared" si="15"/>
        <v>36610</v>
      </c>
      <c r="G90" s="25">
        <f t="shared" si="15"/>
        <v>0</v>
      </c>
      <c r="H90" s="25">
        <f t="shared" si="11"/>
        <v>36610</v>
      </c>
      <c r="I90" s="25">
        <f t="shared" si="16"/>
        <v>0</v>
      </c>
      <c r="J90" s="25">
        <f t="shared" si="16"/>
        <v>0</v>
      </c>
      <c r="K90" s="25">
        <f t="shared" si="16"/>
        <v>18306</v>
      </c>
      <c r="L90" s="25">
        <f t="shared" si="16"/>
        <v>0</v>
      </c>
      <c r="M90" s="25">
        <f t="shared" si="16"/>
        <v>18306</v>
      </c>
      <c r="N90" s="30">
        <f t="shared" si="14"/>
        <v>0.5000273149412728</v>
      </c>
      <c r="O90" s="80"/>
    </row>
    <row r="91" spans="1:15" ht="11.25">
      <c r="A91" s="155" t="s">
        <v>27</v>
      </c>
      <c r="B91" s="119" t="s">
        <v>28</v>
      </c>
      <c r="C91" s="18" t="s">
        <v>72</v>
      </c>
      <c r="D91" s="47"/>
      <c r="E91" s="47"/>
      <c r="F91" s="47"/>
      <c r="G91" s="47"/>
      <c r="H91" s="7">
        <f t="shared" si="11"/>
        <v>0</v>
      </c>
      <c r="I91" s="47"/>
      <c r="J91" s="7">
        <v>2337</v>
      </c>
      <c r="K91" s="47"/>
      <c r="L91" s="47"/>
      <c r="M91" s="7">
        <f aca="true" t="shared" si="17" ref="M91:M122">SUM(I91:L91)</f>
        <v>2337</v>
      </c>
      <c r="N91" s="5"/>
      <c r="O91" s="80"/>
    </row>
    <row r="92" spans="1:15" ht="48" customHeight="1">
      <c r="A92" s="154"/>
      <c r="B92" s="119"/>
      <c r="C92" s="17" t="s">
        <v>69</v>
      </c>
      <c r="D92" s="4"/>
      <c r="E92" s="4"/>
      <c r="F92" s="4"/>
      <c r="G92" s="4">
        <v>7826000</v>
      </c>
      <c r="H92" s="7">
        <f t="shared" si="11"/>
        <v>7826000</v>
      </c>
      <c r="I92" s="7"/>
      <c r="J92" s="7"/>
      <c r="K92" s="7"/>
      <c r="L92" s="7">
        <v>4633574</v>
      </c>
      <c r="M92" s="7">
        <f t="shared" si="17"/>
        <v>4633574</v>
      </c>
      <c r="N92" s="5">
        <f>M92/H92</f>
        <v>0.5920743674929722</v>
      </c>
      <c r="O92" s="80"/>
    </row>
    <row r="93" spans="1:15" ht="36.75" customHeight="1">
      <c r="A93" s="154"/>
      <c r="B93" s="119"/>
      <c r="C93" s="18" t="s">
        <v>77</v>
      </c>
      <c r="D93" s="4"/>
      <c r="E93" s="4">
        <v>1100</v>
      </c>
      <c r="F93" s="4"/>
      <c r="G93" s="4"/>
      <c r="H93" s="7">
        <f t="shared" si="11"/>
        <v>1100</v>
      </c>
      <c r="I93" s="9"/>
      <c r="J93" s="7">
        <f>1039+1</f>
        <v>1040</v>
      </c>
      <c r="K93" s="9"/>
      <c r="L93" s="9"/>
      <c r="M93" s="7">
        <f t="shared" si="17"/>
        <v>1040</v>
      </c>
      <c r="N93" s="5">
        <f>M93/H93</f>
        <v>0.9454545454545454</v>
      </c>
      <c r="O93" s="80"/>
    </row>
    <row r="94" spans="1:15" ht="57" customHeight="1">
      <c r="A94" s="154"/>
      <c r="B94" s="119"/>
      <c r="C94" s="22" t="s">
        <v>135</v>
      </c>
      <c r="D94" s="4"/>
      <c r="E94" s="4"/>
      <c r="F94" s="4"/>
      <c r="G94" s="4">
        <f>60000+200000</f>
        <v>260000</v>
      </c>
      <c r="H94" s="7">
        <f t="shared" si="11"/>
        <v>260000</v>
      </c>
      <c r="I94" s="7"/>
      <c r="J94" s="7"/>
      <c r="K94" s="7"/>
      <c r="L94" s="7"/>
      <c r="M94" s="7">
        <f t="shared" si="17"/>
        <v>0</v>
      </c>
      <c r="N94" s="5">
        <f>M94/H94</f>
        <v>0</v>
      </c>
      <c r="O94" s="80"/>
    </row>
    <row r="95" spans="1:15" ht="9.75">
      <c r="A95" s="154"/>
      <c r="B95" s="33" t="s">
        <v>136</v>
      </c>
      <c r="C95" s="29"/>
      <c r="D95" s="6">
        <f>SUM(D91:D94)</f>
        <v>0</v>
      </c>
      <c r="E95" s="6">
        <f>SUM(E91:E94)</f>
        <v>1100</v>
      </c>
      <c r="F95" s="6">
        <f>SUM(F91:F94)</f>
        <v>0</v>
      </c>
      <c r="G95" s="6">
        <f>SUM(G91:G94)</f>
        <v>8086000</v>
      </c>
      <c r="H95" s="6">
        <f t="shared" si="11"/>
        <v>8087100</v>
      </c>
      <c r="I95" s="6">
        <f>SUM(I91:I94)</f>
        <v>0</v>
      </c>
      <c r="J95" s="6">
        <f>SUM(J91:J94)</f>
        <v>3377</v>
      </c>
      <c r="K95" s="6">
        <f>SUM(K91:K94)</f>
        <v>0</v>
      </c>
      <c r="L95" s="6">
        <f>SUM(L91:L94)</f>
        <v>4633574</v>
      </c>
      <c r="M95" s="6">
        <f t="shared" si="17"/>
        <v>4636951</v>
      </c>
      <c r="N95" s="28">
        <f>M95/H95</f>
        <v>0.5733762411742157</v>
      </c>
      <c r="O95" s="80"/>
    </row>
    <row r="96" spans="1:15" ht="18.75" customHeight="1">
      <c r="A96" s="154"/>
      <c r="B96" s="120" t="s">
        <v>58</v>
      </c>
      <c r="C96" s="27" t="s">
        <v>85</v>
      </c>
      <c r="D96" s="4">
        <v>50000</v>
      </c>
      <c r="E96" s="4"/>
      <c r="F96" s="4"/>
      <c r="G96" s="4"/>
      <c r="H96" s="7">
        <f t="shared" si="11"/>
        <v>50000</v>
      </c>
      <c r="I96" s="7">
        <v>28964</v>
      </c>
      <c r="J96" s="7"/>
      <c r="K96" s="7"/>
      <c r="L96" s="7"/>
      <c r="M96" s="7">
        <f t="shared" si="17"/>
        <v>28964</v>
      </c>
      <c r="N96" s="5">
        <f>M96/H96</f>
        <v>0.57928</v>
      </c>
      <c r="O96" s="80"/>
    </row>
    <row r="97" spans="1:15" ht="9.75">
      <c r="A97" s="154"/>
      <c r="B97" s="122"/>
      <c r="C97" s="18" t="s">
        <v>71</v>
      </c>
      <c r="D97" s="4"/>
      <c r="E97" s="4"/>
      <c r="F97" s="4"/>
      <c r="G97" s="4"/>
      <c r="H97" s="7">
        <f t="shared" si="11"/>
        <v>0</v>
      </c>
      <c r="I97" s="7">
        <v>88</v>
      </c>
      <c r="J97" s="7"/>
      <c r="K97" s="7"/>
      <c r="L97" s="7"/>
      <c r="M97" s="7">
        <f t="shared" si="17"/>
        <v>88</v>
      </c>
      <c r="N97" s="5"/>
      <c r="O97" s="80"/>
    </row>
    <row r="98" spans="1:15" ht="9" customHeight="1">
      <c r="A98" s="156"/>
      <c r="B98" s="37" t="s">
        <v>137</v>
      </c>
      <c r="C98" s="34"/>
      <c r="D98" s="6">
        <f>SUM(D96:D97)</f>
        <v>50000</v>
      </c>
      <c r="E98" s="6">
        <f>SUM(E96:E97)</f>
        <v>0</v>
      </c>
      <c r="F98" s="6">
        <f>SUM(F96:F97)</f>
        <v>0</v>
      </c>
      <c r="G98" s="6">
        <f>SUM(G96:G97)</f>
        <v>0</v>
      </c>
      <c r="H98" s="6">
        <f t="shared" si="11"/>
        <v>50000</v>
      </c>
      <c r="I98" s="6">
        <f>SUM(I96:I97)</f>
        <v>29052</v>
      </c>
      <c r="J98" s="6">
        <f>SUM(J96:J97)</f>
        <v>0</v>
      </c>
      <c r="K98" s="6">
        <f>SUM(K96:K97)</f>
        <v>0</v>
      </c>
      <c r="L98" s="6">
        <f>SUM(L96:L97)</f>
        <v>0</v>
      </c>
      <c r="M98" s="6">
        <f t="shared" si="17"/>
        <v>29052</v>
      </c>
      <c r="N98" s="28">
        <f aca="true" t="shared" si="18" ref="N98:N108">M98/H98</f>
        <v>0.58104</v>
      </c>
      <c r="O98" s="80"/>
    </row>
    <row r="99" spans="1:15" ht="11.25">
      <c r="A99" s="35" t="s">
        <v>29</v>
      </c>
      <c r="B99" s="36"/>
      <c r="C99" s="24"/>
      <c r="D99" s="25">
        <f>SUM(D98,D95)</f>
        <v>50000</v>
      </c>
      <c r="E99" s="25">
        <f>SUM(E98,E95)</f>
        <v>1100</v>
      </c>
      <c r="F99" s="25">
        <f>SUM(F98,F95)</f>
        <v>0</v>
      </c>
      <c r="G99" s="25">
        <f>SUM(G98,G95)</f>
        <v>8086000</v>
      </c>
      <c r="H99" s="25">
        <f t="shared" si="11"/>
        <v>8137100</v>
      </c>
      <c r="I99" s="25">
        <f>SUM(I98,I95)</f>
        <v>29052</v>
      </c>
      <c r="J99" s="25">
        <f>SUM(J98,J95)</f>
        <v>3377</v>
      </c>
      <c r="K99" s="25">
        <f>SUM(K98,K95)</f>
        <v>0</v>
      </c>
      <c r="L99" s="25">
        <f>SUM(L98,L95)</f>
        <v>4633574</v>
      </c>
      <c r="M99" s="25">
        <f t="shared" si="17"/>
        <v>4666003</v>
      </c>
      <c r="N99" s="30">
        <f t="shared" si="18"/>
        <v>0.5734233326369346</v>
      </c>
      <c r="O99" s="80"/>
    </row>
    <row r="100" spans="1:15" ht="29.25">
      <c r="A100" s="154" t="s">
        <v>103</v>
      </c>
      <c r="B100" s="130" t="s">
        <v>30</v>
      </c>
      <c r="C100" s="17" t="s">
        <v>138</v>
      </c>
      <c r="D100" s="4">
        <v>1000000</v>
      </c>
      <c r="E100" s="4"/>
      <c r="F100" s="4"/>
      <c r="G100" s="4"/>
      <c r="H100" s="7">
        <f t="shared" si="11"/>
        <v>1000000</v>
      </c>
      <c r="I100" s="7">
        <v>496127</v>
      </c>
      <c r="J100" s="9"/>
      <c r="K100" s="9"/>
      <c r="L100" s="9"/>
      <c r="M100" s="7">
        <f t="shared" si="17"/>
        <v>496127</v>
      </c>
      <c r="N100" s="5">
        <f t="shared" si="18"/>
        <v>0.496127</v>
      </c>
      <c r="O100" s="80"/>
    </row>
    <row r="101" spans="1:15" ht="19.5">
      <c r="A101" s="154"/>
      <c r="B101" s="131"/>
      <c r="C101" s="22" t="s">
        <v>86</v>
      </c>
      <c r="D101" s="4">
        <v>60000</v>
      </c>
      <c r="E101" s="4"/>
      <c r="F101" s="4"/>
      <c r="G101" s="4"/>
      <c r="H101" s="7">
        <f t="shared" si="11"/>
        <v>60000</v>
      </c>
      <c r="I101" s="7">
        <v>23154</v>
      </c>
      <c r="J101" s="7"/>
      <c r="K101" s="7"/>
      <c r="L101" s="7"/>
      <c r="M101" s="7">
        <f t="shared" si="17"/>
        <v>23154</v>
      </c>
      <c r="N101" s="5">
        <f t="shared" si="18"/>
        <v>0.3859</v>
      </c>
      <c r="O101" s="80"/>
    </row>
    <row r="102" spans="1:15" ht="9.75">
      <c r="A102" s="154"/>
      <c r="B102" s="33" t="s">
        <v>139</v>
      </c>
      <c r="C102" s="29"/>
      <c r="D102" s="6">
        <f>SUM(D100:D101)</f>
        <v>1060000</v>
      </c>
      <c r="E102" s="6">
        <f>SUM(E100:E101)</f>
        <v>0</v>
      </c>
      <c r="F102" s="6">
        <f>SUM(F100:F101)</f>
        <v>0</v>
      </c>
      <c r="G102" s="6">
        <f>SUM(G100:G101)</f>
        <v>0</v>
      </c>
      <c r="H102" s="6">
        <f t="shared" si="11"/>
        <v>1060000</v>
      </c>
      <c r="I102" s="6">
        <f>SUM(I100:I101)</f>
        <v>519281</v>
      </c>
      <c r="J102" s="6">
        <f>SUM(J100:J101)</f>
        <v>0</v>
      </c>
      <c r="K102" s="6">
        <f>SUM(K100:K101)</f>
        <v>0</v>
      </c>
      <c r="L102" s="6">
        <f>SUM(L100:L101)</f>
        <v>0</v>
      </c>
      <c r="M102" s="6">
        <f t="shared" si="17"/>
        <v>519281</v>
      </c>
      <c r="N102" s="28">
        <f t="shared" si="18"/>
        <v>0.4898877358490566</v>
      </c>
      <c r="O102" s="80"/>
    </row>
    <row r="103" spans="1:15" ht="9.75">
      <c r="A103" s="154"/>
      <c r="B103" s="120" t="s">
        <v>140</v>
      </c>
      <c r="C103" s="17" t="s">
        <v>87</v>
      </c>
      <c r="D103" s="4">
        <v>75600000</v>
      </c>
      <c r="E103" s="4"/>
      <c r="F103" s="4"/>
      <c r="G103" s="4"/>
      <c r="H103" s="7">
        <f t="shared" si="11"/>
        <v>75600000</v>
      </c>
      <c r="I103" s="7">
        <v>37337638</v>
      </c>
      <c r="J103" s="7"/>
      <c r="K103" s="7"/>
      <c r="L103" s="7"/>
      <c r="M103" s="7">
        <f t="shared" si="17"/>
        <v>37337638</v>
      </c>
      <c r="N103" s="5">
        <f t="shared" si="18"/>
        <v>0.49388410052910053</v>
      </c>
      <c r="O103" s="80"/>
    </row>
    <row r="104" spans="1:15" ht="9.75">
      <c r="A104" s="154"/>
      <c r="B104" s="121"/>
      <c r="C104" s="18" t="s">
        <v>88</v>
      </c>
      <c r="D104" s="4">
        <v>400</v>
      </c>
      <c r="E104" s="4"/>
      <c r="F104" s="4"/>
      <c r="G104" s="4"/>
      <c r="H104" s="7">
        <f t="shared" si="11"/>
        <v>400</v>
      </c>
      <c r="I104" s="7">
        <v>386</v>
      </c>
      <c r="J104" s="9"/>
      <c r="K104" s="9"/>
      <c r="L104" s="9"/>
      <c r="M104" s="7">
        <f t="shared" si="17"/>
        <v>386</v>
      </c>
      <c r="N104" s="5">
        <f t="shared" si="18"/>
        <v>0.965</v>
      </c>
      <c r="O104" s="80"/>
    </row>
    <row r="105" spans="1:15" ht="9.75">
      <c r="A105" s="154"/>
      <c r="B105" s="121"/>
      <c r="C105" s="18" t="s">
        <v>89</v>
      </c>
      <c r="D105" s="4">
        <v>64800</v>
      </c>
      <c r="E105" s="4"/>
      <c r="F105" s="4"/>
      <c r="G105" s="4"/>
      <c r="H105" s="7">
        <f aca="true" t="shared" si="19" ref="H105:H136">SUM(D105:G105)</f>
        <v>64800</v>
      </c>
      <c r="I105" s="7">
        <v>33769</v>
      </c>
      <c r="J105" s="7"/>
      <c r="K105" s="7"/>
      <c r="L105" s="7"/>
      <c r="M105" s="7">
        <f t="shared" si="17"/>
        <v>33769</v>
      </c>
      <c r="N105" s="5">
        <f t="shared" si="18"/>
        <v>0.5211265432098765</v>
      </c>
      <c r="O105" s="80"/>
    </row>
    <row r="106" spans="1:15" ht="19.5">
      <c r="A106" s="154"/>
      <c r="B106" s="121"/>
      <c r="C106" s="18" t="s">
        <v>90</v>
      </c>
      <c r="D106" s="4">
        <v>2800000</v>
      </c>
      <c r="E106" s="4"/>
      <c r="F106" s="4"/>
      <c r="G106" s="4"/>
      <c r="H106" s="7">
        <f t="shared" si="19"/>
        <v>2800000</v>
      </c>
      <c r="I106" s="7">
        <v>1892261</v>
      </c>
      <c r="J106" s="7"/>
      <c r="K106" s="7"/>
      <c r="L106" s="7"/>
      <c r="M106" s="7">
        <f t="shared" si="17"/>
        <v>1892261</v>
      </c>
      <c r="N106" s="5">
        <f t="shared" si="18"/>
        <v>0.6758075</v>
      </c>
      <c r="O106" s="80"/>
    </row>
    <row r="107" spans="1:15" ht="19.5" customHeight="1">
      <c r="A107" s="154"/>
      <c r="B107" s="121"/>
      <c r="C107" s="18" t="s">
        <v>91</v>
      </c>
      <c r="D107" s="4">
        <v>3100000</v>
      </c>
      <c r="E107" s="4"/>
      <c r="F107" s="4"/>
      <c r="G107" s="4"/>
      <c r="H107" s="7">
        <f t="shared" si="19"/>
        <v>3100000</v>
      </c>
      <c r="I107" s="7">
        <v>1090868</v>
      </c>
      <c r="J107" s="9"/>
      <c r="K107" s="9"/>
      <c r="L107" s="9"/>
      <c r="M107" s="7">
        <f t="shared" si="17"/>
        <v>1090868</v>
      </c>
      <c r="N107" s="5">
        <f t="shared" si="18"/>
        <v>0.35189290322580646</v>
      </c>
      <c r="O107" s="80"/>
    </row>
    <row r="108" spans="1:15" ht="19.5">
      <c r="A108" s="157"/>
      <c r="B108" s="121"/>
      <c r="C108" s="22" t="s">
        <v>86</v>
      </c>
      <c r="D108" s="4">
        <v>1000000</v>
      </c>
      <c r="E108" s="4"/>
      <c r="F108" s="4"/>
      <c r="G108" s="4"/>
      <c r="H108" s="7">
        <f t="shared" si="19"/>
        <v>1000000</v>
      </c>
      <c r="I108" s="7">
        <v>443818</v>
      </c>
      <c r="J108" s="13"/>
      <c r="K108" s="13"/>
      <c r="L108" s="13"/>
      <c r="M108" s="7">
        <f t="shared" si="17"/>
        <v>443818</v>
      </c>
      <c r="N108" s="5">
        <f t="shared" si="18"/>
        <v>0.443818</v>
      </c>
      <c r="O108" s="80"/>
    </row>
    <row r="109" spans="1:15" ht="39">
      <c r="A109" s="152"/>
      <c r="B109" s="17"/>
      <c r="C109" s="22" t="s">
        <v>254</v>
      </c>
      <c r="D109" s="4"/>
      <c r="E109" s="4"/>
      <c r="F109" s="4"/>
      <c r="G109" s="4"/>
      <c r="H109" s="7">
        <f t="shared" si="19"/>
        <v>0</v>
      </c>
      <c r="I109" s="7">
        <v>181720</v>
      </c>
      <c r="J109" s="13"/>
      <c r="K109" s="13"/>
      <c r="L109" s="13"/>
      <c r="M109" s="7">
        <f t="shared" si="17"/>
        <v>181720</v>
      </c>
      <c r="N109" s="5"/>
      <c r="O109" s="80"/>
    </row>
    <row r="110" spans="1:15" ht="9.75">
      <c r="A110" s="148"/>
      <c r="B110" s="33" t="s">
        <v>141</v>
      </c>
      <c r="C110" s="29"/>
      <c r="D110" s="6">
        <f>SUM(D103:D108)</f>
        <v>82565200</v>
      </c>
      <c r="E110" s="6">
        <f>SUM(E103:E108)</f>
        <v>0</v>
      </c>
      <c r="F110" s="6">
        <f>SUM(F103:F108)</f>
        <v>0</v>
      </c>
      <c r="G110" s="6">
        <f>SUM(G103:G108)</f>
        <v>0</v>
      </c>
      <c r="H110" s="6">
        <f t="shared" si="19"/>
        <v>82565200</v>
      </c>
      <c r="I110" s="6">
        <f>SUM(I103:I109)</f>
        <v>40980460</v>
      </c>
      <c r="J110" s="6">
        <f>SUM(J103:J108)</f>
        <v>0</v>
      </c>
      <c r="K110" s="6">
        <f>SUM(K103:K108)</f>
        <v>0</v>
      </c>
      <c r="L110" s="6">
        <f>SUM(L103:L108)</f>
        <v>0</v>
      </c>
      <c r="M110" s="6">
        <f t="shared" si="17"/>
        <v>40980460</v>
      </c>
      <c r="N110" s="28">
        <f aca="true" t="shared" si="20" ref="N110:N126">M110/H110</f>
        <v>0.49634058901328887</v>
      </c>
      <c r="O110" s="80"/>
    </row>
    <row r="111" spans="1:15" ht="9.75">
      <c r="A111" s="148"/>
      <c r="B111" s="124" t="s">
        <v>142</v>
      </c>
      <c r="C111" s="17" t="s">
        <v>87</v>
      </c>
      <c r="D111" s="4">
        <v>11900000</v>
      </c>
      <c r="E111" s="4"/>
      <c r="F111" s="4"/>
      <c r="G111" s="4"/>
      <c r="H111" s="7">
        <f t="shared" si="19"/>
        <v>11900000</v>
      </c>
      <c r="I111" s="7">
        <v>7602404</v>
      </c>
      <c r="J111" s="7"/>
      <c r="K111" s="7"/>
      <c r="L111" s="7"/>
      <c r="M111" s="7">
        <f t="shared" si="17"/>
        <v>7602404</v>
      </c>
      <c r="N111" s="5">
        <f t="shared" si="20"/>
        <v>0.6388574789915966</v>
      </c>
      <c r="O111" s="80"/>
    </row>
    <row r="112" spans="1:15" ht="9.75">
      <c r="A112" s="148"/>
      <c r="B112" s="124"/>
      <c r="C112" s="18" t="s">
        <v>88</v>
      </c>
      <c r="D112" s="4">
        <v>27600</v>
      </c>
      <c r="E112" s="4"/>
      <c r="F112" s="4"/>
      <c r="G112" s="4"/>
      <c r="H112" s="7">
        <f t="shared" si="19"/>
        <v>27600</v>
      </c>
      <c r="I112" s="7">
        <v>18800</v>
      </c>
      <c r="J112" s="7"/>
      <c r="K112" s="7"/>
      <c r="L112" s="7"/>
      <c r="M112" s="7">
        <f t="shared" si="17"/>
        <v>18800</v>
      </c>
      <c r="N112" s="5">
        <f t="shared" si="20"/>
        <v>0.6811594202898551</v>
      </c>
      <c r="O112" s="80"/>
    </row>
    <row r="113" spans="1:15" ht="9.75">
      <c r="A113" s="148"/>
      <c r="B113" s="124"/>
      <c r="C113" s="18" t="s">
        <v>89</v>
      </c>
      <c r="D113" s="4">
        <v>3200</v>
      </c>
      <c r="E113" s="4"/>
      <c r="F113" s="4"/>
      <c r="G113" s="4"/>
      <c r="H113" s="7">
        <f t="shared" si="19"/>
        <v>3200</v>
      </c>
      <c r="I113" s="7">
        <v>1878</v>
      </c>
      <c r="J113" s="9"/>
      <c r="K113" s="9"/>
      <c r="L113" s="9"/>
      <c r="M113" s="7">
        <f t="shared" si="17"/>
        <v>1878</v>
      </c>
      <c r="N113" s="5">
        <f t="shared" si="20"/>
        <v>0.586875</v>
      </c>
      <c r="O113" s="80"/>
    </row>
    <row r="114" spans="1:15" ht="19.5">
      <c r="A114" s="148"/>
      <c r="B114" s="124"/>
      <c r="C114" s="18" t="s">
        <v>90</v>
      </c>
      <c r="D114" s="4">
        <v>1700000</v>
      </c>
      <c r="E114" s="4"/>
      <c r="F114" s="4"/>
      <c r="G114" s="4"/>
      <c r="H114" s="7">
        <f t="shared" si="19"/>
        <v>1700000</v>
      </c>
      <c r="I114" s="7">
        <v>1020720</v>
      </c>
      <c r="J114" s="7"/>
      <c r="K114" s="7"/>
      <c r="L114" s="7"/>
      <c r="M114" s="7">
        <f t="shared" si="17"/>
        <v>1020720</v>
      </c>
      <c r="N114" s="5">
        <f t="shared" si="20"/>
        <v>0.6004235294117647</v>
      </c>
      <c r="O114" s="80"/>
    </row>
    <row r="115" spans="1:15" ht="9.75">
      <c r="A115" s="148"/>
      <c r="B115" s="124"/>
      <c r="C115" s="18" t="s">
        <v>93</v>
      </c>
      <c r="D115" s="4">
        <v>3400000</v>
      </c>
      <c r="E115" s="4"/>
      <c r="F115" s="4"/>
      <c r="G115" s="4"/>
      <c r="H115" s="7">
        <f t="shared" si="19"/>
        <v>3400000</v>
      </c>
      <c r="I115" s="7">
        <f>1537031+1</f>
        <v>1537032</v>
      </c>
      <c r="J115" s="7"/>
      <c r="K115" s="7"/>
      <c r="L115" s="7"/>
      <c r="M115" s="7">
        <f t="shared" si="17"/>
        <v>1537032</v>
      </c>
      <c r="N115" s="5">
        <f t="shared" si="20"/>
        <v>0.45206823529411766</v>
      </c>
      <c r="O115" s="80"/>
    </row>
    <row r="116" spans="1:15" ht="9.75">
      <c r="A116" s="148"/>
      <c r="B116" s="124"/>
      <c r="C116" s="18" t="s">
        <v>94</v>
      </c>
      <c r="D116" s="4">
        <v>100000</v>
      </c>
      <c r="E116" s="4"/>
      <c r="F116" s="4"/>
      <c r="G116" s="4"/>
      <c r="H116" s="7">
        <f t="shared" si="19"/>
        <v>100000</v>
      </c>
      <c r="I116" s="7">
        <v>78210</v>
      </c>
      <c r="J116" s="7"/>
      <c r="K116" s="7"/>
      <c r="L116" s="7"/>
      <c r="M116" s="7">
        <f t="shared" si="17"/>
        <v>78210</v>
      </c>
      <c r="N116" s="5">
        <f t="shared" si="20"/>
        <v>0.7821</v>
      </c>
      <c r="O116" s="80"/>
    </row>
    <row r="117" spans="1:15" ht="9.75">
      <c r="A117" s="148"/>
      <c r="B117" s="124"/>
      <c r="C117" s="18" t="s">
        <v>95</v>
      </c>
      <c r="D117" s="4">
        <v>1450000</v>
      </c>
      <c r="E117" s="4"/>
      <c r="F117" s="4"/>
      <c r="G117" s="4"/>
      <c r="H117" s="7">
        <f t="shared" si="19"/>
        <v>1450000</v>
      </c>
      <c r="I117" s="7">
        <f>400151-1</f>
        <v>400150</v>
      </c>
      <c r="J117" s="7"/>
      <c r="K117" s="7"/>
      <c r="L117" s="7"/>
      <c r="M117" s="7">
        <f t="shared" si="17"/>
        <v>400150</v>
      </c>
      <c r="N117" s="5">
        <f t="shared" si="20"/>
        <v>0.2759655172413793</v>
      </c>
      <c r="O117" s="80"/>
    </row>
    <row r="118" spans="1:15" ht="9.75">
      <c r="A118" s="148"/>
      <c r="B118" s="124"/>
      <c r="C118" s="18" t="s">
        <v>96</v>
      </c>
      <c r="D118" s="4">
        <v>125200</v>
      </c>
      <c r="E118" s="4"/>
      <c r="F118" s="4"/>
      <c r="G118" s="4"/>
      <c r="H118" s="7">
        <f t="shared" si="19"/>
        <v>125200</v>
      </c>
      <c r="I118" s="7">
        <v>87433</v>
      </c>
      <c r="J118" s="7"/>
      <c r="K118" s="7"/>
      <c r="L118" s="7"/>
      <c r="M118" s="7">
        <f t="shared" si="17"/>
        <v>87433</v>
      </c>
      <c r="N118" s="5">
        <f t="shared" si="20"/>
        <v>0.6983466453674121</v>
      </c>
      <c r="O118" s="80"/>
    </row>
    <row r="119" spans="1:15" ht="20.25" customHeight="1">
      <c r="A119" s="148"/>
      <c r="B119" s="124"/>
      <c r="C119" s="18" t="s">
        <v>97</v>
      </c>
      <c r="D119" s="4">
        <v>6000</v>
      </c>
      <c r="E119" s="4"/>
      <c r="F119" s="4"/>
      <c r="G119" s="4"/>
      <c r="H119" s="7">
        <f t="shared" si="19"/>
        <v>6000</v>
      </c>
      <c r="I119" s="7">
        <v>3123</v>
      </c>
      <c r="J119" s="7"/>
      <c r="K119" s="7"/>
      <c r="L119" s="7"/>
      <c r="M119" s="7">
        <f t="shared" si="17"/>
        <v>3123</v>
      </c>
      <c r="N119" s="5">
        <f t="shared" si="20"/>
        <v>0.5205</v>
      </c>
      <c r="O119" s="80"/>
    </row>
    <row r="120" spans="1:15" ht="19.5" customHeight="1">
      <c r="A120" s="148"/>
      <c r="B120" s="124"/>
      <c r="C120" s="18" t="s">
        <v>91</v>
      </c>
      <c r="D120" s="4">
        <v>10900000</v>
      </c>
      <c r="E120" s="4"/>
      <c r="F120" s="4"/>
      <c r="G120" s="4"/>
      <c r="H120" s="7">
        <f t="shared" si="19"/>
        <v>10900000</v>
      </c>
      <c r="I120" s="7">
        <v>7324175</v>
      </c>
      <c r="J120" s="7"/>
      <c r="K120" s="7"/>
      <c r="L120" s="7"/>
      <c r="M120" s="7">
        <f t="shared" si="17"/>
        <v>7324175</v>
      </c>
      <c r="N120" s="5">
        <f t="shared" si="20"/>
        <v>0.6719426605504587</v>
      </c>
      <c r="O120" s="80"/>
    </row>
    <row r="121" spans="1:15" ht="10.5" customHeight="1">
      <c r="A121" s="148"/>
      <c r="B121" s="124"/>
      <c r="C121" s="18" t="s">
        <v>92</v>
      </c>
      <c r="D121" s="4">
        <v>2000</v>
      </c>
      <c r="E121" s="4"/>
      <c r="F121" s="4"/>
      <c r="G121" s="4"/>
      <c r="H121" s="7">
        <f t="shared" si="19"/>
        <v>2000</v>
      </c>
      <c r="I121" s="7">
        <v>1503</v>
      </c>
      <c r="J121" s="7"/>
      <c r="K121" s="7"/>
      <c r="L121" s="7"/>
      <c r="M121" s="7">
        <f t="shared" si="17"/>
        <v>1503</v>
      </c>
      <c r="N121" s="5">
        <f t="shared" si="20"/>
        <v>0.7515</v>
      </c>
      <c r="O121" s="80"/>
    </row>
    <row r="122" spans="1:15" ht="19.5">
      <c r="A122" s="148"/>
      <c r="B122" s="124"/>
      <c r="C122" s="22" t="s">
        <v>86</v>
      </c>
      <c r="D122" s="4">
        <v>500000</v>
      </c>
      <c r="E122" s="4"/>
      <c r="F122" s="4"/>
      <c r="G122" s="4"/>
      <c r="H122" s="7">
        <f t="shared" si="19"/>
        <v>500000</v>
      </c>
      <c r="I122" s="7">
        <v>207926</v>
      </c>
      <c r="J122" s="7"/>
      <c r="K122" s="7"/>
      <c r="L122" s="7"/>
      <c r="M122" s="7">
        <f t="shared" si="17"/>
        <v>207926</v>
      </c>
      <c r="N122" s="5">
        <f t="shared" si="20"/>
        <v>0.415852</v>
      </c>
      <c r="O122" s="80"/>
    </row>
    <row r="123" spans="1:15" ht="9.75">
      <c r="A123" s="148"/>
      <c r="B123" s="33" t="s">
        <v>143</v>
      </c>
      <c r="C123" s="29"/>
      <c r="D123" s="6">
        <f>SUM(D111:D122)</f>
        <v>30114000</v>
      </c>
      <c r="E123" s="6">
        <f>SUM(E111:E122)</f>
        <v>0</v>
      </c>
      <c r="F123" s="6">
        <f>SUM(F111:F122)</f>
        <v>0</v>
      </c>
      <c r="G123" s="6">
        <f>SUM(G111:G122)</f>
        <v>0</v>
      </c>
      <c r="H123" s="6">
        <f t="shared" si="19"/>
        <v>30114000</v>
      </c>
      <c r="I123" s="6">
        <f>SUM(I111:I122)</f>
        <v>18283354</v>
      </c>
      <c r="J123" s="6">
        <f>SUM(J111:J122)</f>
        <v>0</v>
      </c>
      <c r="K123" s="6">
        <f>SUM(K111:K122)</f>
        <v>0</v>
      </c>
      <c r="L123" s="6">
        <f>SUM(L111:L122)</f>
        <v>0</v>
      </c>
      <c r="M123" s="6">
        <f aca="true" t="shared" si="21" ref="M123:M157">SUM(I123:L123)</f>
        <v>18283354</v>
      </c>
      <c r="N123" s="28">
        <f t="shared" si="20"/>
        <v>0.6071380088995152</v>
      </c>
      <c r="O123" s="144"/>
    </row>
    <row r="124" spans="1:15" ht="9.75">
      <c r="A124" s="148"/>
      <c r="B124" s="124" t="s">
        <v>68</v>
      </c>
      <c r="C124" s="17" t="s">
        <v>98</v>
      </c>
      <c r="D124" s="4">
        <v>4738000</v>
      </c>
      <c r="E124" s="4"/>
      <c r="F124" s="4"/>
      <c r="G124" s="4"/>
      <c r="H124" s="7">
        <f t="shared" si="19"/>
        <v>4738000</v>
      </c>
      <c r="I124" s="7">
        <v>2434025</v>
      </c>
      <c r="J124" s="7"/>
      <c r="K124" s="7"/>
      <c r="L124" s="7"/>
      <c r="M124" s="7">
        <f t="shared" si="21"/>
        <v>2434025</v>
      </c>
      <c r="N124" s="5">
        <f t="shared" si="20"/>
        <v>0.5137241452089489</v>
      </c>
      <c r="O124" s="80"/>
    </row>
    <row r="125" spans="1:15" ht="9.75">
      <c r="A125" s="148"/>
      <c r="B125" s="124"/>
      <c r="C125" s="18" t="s">
        <v>81</v>
      </c>
      <c r="D125" s="4"/>
      <c r="E125" s="4">
        <v>4200000</v>
      </c>
      <c r="F125" s="4"/>
      <c r="G125" s="4"/>
      <c r="H125" s="7">
        <f t="shared" si="19"/>
        <v>4200000</v>
      </c>
      <c r="I125" s="7"/>
      <c r="J125" s="7">
        <v>3295847</v>
      </c>
      <c r="K125" s="7"/>
      <c r="L125" s="7"/>
      <c r="M125" s="7">
        <f t="shared" si="21"/>
        <v>3295847</v>
      </c>
      <c r="N125" s="5">
        <f t="shared" si="20"/>
        <v>0.7847254761904762</v>
      </c>
      <c r="O125" s="80"/>
    </row>
    <row r="126" spans="1:15" ht="18.75" customHeight="1">
      <c r="A126" s="148"/>
      <c r="B126" s="124"/>
      <c r="C126" s="18" t="s">
        <v>84</v>
      </c>
      <c r="D126" s="4">
        <f>3800000+100000</f>
        <v>3900000</v>
      </c>
      <c r="E126" s="4"/>
      <c r="F126" s="4"/>
      <c r="G126" s="4"/>
      <c r="H126" s="7">
        <f t="shared" si="19"/>
        <v>3900000</v>
      </c>
      <c r="I126" s="7">
        <f>3168221-1</f>
        <v>3168220</v>
      </c>
      <c r="J126" s="7"/>
      <c r="K126" s="7"/>
      <c r="L126" s="7"/>
      <c r="M126" s="7">
        <f t="shared" si="21"/>
        <v>3168220</v>
      </c>
      <c r="N126" s="5">
        <f t="shared" si="20"/>
        <v>0.8123641025641025</v>
      </c>
      <c r="O126" s="80"/>
    </row>
    <row r="127" spans="1:15" ht="9.75">
      <c r="A127" s="148"/>
      <c r="B127" s="124"/>
      <c r="C127" s="18" t="s">
        <v>71</v>
      </c>
      <c r="D127" s="4"/>
      <c r="E127" s="4"/>
      <c r="F127" s="4"/>
      <c r="G127" s="4"/>
      <c r="H127" s="7">
        <f t="shared" si="19"/>
        <v>0</v>
      </c>
      <c r="I127" s="7"/>
      <c r="J127" s="7"/>
      <c r="K127" s="7"/>
      <c r="L127" s="7"/>
      <c r="M127" s="7">
        <f t="shared" si="21"/>
        <v>0</v>
      </c>
      <c r="N127" s="5"/>
      <c r="O127" s="80"/>
    </row>
    <row r="128" spans="1:15" ht="18.75" customHeight="1">
      <c r="A128" s="148"/>
      <c r="B128" s="124"/>
      <c r="C128" s="22" t="s">
        <v>86</v>
      </c>
      <c r="D128" s="4">
        <v>40000</v>
      </c>
      <c r="E128" s="4"/>
      <c r="F128" s="4"/>
      <c r="G128" s="4"/>
      <c r="H128" s="7">
        <f t="shared" si="19"/>
        <v>40000</v>
      </c>
      <c r="I128" s="7">
        <v>9929</v>
      </c>
      <c r="J128" s="9"/>
      <c r="K128" s="9"/>
      <c r="L128" s="9"/>
      <c r="M128" s="7">
        <f t="shared" si="21"/>
        <v>9929</v>
      </c>
      <c r="N128" s="5">
        <f aca="true" t="shared" si="22" ref="N128:N144">M128/H128</f>
        <v>0.248225</v>
      </c>
      <c r="O128" s="80"/>
    </row>
    <row r="129" spans="1:15" ht="12" customHeight="1">
      <c r="A129" s="148"/>
      <c r="B129" s="33" t="s">
        <v>144</v>
      </c>
      <c r="C129" s="29"/>
      <c r="D129" s="6">
        <f>SUM(D124:D128)</f>
        <v>8678000</v>
      </c>
      <c r="E129" s="6">
        <f>SUM(E124:E128)</f>
        <v>4200000</v>
      </c>
      <c r="F129" s="6">
        <f>SUM(F124:F128)</f>
        <v>0</v>
      </c>
      <c r="G129" s="6">
        <f>SUM(G124:G128)</f>
        <v>0</v>
      </c>
      <c r="H129" s="6">
        <f t="shared" si="19"/>
        <v>12878000</v>
      </c>
      <c r="I129" s="6">
        <f>SUM(I124:I128)</f>
        <v>5612174</v>
      </c>
      <c r="J129" s="6">
        <f>SUM(J124:J128)</f>
        <v>3295847</v>
      </c>
      <c r="K129" s="6">
        <f>SUM(K124:K128)</f>
        <v>0</v>
      </c>
      <c r="L129" s="6">
        <f>SUM(L124:L128)</f>
        <v>0</v>
      </c>
      <c r="M129" s="6">
        <f t="shared" si="21"/>
        <v>8908021</v>
      </c>
      <c r="N129" s="28">
        <f t="shared" si="22"/>
        <v>0.6917239478179842</v>
      </c>
      <c r="O129" s="80"/>
    </row>
    <row r="130" spans="1:15" ht="18.75" customHeight="1">
      <c r="A130" s="148"/>
      <c r="B130" s="124" t="s">
        <v>31</v>
      </c>
      <c r="C130" s="17" t="s">
        <v>99</v>
      </c>
      <c r="D130" s="4">
        <f>137843412+923116</f>
        <v>138766528</v>
      </c>
      <c r="E130" s="4"/>
      <c r="F130" s="4"/>
      <c r="G130" s="4"/>
      <c r="H130" s="7">
        <f t="shared" si="19"/>
        <v>138766528</v>
      </c>
      <c r="I130" s="7">
        <v>59378316</v>
      </c>
      <c r="J130" s="9"/>
      <c r="K130" s="9"/>
      <c r="L130" s="9"/>
      <c r="M130" s="7">
        <f t="shared" si="21"/>
        <v>59378316</v>
      </c>
      <c r="N130" s="5">
        <f t="shared" si="22"/>
        <v>0.4279008551687623</v>
      </c>
      <c r="O130" s="80"/>
    </row>
    <row r="131" spans="1:15" ht="19.5">
      <c r="A131" s="148"/>
      <c r="B131" s="124"/>
      <c r="C131" s="22" t="s">
        <v>100</v>
      </c>
      <c r="D131" s="4">
        <v>10772284</v>
      </c>
      <c r="E131" s="4"/>
      <c r="F131" s="4"/>
      <c r="G131" s="4"/>
      <c r="H131" s="7">
        <f t="shared" si="19"/>
        <v>10772284</v>
      </c>
      <c r="I131" s="7">
        <v>4210803</v>
      </c>
      <c r="J131" s="7"/>
      <c r="K131" s="7"/>
      <c r="L131" s="7"/>
      <c r="M131" s="7">
        <f t="shared" si="21"/>
        <v>4210803</v>
      </c>
      <c r="N131" s="5">
        <f t="shared" si="22"/>
        <v>0.39089231215961256</v>
      </c>
      <c r="O131" s="80"/>
    </row>
    <row r="132" spans="1:15" ht="13.5" customHeight="1">
      <c r="A132" s="148"/>
      <c r="B132" s="33" t="s">
        <v>145</v>
      </c>
      <c r="C132" s="29"/>
      <c r="D132" s="6">
        <f>SUM(D130:D131)</f>
        <v>149538812</v>
      </c>
      <c r="E132" s="6">
        <f>SUM(E130:E131)</f>
        <v>0</v>
      </c>
      <c r="F132" s="6">
        <f>SUM(F130:F131)</f>
        <v>0</v>
      </c>
      <c r="G132" s="6">
        <f>SUM(G130:G131)</f>
        <v>0</v>
      </c>
      <c r="H132" s="6">
        <f t="shared" si="19"/>
        <v>149538812</v>
      </c>
      <c r="I132" s="6">
        <f>SUM(I130:I131)</f>
        <v>63589119</v>
      </c>
      <c r="J132" s="6">
        <f>SUM(J130:J131)</f>
        <v>0</v>
      </c>
      <c r="K132" s="6">
        <f>SUM(K130:K131)</f>
        <v>0</v>
      </c>
      <c r="L132" s="6">
        <f>SUM(L130:L131)</f>
        <v>0</v>
      </c>
      <c r="M132" s="6">
        <f t="shared" si="21"/>
        <v>63589119</v>
      </c>
      <c r="N132" s="28">
        <f t="shared" si="22"/>
        <v>0.4252348814968518</v>
      </c>
      <c r="O132" s="80"/>
    </row>
    <row r="133" spans="1:15" ht="19.5">
      <c r="A133" s="148"/>
      <c r="B133" s="124" t="s">
        <v>32</v>
      </c>
      <c r="C133" s="17" t="s">
        <v>99</v>
      </c>
      <c r="D133" s="4"/>
      <c r="E133" s="4">
        <f>39676916+265710</f>
        <v>39942626</v>
      </c>
      <c r="F133" s="4"/>
      <c r="G133" s="4"/>
      <c r="H133" s="7">
        <f t="shared" si="19"/>
        <v>39942626</v>
      </c>
      <c r="I133" s="7"/>
      <c r="J133" s="7">
        <v>17091588</v>
      </c>
      <c r="K133" s="7"/>
      <c r="L133" s="7"/>
      <c r="M133" s="7">
        <f t="shared" si="21"/>
        <v>17091588</v>
      </c>
      <c r="N133" s="5">
        <f t="shared" si="22"/>
        <v>0.4279034633326312</v>
      </c>
      <c r="O133" s="80"/>
    </row>
    <row r="134" spans="1:15" ht="19.5">
      <c r="A134" s="148"/>
      <c r="B134" s="124"/>
      <c r="C134" s="22" t="s">
        <v>100</v>
      </c>
      <c r="D134" s="4"/>
      <c r="E134" s="4">
        <v>2630600</v>
      </c>
      <c r="F134" s="4"/>
      <c r="G134" s="4"/>
      <c r="H134" s="7">
        <f t="shared" si="19"/>
        <v>2630600</v>
      </c>
      <c r="I134" s="7"/>
      <c r="J134" s="7">
        <v>911724</v>
      </c>
      <c r="K134" s="7"/>
      <c r="L134" s="7"/>
      <c r="M134" s="7">
        <f t="shared" si="21"/>
        <v>911724</v>
      </c>
      <c r="N134" s="5">
        <f t="shared" si="22"/>
        <v>0.3465840492663271</v>
      </c>
      <c r="O134" s="80"/>
    </row>
    <row r="135" spans="1:15" ht="9.75">
      <c r="A135" s="148"/>
      <c r="B135" s="37" t="s">
        <v>146</v>
      </c>
      <c r="C135" s="34"/>
      <c r="D135" s="6">
        <f>SUM(D133:D134)</f>
        <v>0</v>
      </c>
      <c r="E135" s="6">
        <f>SUM(E133:E134)</f>
        <v>42573226</v>
      </c>
      <c r="F135" s="6">
        <f>SUM(F133:F134)</f>
        <v>0</v>
      </c>
      <c r="G135" s="6">
        <f>SUM(G133:G134)</f>
        <v>0</v>
      </c>
      <c r="H135" s="6">
        <f t="shared" si="19"/>
        <v>42573226</v>
      </c>
      <c r="I135" s="6">
        <f>SUM(I133:I134)</f>
        <v>0</v>
      </c>
      <c r="J135" s="6">
        <f>SUM(J133:J134)</f>
        <v>18003312</v>
      </c>
      <c r="K135" s="6">
        <f>SUM(K133:K134)</f>
        <v>0</v>
      </c>
      <c r="L135" s="6">
        <f>SUM(L133:L134)</f>
        <v>0</v>
      </c>
      <c r="M135" s="6">
        <f t="shared" si="21"/>
        <v>18003312</v>
      </c>
      <c r="N135" s="28">
        <f t="shared" si="22"/>
        <v>0.42287873603940657</v>
      </c>
      <c r="O135" s="80"/>
    </row>
    <row r="136" spans="1:15" ht="12" customHeight="1">
      <c r="A136" s="26" t="s">
        <v>147</v>
      </c>
      <c r="B136" s="38"/>
      <c r="C136" s="24"/>
      <c r="D136" s="25">
        <f>SUM(D135,D132,D129,D123,D110,D102)</f>
        <v>271956012</v>
      </c>
      <c r="E136" s="25">
        <f>SUM(E135,E132,E129,E123,E110,E102)</f>
        <v>46773226</v>
      </c>
      <c r="F136" s="25">
        <f>SUM(F135,F132,F129,F123,F110,F102)</f>
        <v>0</v>
      </c>
      <c r="G136" s="25">
        <f>SUM(G135,G132,G129,G123,G110,G102)</f>
        <v>0</v>
      </c>
      <c r="H136" s="25">
        <f t="shared" si="19"/>
        <v>318729238</v>
      </c>
      <c r="I136" s="25">
        <f>SUM(I135,I132,I129,I123,I110,I102)</f>
        <v>128984388</v>
      </c>
      <c r="J136" s="25">
        <f>SUM(J135,J132,J129,J123,J110,J102)</f>
        <v>21299159</v>
      </c>
      <c r="K136" s="25">
        <f>SUM(K135,K132,K129,K123,K110,K102)</f>
        <v>0</v>
      </c>
      <c r="L136" s="25">
        <f>SUM(L135,L132,L129,L123,L110,L102)</f>
        <v>0</v>
      </c>
      <c r="M136" s="25">
        <f t="shared" si="21"/>
        <v>150283547</v>
      </c>
      <c r="N136" s="30">
        <f t="shared" si="22"/>
        <v>0.4715085065399617</v>
      </c>
      <c r="O136" s="80"/>
    </row>
    <row r="137" spans="1:15" ht="39" customHeight="1">
      <c r="A137" s="152" t="s">
        <v>33</v>
      </c>
      <c r="B137" s="23" t="s">
        <v>34</v>
      </c>
      <c r="C137" s="27" t="s">
        <v>148</v>
      </c>
      <c r="D137" s="4">
        <f>70446038-2286984</f>
        <v>68159054</v>
      </c>
      <c r="E137" s="4">
        <f>61525907-1221568</f>
        <v>60304339</v>
      </c>
      <c r="F137" s="4"/>
      <c r="G137" s="4"/>
      <c r="H137" s="7">
        <f aca="true" t="shared" si="23" ref="H137:H171">SUM(D137:G137)</f>
        <v>128463393</v>
      </c>
      <c r="I137" s="7">
        <v>41944032</v>
      </c>
      <c r="J137" s="7">
        <v>37110362</v>
      </c>
      <c r="K137" s="9"/>
      <c r="L137" s="9"/>
      <c r="M137" s="7">
        <f t="shared" si="21"/>
        <v>79054394</v>
      </c>
      <c r="N137" s="5">
        <f t="shared" si="22"/>
        <v>0.6153846022111529</v>
      </c>
      <c r="O137" s="80"/>
    </row>
    <row r="138" spans="1:15" ht="10.5" customHeight="1">
      <c r="A138" s="148"/>
      <c r="B138" s="33" t="s">
        <v>149</v>
      </c>
      <c r="C138" s="29"/>
      <c r="D138" s="6">
        <f>SUM(D137)</f>
        <v>68159054</v>
      </c>
      <c r="E138" s="6">
        <f>SUM(E137)</f>
        <v>60304339</v>
      </c>
      <c r="F138" s="6">
        <f>SUM(F137)</f>
        <v>0</v>
      </c>
      <c r="G138" s="6">
        <f>SUM(G137)</f>
        <v>0</v>
      </c>
      <c r="H138" s="6">
        <f t="shared" si="23"/>
        <v>128463393</v>
      </c>
      <c r="I138" s="6">
        <f>SUM(I137)</f>
        <v>41944032</v>
      </c>
      <c r="J138" s="6">
        <f>SUM(J137)</f>
        <v>37110362</v>
      </c>
      <c r="K138" s="6">
        <f>SUM(K137)</f>
        <v>0</v>
      </c>
      <c r="L138" s="6">
        <f>SUM(L137)</f>
        <v>0</v>
      </c>
      <c r="M138" s="6">
        <f t="shared" si="21"/>
        <v>79054394</v>
      </c>
      <c r="N138" s="28">
        <f t="shared" si="22"/>
        <v>0.6153846022111529</v>
      </c>
      <c r="O138" s="80"/>
    </row>
    <row r="139" spans="1:15" ht="39" customHeight="1">
      <c r="A139" s="152"/>
      <c r="B139" s="23" t="s">
        <v>268</v>
      </c>
      <c r="C139" s="27" t="s">
        <v>270</v>
      </c>
      <c r="D139" s="4"/>
      <c r="E139" s="4">
        <v>6500000</v>
      </c>
      <c r="F139" s="4"/>
      <c r="G139" s="4"/>
      <c r="H139" s="7">
        <f>SUM(D139:G139)</f>
        <v>6500000</v>
      </c>
      <c r="I139" s="7"/>
      <c r="J139" s="7"/>
      <c r="K139" s="9"/>
      <c r="L139" s="9"/>
      <c r="M139" s="7">
        <f>SUM(I139:L139)</f>
        <v>0</v>
      </c>
      <c r="N139" s="5">
        <f>M139/H139</f>
        <v>0</v>
      </c>
      <c r="O139" s="80"/>
    </row>
    <row r="140" spans="1:15" ht="10.5" customHeight="1">
      <c r="A140" s="148"/>
      <c r="B140" s="107" t="s">
        <v>269</v>
      </c>
      <c r="C140" s="107"/>
      <c r="D140" s="6">
        <f>SUM(D139)</f>
        <v>0</v>
      </c>
      <c r="E140" s="6">
        <f>SUM(E139)</f>
        <v>6500000</v>
      </c>
      <c r="F140" s="6">
        <f>SUM(F139)</f>
        <v>0</v>
      </c>
      <c r="G140" s="6">
        <f>SUM(G139)</f>
        <v>0</v>
      </c>
      <c r="H140" s="6">
        <f>SUM(D140:G140)</f>
        <v>6500000</v>
      </c>
      <c r="I140" s="6">
        <f>SUM(I139)</f>
        <v>0</v>
      </c>
      <c r="J140" s="6">
        <f>SUM(J139)</f>
        <v>0</v>
      </c>
      <c r="K140" s="6">
        <f>SUM(K139)</f>
        <v>0</v>
      </c>
      <c r="L140" s="6">
        <f>SUM(L139)</f>
        <v>0</v>
      </c>
      <c r="M140" s="6">
        <f>SUM(I140:L140)</f>
        <v>0</v>
      </c>
      <c r="N140" s="28">
        <f>M140/H140</f>
        <v>0</v>
      </c>
      <c r="O140" s="80"/>
    </row>
    <row r="141" spans="1:15" ht="18.75" customHeight="1">
      <c r="A141" s="148"/>
      <c r="B141" s="23" t="s">
        <v>35</v>
      </c>
      <c r="C141" s="27" t="s">
        <v>72</v>
      </c>
      <c r="D141" s="4">
        <v>700000</v>
      </c>
      <c r="E141" s="4"/>
      <c r="F141" s="4"/>
      <c r="G141" s="4"/>
      <c r="H141" s="7">
        <f t="shared" si="23"/>
        <v>700000</v>
      </c>
      <c r="I141" s="7">
        <f>967817-1</f>
        <v>967816</v>
      </c>
      <c r="J141" s="7">
        <v>204</v>
      </c>
      <c r="K141" s="7"/>
      <c r="L141" s="7"/>
      <c r="M141" s="7">
        <f t="shared" si="21"/>
        <v>968020</v>
      </c>
      <c r="N141" s="5">
        <f t="shared" si="22"/>
        <v>1.3828857142857143</v>
      </c>
      <c r="O141" s="80"/>
    </row>
    <row r="142" spans="1:15" ht="9.75">
      <c r="A142" s="148"/>
      <c r="B142" s="33" t="s">
        <v>150</v>
      </c>
      <c r="C142" s="29"/>
      <c r="D142" s="6">
        <f>SUM(D141)</f>
        <v>700000</v>
      </c>
      <c r="E142" s="6">
        <f>SUM(E141)</f>
        <v>0</v>
      </c>
      <c r="F142" s="6">
        <f>SUM(F141)</f>
        <v>0</v>
      </c>
      <c r="G142" s="6">
        <f>SUM(G141)</f>
        <v>0</v>
      </c>
      <c r="H142" s="6">
        <f t="shared" si="23"/>
        <v>700000</v>
      </c>
      <c r="I142" s="6">
        <f>SUM(I141)</f>
        <v>967816</v>
      </c>
      <c r="J142" s="6">
        <f>SUM(J141)</f>
        <v>204</v>
      </c>
      <c r="K142" s="6">
        <f>SUM(K141)</f>
        <v>0</v>
      </c>
      <c r="L142" s="6">
        <f>SUM(L141)</f>
        <v>0</v>
      </c>
      <c r="M142" s="6">
        <f t="shared" si="21"/>
        <v>968020</v>
      </c>
      <c r="N142" s="28">
        <f t="shared" si="22"/>
        <v>1.3828857142857143</v>
      </c>
      <c r="O142" s="80"/>
    </row>
    <row r="143" spans="1:15" ht="9.75" customHeight="1" hidden="1">
      <c r="A143" s="149"/>
      <c r="B143" s="18" t="s">
        <v>205</v>
      </c>
      <c r="C143" s="50" t="s">
        <v>71</v>
      </c>
      <c r="D143" s="13"/>
      <c r="E143" s="13"/>
      <c r="F143" s="13"/>
      <c r="G143" s="13"/>
      <c r="H143" s="7">
        <f t="shared" si="23"/>
        <v>0</v>
      </c>
      <c r="I143" s="7"/>
      <c r="J143" s="13"/>
      <c r="K143" s="13"/>
      <c r="L143" s="13"/>
      <c r="M143" s="7">
        <f t="shared" si="21"/>
        <v>0</v>
      </c>
      <c r="N143" s="5" t="e">
        <f t="shared" si="22"/>
        <v>#DIV/0!</v>
      </c>
      <c r="O143" s="80"/>
    </row>
    <row r="144" spans="1:15" ht="9.75" hidden="1">
      <c r="A144" s="149"/>
      <c r="B144" s="18"/>
      <c r="C144" s="18" t="s">
        <v>72</v>
      </c>
      <c r="D144" s="13"/>
      <c r="E144" s="13"/>
      <c r="F144" s="13"/>
      <c r="G144" s="13"/>
      <c r="H144" s="7">
        <f t="shared" si="23"/>
        <v>0</v>
      </c>
      <c r="I144" s="7"/>
      <c r="J144" s="13"/>
      <c r="K144" s="13"/>
      <c r="L144" s="13"/>
      <c r="M144" s="7">
        <f t="shared" si="21"/>
        <v>0</v>
      </c>
      <c r="N144" s="5" t="e">
        <f t="shared" si="22"/>
        <v>#DIV/0!</v>
      </c>
      <c r="O144" s="80"/>
    </row>
    <row r="145" spans="1:15" ht="19.5" customHeight="1">
      <c r="A145" s="148"/>
      <c r="B145" s="18" t="s">
        <v>205</v>
      </c>
      <c r="C145" s="158" t="s">
        <v>207</v>
      </c>
      <c r="D145" s="4"/>
      <c r="E145" s="90"/>
      <c r="F145" s="90"/>
      <c r="G145" s="90"/>
      <c r="H145" s="7">
        <f t="shared" si="23"/>
        <v>0</v>
      </c>
      <c r="I145" s="7">
        <v>40047</v>
      </c>
      <c r="J145" s="7"/>
      <c r="K145" s="7"/>
      <c r="L145" s="7"/>
      <c r="M145" s="7">
        <f t="shared" si="21"/>
        <v>40047</v>
      </c>
      <c r="N145" s="5"/>
      <c r="O145" s="80"/>
    </row>
    <row r="146" spans="1:15" ht="9.75">
      <c r="A146" s="148"/>
      <c r="B146" s="33" t="s">
        <v>206</v>
      </c>
      <c r="C146" s="29"/>
      <c r="D146" s="6">
        <f>SUM(D145)</f>
        <v>0</v>
      </c>
      <c r="E146" s="6">
        <f>SUM(E145)</f>
        <v>0</v>
      </c>
      <c r="F146" s="6">
        <f>SUM(F145)</f>
        <v>0</v>
      </c>
      <c r="G146" s="6">
        <f>SUM(G145)</f>
        <v>0</v>
      </c>
      <c r="H146" s="6">
        <f t="shared" si="23"/>
        <v>0</v>
      </c>
      <c r="I146" s="6">
        <f>SUM(I143:I145)</f>
        <v>40047</v>
      </c>
      <c r="J146" s="6">
        <f>SUM(J143:J145)</f>
        <v>0</v>
      </c>
      <c r="K146" s="6">
        <f>SUM(K143:K145)</f>
        <v>0</v>
      </c>
      <c r="L146" s="6">
        <f>SUM(L143:L145)</f>
        <v>0</v>
      </c>
      <c r="M146" s="6">
        <f t="shared" si="21"/>
        <v>40047</v>
      </c>
      <c r="N146" s="28"/>
      <c r="O146" s="80"/>
    </row>
    <row r="147" spans="1:15" ht="30" customHeight="1">
      <c r="A147" s="148"/>
      <c r="B147" s="23" t="s">
        <v>151</v>
      </c>
      <c r="C147" s="27" t="s">
        <v>148</v>
      </c>
      <c r="D147" s="4"/>
      <c r="E147" s="4">
        <v>604865</v>
      </c>
      <c r="F147" s="4"/>
      <c r="G147" s="4"/>
      <c r="H147" s="7">
        <f t="shared" si="23"/>
        <v>604865</v>
      </c>
      <c r="I147" s="7"/>
      <c r="J147" s="7">
        <v>302433</v>
      </c>
      <c r="K147" s="7"/>
      <c r="L147" s="7"/>
      <c r="M147" s="7">
        <f t="shared" si="21"/>
        <v>302433</v>
      </c>
      <c r="N147" s="5">
        <f aca="true" t="shared" si="24" ref="N147:N158">M147/H147</f>
        <v>0.5000008266307358</v>
      </c>
      <c r="O147" s="80"/>
    </row>
    <row r="148" spans="1:15" ht="9.75">
      <c r="A148" s="148"/>
      <c r="B148" s="37" t="s">
        <v>152</v>
      </c>
      <c r="C148" s="34"/>
      <c r="D148" s="6">
        <f>SUM(D147)</f>
        <v>0</v>
      </c>
      <c r="E148" s="6">
        <f>SUM(E147)</f>
        <v>604865</v>
      </c>
      <c r="F148" s="6">
        <f>SUM(F147)</f>
        <v>0</v>
      </c>
      <c r="G148" s="6">
        <f>SUM(G147)</f>
        <v>0</v>
      </c>
      <c r="H148" s="6">
        <f t="shared" si="23"/>
        <v>604865</v>
      </c>
      <c r="I148" s="6">
        <f>SUM(I147)</f>
        <v>0</v>
      </c>
      <c r="J148" s="6">
        <f>SUM(J147)</f>
        <v>302433</v>
      </c>
      <c r="K148" s="6">
        <f>SUM(K147)</f>
        <v>0</v>
      </c>
      <c r="L148" s="6">
        <f>SUM(L147)</f>
        <v>0</v>
      </c>
      <c r="M148" s="6">
        <f t="shared" si="21"/>
        <v>302433</v>
      </c>
      <c r="N148" s="28">
        <f t="shared" si="24"/>
        <v>0.5000008266307358</v>
      </c>
      <c r="O148" s="80"/>
    </row>
    <row r="149" spans="1:15" ht="11.25">
      <c r="A149" s="35" t="s">
        <v>36</v>
      </c>
      <c r="B149" s="36"/>
      <c r="C149" s="24"/>
      <c r="D149" s="25">
        <f>SUM(D148,D146,D138,D140,D142)</f>
        <v>68859054</v>
      </c>
      <c r="E149" s="25">
        <f>SUM(E148,E146,E138,E140,E142)</f>
        <v>67409204</v>
      </c>
      <c r="F149" s="25">
        <f>SUM(F148,F146,F138,F140,F142)</f>
        <v>0</v>
      </c>
      <c r="G149" s="25">
        <f>SUM(G148,G146,G138,G140,G142)</f>
        <v>0</v>
      </c>
      <c r="H149" s="25">
        <f t="shared" si="23"/>
        <v>136268258</v>
      </c>
      <c r="I149" s="25">
        <f>SUM(I148,I146,I142,I140,I138)</f>
        <v>42951895</v>
      </c>
      <c r="J149" s="25">
        <f>SUM(J148,J146,J142,J140,J138)</f>
        <v>37412999</v>
      </c>
      <c r="K149" s="25">
        <f>SUM(K148,K146,K142,K140,K138)</f>
        <v>0</v>
      </c>
      <c r="L149" s="25">
        <f>SUM(L148,L146,L142,L140,L138)</f>
        <v>0</v>
      </c>
      <c r="M149" s="25">
        <f t="shared" si="21"/>
        <v>80364894</v>
      </c>
      <c r="N149" s="30">
        <f t="shared" si="24"/>
        <v>0.5897550550620527</v>
      </c>
      <c r="O149" s="80"/>
    </row>
    <row r="150" spans="1:15" ht="57" customHeight="1">
      <c r="A150" s="159" t="s">
        <v>37</v>
      </c>
      <c r="B150" s="120" t="s">
        <v>38</v>
      </c>
      <c r="C150" s="18" t="s">
        <v>104</v>
      </c>
      <c r="D150" s="4">
        <f>1035741+2000</f>
        <v>1037741</v>
      </c>
      <c r="E150" s="4"/>
      <c r="F150" s="4"/>
      <c r="G150" s="4"/>
      <c r="H150" s="7">
        <f t="shared" si="23"/>
        <v>1037741</v>
      </c>
      <c r="I150" s="7">
        <f>615871+1</f>
        <v>615872</v>
      </c>
      <c r="J150" s="7"/>
      <c r="K150" s="7"/>
      <c r="L150" s="7"/>
      <c r="M150" s="7">
        <f t="shared" si="21"/>
        <v>615872</v>
      </c>
      <c r="N150" s="8">
        <f t="shared" si="24"/>
        <v>0.5934737087577729</v>
      </c>
      <c r="O150" s="80"/>
    </row>
    <row r="151" spans="1:15" ht="9" customHeight="1">
      <c r="A151" s="160"/>
      <c r="B151" s="121"/>
      <c r="C151" s="18" t="s">
        <v>193</v>
      </c>
      <c r="D151" s="4">
        <f>389871-262615-3405</f>
        <v>123851</v>
      </c>
      <c r="E151" s="4"/>
      <c r="F151" s="4"/>
      <c r="G151" s="4"/>
      <c r="H151" s="7">
        <f t="shared" si="23"/>
        <v>123851</v>
      </c>
      <c r="I151" s="7">
        <v>123850</v>
      </c>
      <c r="J151" s="7"/>
      <c r="K151" s="7"/>
      <c r="L151" s="7"/>
      <c r="M151" s="7">
        <f t="shared" si="21"/>
        <v>123850</v>
      </c>
      <c r="N151" s="8">
        <f t="shared" si="24"/>
        <v>0.9999919257817862</v>
      </c>
      <c r="O151" s="80"/>
    </row>
    <row r="152" spans="1:15" ht="9" customHeight="1">
      <c r="A152" s="160"/>
      <c r="B152" s="121"/>
      <c r="C152" s="18" t="s">
        <v>72</v>
      </c>
      <c r="D152" s="4">
        <f>2351+65</f>
        <v>2416</v>
      </c>
      <c r="E152" s="4"/>
      <c r="F152" s="4"/>
      <c r="G152" s="4"/>
      <c r="H152" s="7">
        <f t="shared" si="23"/>
        <v>2416</v>
      </c>
      <c r="I152" s="7">
        <f>53869+1</f>
        <v>53870</v>
      </c>
      <c r="J152" s="7"/>
      <c r="K152" s="7"/>
      <c r="L152" s="7"/>
      <c r="M152" s="7">
        <f t="shared" si="21"/>
        <v>53870</v>
      </c>
      <c r="N152" s="8">
        <f t="shared" si="24"/>
        <v>22.297185430463575</v>
      </c>
      <c r="O152" s="80"/>
    </row>
    <row r="153" spans="1:15" ht="17.25" customHeight="1">
      <c r="A153" s="160"/>
      <c r="B153" s="121"/>
      <c r="C153" s="18" t="s">
        <v>208</v>
      </c>
      <c r="D153" s="4">
        <f>72916+4787</f>
        <v>77703</v>
      </c>
      <c r="E153" s="4"/>
      <c r="F153" s="4"/>
      <c r="G153" s="4"/>
      <c r="H153" s="7">
        <f t="shared" si="23"/>
        <v>77703</v>
      </c>
      <c r="I153" s="7">
        <v>77803</v>
      </c>
      <c r="J153" s="7"/>
      <c r="K153" s="7"/>
      <c r="L153" s="7"/>
      <c r="M153" s="7">
        <f t="shared" si="21"/>
        <v>77803</v>
      </c>
      <c r="N153" s="8">
        <f t="shared" si="24"/>
        <v>1.0012869515977505</v>
      </c>
      <c r="O153" s="80"/>
    </row>
    <row r="154" spans="1:15" ht="9.75">
      <c r="A154" s="152"/>
      <c r="B154" s="121"/>
      <c r="C154" s="18" t="s">
        <v>74</v>
      </c>
      <c r="D154" s="4">
        <f>6770+23</f>
        <v>6793</v>
      </c>
      <c r="E154" s="4"/>
      <c r="F154" s="4"/>
      <c r="G154" s="4"/>
      <c r="H154" s="7">
        <f t="shared" si="23"/>
        <v>6793</v>
      </c>
      <c r="I154" s="7">
        <f>8536-1</f>
        <v>8535</v>
      </c>
      <c r="J154" s="7"/>
      <c r="K154" s="7"/>
      <c r="L154" s="7"/>
      <c r="M154" s="7">
        <f t="shared" si="21"/>
        <v>8535</v>
      </c>
      <c r="N154" s="8">
        <f t="shared" si="24"/>
        <v>1.2564404534079199</v>
      </c>
      <c r="O154" s="80"/>
    </row>
    <row r="155" spans="1:15" ht="29.25" customHeight="1">
      <c r="A155" s="152"/>
      <c r="B155" s="121"/>
      <c r="C155" s="18" t="s">
        <v>101</v>
      </c>
      <c r="D155" s="4">
        <v>17888</v>
      </c>
      <c r="E155" s="4"/>
      <c r="F155" s="4"/>
      <c r="G155" s="4"/>
      <c r="H155" s="7">
        <f t="shared" si="23"/>
        <v>17888</v>
      </c>
      <c r="I155" s="7">
        <v>17888</v>
      </c>
      <c r="J155" s="7"/>
      <c r="K155" s="7"/>
      <c r="L155" s="7"/>
      <c r="M155" s="7">
        <f t="shared" si="21"/>
        <v>17888</v>
      </c>
      <c r="N155" s="8">
        <f t="shared" si="24"/>
        <v>1</v>
      </c>
      <c r="O155" s="80"/>
    </row>
    <row r="156" spans="1:15" ht="18.75" customHeight="1">
      <c r="A156" s="152"/>
      <c r="B156" s="122"/>
      <c r="C156" s="18" t="s">
        <v>204</v>
      </c>
      <c r="D156" s="4">
        <v>281204</v>
      </c>
      <c r="E156" s="4"/>
      <c r="F156" s="4"/>
      <c r="G156" s="4"/>
      <c r="H156" s="7">
        <f t="shared" si="23"/>
        <v>281204</v>
      </c>
      <c r="I156" s="7">
        <v>281233</v>
      </c>
      <c r="J156" s="7"/>
      <c r="K156" s="7"/>
      <c r="L156" s="7"/>
      <c r="M156" s="7">
        <f t="shared" si="21"/>
        <v>281233</v>
      </c>
      <c r="N156" s="8">
        <f t="shared" si="24"/>
        <v>1.0001031279782648</v>
      </c>
      <c r="O156" s="80"/>
    </row>
    <row r="157" spans="1:15" ht="9.75">
      <c r="A157" s="148"/>
      <c r="B157" s="33" t="s">
        <v>153</v>
      </c>
      <c r="C157" s="29"/>
      <c r="D157" s="6">
        <f>SUM(D150:D156)</f>
        <v>1547596</v>
      </c>
      <c r="E157" s="6">
        <f>SUM(E150:E156)</f>
        <v>0</v>
      </c>
      <c r="F157" s="6">
        <f>SUM(F150:F156)</f>
        <v>0</v>
      </c>
      <c r="G157" s="6">
        <f>SUM(G150:G156)</f>
        <v>0</v>
      </c>
      <c r="H157" s="6">
        <f t="shared" si="23"/>
        <v>1547596</v>
      </c>
      <c r="I157" s="6">
        <f>SUM(I150:I156)</f>
        <v>1179051</v>
      </c>
      <c r="J157" s="6">
        <f>SUM(J150:J156)</f>
        <v>0</v>
      </c>
      <c r="K157" s="6">
        <f>SUM(K150:K156)</f>
        <v>0</v>
      </c>
      <c r="L157" s="6">
        <f>SUM(L150:L156)</f>
        <v>0</v>
      </c>
      <c r="M157" s="6">
        <f t="shared" si="21"/>
        <v>1179051</v>
      </c>
      <c r="N157" s="28">
        <f t="shared" si="24"/>
        <v>0.7618596843103755</v>
      </c>
      <c r="O157" s="80"/>
    </row>
    <row r="158" spans="1:15" ht="48.75" customHeight="1">
      <c r="A158" s="148"/>
      <c r="B158" s="120" t="s">
        <v>39</v>
      </c>
      <c r="C158" s="18" t="s">
        <v>104</v>
      </c>
      <c r="D158" s="4"/>
      <c r="E158" s="4">
        <v>35000</v>
      </c>
      <c r="F158" s="4"/>
      <c r="G158" s="4"/>
      <c r="H158" s="7">
        <f t="shared" si="23"/>
        <v>35000</v>
      </c>
      <c r="I158" s="13"/>
      <c r="J158" s="7">
        <f>17119-1</f>
        <v>17118</v>
      </c>
      <c r="K158" s="13"/>
      <c r="L158" s="13"/>
      <c r="M158" s="7">
        <f aca="true" t="shared" si="25" ref="M158:M189">SUM(I158:L158)</f>
        <v>17118</v>
      </c>
      <c r="N158" s="5">
        <f t="shared" si="24"/>
        <v>0.4890857142857143</v>
      </c>
      <c r="O158" s="80"/>
    </row>
    <row r="159" spans="1:15" ht="9.75">
      <c r="A159" s="148"/>
      <c r="B159" s="121"/>
      <c r="C159" s="18" t="s">
        <v>193</v>
      </c>
      <c r="D159" s="4"/>
      <c r="E159" s="4">
        <f>100-100</f>
        <v>0</v>
      </c>
      <c r="F159" s="4"/>
      <c r="G159" s="4"/>
      <c r="H159" s="7">
        <f t="shared" si="23"/>
        <v>0</v>
      </c>
      <c r="I159" s="13"/>
      <c r="J159" s="13"/>
      <c r="K159" s="13"/>
      <c r="L159" s="13"/>
      <c r="M159" s="7">
        <f t="shared" si="25"/>
        <v>0</v>
      </c>
      <c r="N159" s="5"/>
      <c r="O159" s="80"/>
    </row>
    <row r="160" spans="1:15" ht="11.25" customHeight="1">
      <c r="A160" s="148"/>
      <c r="B160" s="121"/>
      <c r="C160" s="18" t="s">
        <v>72</v>
      </c>
      <c r="D160" s="4"/>
      <c r="E160" s="4">
        <v>23</v>
      </c>
      <c r="F160" s="4"/>
      <c r="G160" s="4"/>
      <c r="H160" s="7">
        <f t="shared" si="23"/>
        <v>23</v>
      </c>
      <c r="I160" s="13"/>
      <c r="J160" s="7">
        <f>1181+1</f>
        <v>1182</v>
      </c>
      <c r="K160" s="13"/>
      <c r="L160" s="13"/>
      <c r="M160" s="7">
        <f t="shared" si="25"/>
        <v>1182</v>
      </c>
      <c r="N160" s="5">
        <f>M160/H160</f>
        <v>51.391304347826086</v>
      </c>
      <c r="O160" s="80"/>
    </row>
    <row r="161" spans="1:15" ht="19.5">
      <c r="A161" s="148"/>
      <c r="B161" s="122"/>
      <c r="C161" s="18" t="s">
        <v>204</v>
      </c>
      <c r="D161" s="4"/>
      <c r="E161" s="4">
        <v>7062</v>
      </c>
      <c r="F161" s="4"/>
      <c r="G161" s="4"/>
      <c r="H161" s="7">
        <f t="shared" si="23"/>
        <v>7062</v>
      </c>
      <c r="I161" s="13"/>
      <c r="J161" s="7">
        <v>7062</v>
      </c>
      <c r="K161" s="13"/>
      <c r="L161" s="13"/>
      <c r="M161" s="7">
        <f t="shared" si="25"/>
        <v>7062</v>
      </c>
      <c r="N161" s="5">
        <f>M161/H161</f>
        <v>1</v>
      </c>
      <c r="O161" s="80"/>
    </row>
    <row r="162" spans="1:15" ht="9.75">
      <c r="A162" s="148"/>
      <c r="B162" s="33" t="s">
        <v>154</v>
      </c>
      <c r="C162" s="29"/>
      <c r="D162" s="6">
        <f>SUM(D158:D161)</f>
        <v>0</v>
      </c>
      <c r="E162" s="6">
        <f>SUM(E158:E161)</f>
        <v>42085</v>
      </c>
      <c r="F162" s="6">
        <f>SUM(F158:F161)</f>
        <v>0</v>
      </c>
      <c r="G162" s="6">
        <f>SUM(G158:G161)</f>
        <v>0</v>
      </c>
      <c r="H162" s="6">
        <f t="shared" si="23"/>
        <v>42085</v>
      </c>
      <c r="I162" s="6">
        <f>SUM(I158:I161)</f>
        <v>0</v>
      </c>
      <c r="J162" s="6">
        <f>SUM(J158:J161)</f>
        <v>25362</v>
      </c>
      <c r="K162" s="6">
        <f>SUM(K158:K161)</f>
        <v>0</v>
      </c>
      <c r="L162" s="6">
        <f>SUM(L158:L161)</f>
        <v>0</v>
      </c>
      <c r="M162" s="6">
        <f t="shared" si="25"/>
        <v>25362</v>
      </c>
      <c r="N162" s="28">
        <f>M162/H162</f>
        <v>0.602637519306166</v>
      </c>
      <c r="O162" s="80"/>
    </row>
    <row r="163" spans="1:15" ht="49.5" customHeight="1">
      <c r="A163" s="148"/>
      <c r="B163" s="120" t="s">
        <v>209</v>
      </c>
      <c r="C163" s="18" t="s">
        <v>104</v>
      </c>
      <c r="D163" s="4">
        <v>2541</v>
      </c>
      <c r="E163" s="4"/>
      <c r="F163" s="4"/>
      <c r="G163" s="4"/>
      <c r="H163" s="7">
        <f t="shared" si="23"/>
        <v>2541</v>
      </c>
      <c r="I163" s="7">
        <v>38791</v>
      </c>
      <c r="J163" s="13"/>
      <c r="K163" s="13"/>
      <c r="L163" s="13"/>
      <c r="M163" s="7">
        <f t="shared" si="25"/>
        <v>38791</v>
      </c>
      <c r="N163" s="5">
        <f>M163/H163</f>
        <v>15.26603699330972</v>
      </c>
      <c r="O163" s="80"/>
    </row>
    <row r="164" spans="1:15" ht="9.75">
      <c r="A164" s="148"/>
      <c r="B164" s="121"/>
      <c r="C164" s="18" t="s">
        <v>72</v>
      </c>
      <c r="D164" s="4"/>
      <c r="E164" s="4"/>
      <c r="F164" s="4"/>
      <c r="G164" s="4"/>
      <c r="H164" s="7">
        <f t="shared" si="23"/>
        <v>0</v>
      </c>
      <c r="I164" s="7">
        <v>7746</v>
      </c>
      <c r="J164" s="13"/>
      <c r="K164" s="13"/>
      <c r="L164" s="13"/>
      <c r="M164" s="7">
        <f t="shared" si="25"/>
        <v>7746</v>
      </c>
      <c r="N164" s="5"/>
      <c r="O164" s="80"/>
    </row>
    <row r="165" spans="1:15" ht="48" customHeight="1">
      <c r="A165" s="148"/>
      <c r="B165" s="121"/>
      <c r="C165" s="18" t="s">
        <v>235</v>
      </c>
      <c r="D165" s="4"/>
      <c r="E165" s="4"/>
      <c r="F165" s="4"/>
      <c r="G165" s="4"/>
      <c r="H165" s="7">
        <f t="shared" si="23"/>
        <v>0</v>
      </c>
      <c r="I165" s="7">
        <v>26340</v>
      </c>
      <c r="J165" s="13"/>
      <c r="K165" s="13"/>
      <c r="L165" s="13"/>
      <c r="M165" s="7">
        <f t="shared" si="25"/>
        <v>26340</v>
      </c>
      <c r="N165" s="5"/>
      <c r="O165" s="80"/>
    </row>
    <row r="166" spans="1:15" ht="39" hidden="1">
      <c r="A166" s="148"/>
      <c r="B166" s="121"/>
      <c r="C166" s="18" t="s">
        <v>83</v>
      </c>
      <c r="D166" s="4"/>
      <c r="E166" s="4"/>
      <c r="F166" s="4"/>
      <c r="G166" s="4"/>
      <c r="H166" s="7">
        <f t="shared" si="23"/>
        <v>0</v>
      </c>
      <c r="I166" s="7"/>
      <c r="J166" s="7"/>
      <c r="K166" s="13"/>
      <c r="L166" s="13"/>
      <c r="M166" s="7">
        <f t="shared" si="25"/>
        <v>0</v>
      </c>
      <c r="N166" s="5" t="e">
        <f>M166/H166</f>
        <v>#DIV/0!</v>
      </c>
      <c r="O166" s="80"/>
    </row>
    <row r="167" spans="1:15" ht="28.5" customHeight="1">
      <c r="A167" s="148"/>
      <c r="B167" s="122"/>
      <c r="C167" s="18" t="s">
        <v>211</v>
      </c>
      <c r="D167" s="4"/>
      <c r="E167" s="4"/>
      <c r="F167" s="4"/>
      <c r="G167" s="4"/>
      <c r="H167" s="7">
        <f t="shared" si="23"/>
        <v>0</v>
      </c>
      <c r="I167" s="7">
        <v>111461</v>
      </c>
      <c r="J167" s="13"/>
      <c r="K167" s="13"/>
      <c r="L167" s="13"/>
      <c r="M167" s="7">
        <f t="shared" si="25"/>
        <v>111461</v>
      </c>
      <c r="N167" s="5"/>
      <c r="O167" s="80"/>
    </row>
    <row r="168" spans="1:15" ht="9.75" customHeight="1">
      <c r="A168" s="148"/>
      <c r="B168" s="33" t="s">
        <v>210</v>
      </c>
      <c r="C168" s="29"/>
      <c r="D168" s="6">
        <f>SUM(D163:D167)</f>
        <v>2541</v>
      </c>
      <c r="E168" s="6">
        <f>SUM(E163:E167)</f>
        <v>0</v>
      </c>
      <c r="F168" s="6">
        <f>SUM(F163:F167)</f>
        <v>0</v>
      </c>
      <c r="G168" s="6">
        <f>SUM(G163:G167)</f>
        <v>0</v>
      </c>
      <c r="H168" s="6">
        <f t="shared" si="23"/>
        <v>2541</v>
      </c>
      <c r="I168" s="6">
        <f>SUM(I163:I167)</f>
        <v>184338</v>
      </c>
      <c r="J168" s="6">
        <f>SUM(J163:J167)</f>
        <v>0</v>
      </c>
      <c r="K168" s="6">
        <f>SUM(K163:K167)</f>
        <v>0</v>
      </c>
      <c r="L168" s="6">
        <f>SUM(L163:L167)</f>
        <v>0</v>
      </c>
      <c r="M168" s="6">
        <f t="shared" si="25"/>
        <v>184338</v>
      </c>
      <c r="N168" s="28">
        <f aca="true" t="shared" si="26" ref="N168:N186">M168/H168</f>
        <v>72.54545454545455</v>
      </c>
      <c r="O168" s="80"/>
    </row>
    <row r="169" spans="1:15" ht="10.5" customHeight="1">
      <c r="A169" s="149"/>
      <c r="B169" s="120" t="s">
        <v>40</v>
      </c>
      <c r="C169" s="18" t="s">
        <v>71</v>
      </c>
      <c r="D169" s="13"/>
      <c r="E169" s="13"/>
      <c r="F169" s="13"/>
      <c r="G169" s="13"/>
      <c r="H169" s="7">
        <f t="shared" si="23"/>
        <v>0</v>
      </c>
      <c r="I169" s="13">
        <v>104</v>
      </c>
      <c r="J169" s="13"/>
      <c r="K169" s="13"/>
      <c r="L169" s="13"/>
      <c r="M169" s="7">
        <f t="shared" si="25"/>
        <v>104</v>
      </c>
      <c r="N169" s="5"/>
      <c r="O169" s="80"/>
    </row>
    <row r="170" spans="1:15" ht="59.25" customHeight="1">
      <c r="A170" s="148"/>
      <c r="B170" s="121"/>
      <c r="C170" s="27" t="s">
        <v>104</v>
      </c>
      <c r="D170" s="4">
        <v>271286</v>
      </c>
      <c r="E170" s="4"/>
      <c r="F170" s="4"/>
      <c r="G170" s="4"/>
      <c r="H170" s="7">
        <f t="shared" si="23"/>
        <v>271286</v>
      </c>
      <c r="I170" s="7">
        <v>160780</v>
      </c>
      <c r="J170" s="7"/>
      <c r="K170" s="7"/>
      <c r="L170" s="7"/>
      <c r="M170" s="7">
        <f t="shared" si="25"/>
        <v>160780</v>
      </c>
      <c r="N170" s="5">
        <f t="shared" si="26"/>
        <v>0.5926586701857081</v>
      </c>
      <c r="O170" s="80"/>
    </row>
    <row r="171" spans="1:15" ht="9.75">
      <c r="A171" s="148"/>
      <c r="B171" s="121"/>
      <c r="C171" s="18" t="s">
        <v>193</v>
      </c>
      <c r="D171" s="4">
        <f>44865-38780-200</f>
        <v>5885</v>
      </c>
      <c r="E171" s="4"/>
      <c r="F171" s="4"/>
      <c r="G171" s="4"/>
      <c r="H171" s="7">
        <f t="shared" si="23"/>
        <v>5885</v>
      </c>
      <c r="I171" s="7">
        <v>5885</v>
      </c>
      <c r="J171" s="7"/>
      <c r="K171" s="7"/>
      <c r="L171" s="7"/>
      <c r="M171" s="7">
        <f t="shared" si="25"/>
        <v>5885</v>
      </c>
      <c r="N171" s="5">
        <f t="shared" si="26"/>
        <v>1</v>
      </c>
      <c r="O171" s="80"/>
    </row>
    <row r="172" spans="1:15" ht="12" customHeight="1">
      <c r="A172" s="148"/>
      <c r="B172" s="121"/>
      <c r="C172" s="18" t="s">
        <v>72</v>
      </c>
      <c r="D172" s="4">
        <f>660-81</f>
        <v>579</v>
      </c>
      <c r="E172" s="4"/>
      <c r="F172" s="4"/>
      <c r="G172" s="4"/>
      <c r="H172" s="7">
        <f aca="true" t="shared" si="27" ref="H172:H203">SUM(D172:G172)</f>
        <v>579</v>
      </c>
      <c r="I172" s="7">
        <v>9916</v>
      </c>
      <c r="J172" s="7"/>
      <c r="K172" s="7"/>
      <c r="L172" s="7"/>
      <c r="M172" s="7">
        <f t="shared" si="25"/>
        <v>9916</v>
      </c>
      <c r="N172" s="5">
        <f t="shared" si="26"/>
        <v>17.126079447322972</v>
      </c>
      <c r="O172" s="80"/>
    </row>
    <row r="173" spans="1:15" ht="21.75" customHeight="1">
      <c r="A173" s="148"/>
      <c r="B173" s="121"/>
      <c r="C173" s="18" t="s">
        <v>208</v>
      </c>
      <c r="D173" s="4">
        <f>21392+200</f>
        <v>21592</v>
      </c>
      <c r="E173" s="4"/>
      <c r="F173" s="4"/>
      <c r="G173" s="4"/>
      <c r="H173" s="7">
        <f t="shared" si="27"/>
        <v>21592</v>
      </c>
      <c r="I173" s="7">
        <f>21592+1</f>
        <v>21593</v>
      </c>
      <c r="J173" s="7"/>
      <c r="K173" s="7"/>
      <c r="L173" s="7"/>
      <c r="M173" s="7">
        <f t="shared" si="25"/>
        <v>21593</v>
      </c>
      <c r="N173" s="5">
        <f t="shared" si="26"/>
        <v>1.0000463134494257</v>
      </c>
      <c r="O173" s="80"/>
    </row>
    <row r="174" spans="1:15" ht="9" customHeight="1">
      <c r="A174" s="148"/>
      <c r="B174" s="121"/>
      <c r="C174" s="18" t="s">
        <v>74</v>
      </c>
      <c r="D174" s="4">
        <v>7200</v>
      </c>
      <c r="E174" s="4"/>
      <c r="F174" s="4"/>
      <c r="G174" s="4"/>
      <c r="H174" s="7">
        <f t="shared" si="27"/>
        <v>7200</v>
      </c>
      <c r="I174" s="7">
        <f>8204-1</f>
        <v>8203</v>
      </c>
      <c r="J174" s="7"/>
      <c r="K174" s="7"/>
      <c r="L174" s="7"/>
      <c r="M174" s="7">
        <f t="shared" si="25"/>
        <v>8203</v>
      </c>
      <c r="N174" s="5">
        <f t="shared" si="26"/>
        <v>1.1393055555555556</v>
      </c>
      <c r="O174" s="80"/>
    </row>
    <row r="175" spans="1:15" ht="18.75" customHeight="1">
      <c r="A175" s="148"/>
      <c r="B175" s="122"/>
      <c r="C175" s="18" t="s">
        <v>204</v>
      </c>
      <c r="D175" s="4">
        <v>58730</v>
      </c>
      <c r="E175" s="4"/>
      <c r="F175" s="4"/>
      <c r="G175" s="4"/>
      <c r="H175" s="7">
        <f t="shared" si="27"/>
        <v>58730</v>
      </c>
      <c r="I175" s="7">
        <v>58730</v>
      </c>
      <c r="J175" s="7"/>
      <c r="K175" s="7"/>
      <c r="L175" s="7"/>
      <c r="M175" s="7">
        <f t="shared" si="25"/>
        <v>58730</v>
      </c>
      <c r="N175" s="5">
        <f t="shared" si="26"/>
        <v>1</v>
      </c>
      <c r="O175" s="80"/>
    </row>
    <row r="176" spans="1:15" ht="8.25" customHeight="1">
      <c r="A176" s="148"/>
      <c r="B176" s="33" t="s">
        <v>155</v>
      </c>
      <c r="C176" s="29"/>
      <c r="D176" s="6">
        <f>SUM(D169:D175)</f>
        <v>365272</v>
      </c>
      <c r="E176" s="6">
        <f>SUM(E169:E175)</f>
        <v>0</v>
      </c>
      <c r="F176" s="6">
        <f>SUM(F169:F175)</f>
        <v>0</v>
      </c>
      <c r="G176" s="6">
        <f>SUM(G169:G175)</f>
        <v>0</v>
      </c>
      <c r="H176" s="6">
        <f t="shared" si="27"/>
        <v>365272</v>
      </c>
      <c r="I176" s="6">
        <f>SUM(I169:I175)</f>
        <v>265211</v>
      </c>
      <c r="J176" s="6">
        <f>SUM(J169:J175)</f>
        <v>0</v>
      </c>
      <c r="K176" s="6">
        <f>SUM(K169:K175)</f>
        <v>0</v>
      </c>
      <c r="L176" s="6">
        <f>SUM(L169:L175)</f>
        <v>0</v>
      </c>
      <c r="M176" s="6">
        <f t="shared" si="25"/>
        <v>265211</v>
      </c>
      <c r="N176" s="28">
        <f t="shared" si="26"/>
        <v>0.7260644122735934</v>
      </c>
      <c r="O176" s="80"/>
    </row>
    <row r="177" spans="1:15" ht="58.5">
      <c r="A177" s="148"/>
      <c r="B177" s="120" t="s">
        <v>41</v>
      </c>
      <c r="C177" s="18" t="s">
        <v>104</v>
      </c>
      <c r="D177" s="4"/>
      <c r="E177" s="4">
        <v>178500</v>
      </c>
      <c r="F177" s="4"/>
      <c r="G177" s="4"/>
      <c r="H177" s="7">
        <f t="shared" si="27"/>
        <v>178500</v>
      </c>
      <c r="I177" s="7"/>
      <c r="J177" s="7">
        <v>129910</v>
      </c>
      <c r="K177" s="7"/>
      <c r="L177" s="7"/>
      <c r="M177" s="7">
        <f t="shared" si="25"/>
        <v>129910</v>
      </c>
      <c r="N177" s="5">
        <f t="shared" si="26"/>
        <v>0.7277871148459384</v>
      </c>
      <c r="O177" s="80"/>
    </row>
    <row r="178" spans="1:15" ht="9.75" hidden="1">
      <c r="A178" s="148"/>
      <c r="B178" s="121"/>
      <c r="C178" s="18" t="s">
        <v>193</v>
      </c>
      <c r="D178" s="4"/>
      <c r="E178" s="4">
        <f>4578-4578</f>
        <v>0</v>
      </c>
      <c r="F178" s="4"/>
      <c r="G178" s="4"/>
      <c r="H178" s="7">
        <f t="shared" si="27"/>
        <v>0</v>
      </c>
      <c r="I178" s="7"/>
      <c r="J178" s="7"/>
      <c r="K178" s="7"/>
      <c r="L178" s="7"/>
      <c r="M178" s="7">
        <f t="shared" si="25"/>
        <v>0</v>
      </c>
      <c r="N178" s="5" t="e">
        <f t="shared" si="26"/>
        <v>#DIV/0!</v>
      </c>
      <c r="O178" s="80"/>
    </row>
    <row r="179" spans="1:15" ht="9.75">
      <c r="A179" s="148"/>
      <c r="B179" s="121"/>
      <c r="C179" s="18" t="s">
        <v>72</v>
      </c>
      <c r="D179" s="4"/>
      <c r="E179" s="4">
        <v>2236</v>
      </c>
      <c r="F179" s="4"/>
      <c r="G179" s="4"/>
      <c r="H179" s="7">
        <f t="shared" si="27"/>
        <v>2236</v>
      </c>
      <c r="I179" s="7"/>
      <c r="J179" s="7">
        <f>13610-1</f>
        <v>13609</v>
      </c>
      <c r="K179" s="7"/>
      <c r="L179" s="7"/>
      <c r="M179" s="7">
        <f t="shared" si="25"/>
        <v>13609</v>
      </c>
      <c r="N179" s="5">
        <f t="shared" si="26"/>
        <v>6.086314847942755</v>
      </c>
      <c r="O179" s="80"/>
    </row>
    <row r="180" spans="1:15" ht="19.5">
      <c r="A180" s="148"/>
      <c r="B180" s="121"/>
      <c r="C180" s="18" t="s">
        <v>208</v>
      </c>
      <c r="D180" s="4"/>
      <c r="E180" s="4">
        <v>112413</v>
      </c>
      <c r="F180" s="4"/>
      <c r="G180" s="4"/>
      <c r="H180" s="7">
        <f t="shared" si="27"/>
        <v>112413</v>
      </c>
      <c r="I180" s="7"/>
      <c r="J180" s="7">
        <f>112233+1</f>
        <v>112234</v>
      </c>
      <c r="K180" s="7"/>
      <c r="L180" s="7"/>
      <c r="M180" s="7">
        <f t="shared" si="25"/>
        <v>112234</v>
      </c>
      <c r="N180" s="5">
        <f t="shared" si="26"/>
        <v>0.9984076574773381</v>
      </c>
      <c r="O180" s="80"/>
    </row>
    <row r="181" spans="1:15" ht="9.75">
      <c r="A181" s="148"/>
      <c r="B181" s="121"/>
      <c r="C181" s="18" t="s">
        <v>74</v>
      </c>
      <c r="D181" s="4"/>
      <c r="E181" s="4">
        <v>4924</v>
      </c>
      <c r="F181" s="4"/>
      <c r="G181" s="4"/>
      <c r="H181" s="7">
        <f t="shared" si="27"/>
        <v>4924</v>
      </c>
      <c r="I181" s="7"/>
      <c r="J181" s="7">
        <v>4994</v>
      </c>
      <c r="K181" s="7"/>
      <c r="L181" s="7"/>
      <c r="M181" s="7">
        <f t="shared" si="25"/>
        <v>4994</v>
      </c>
      <c r="N181" s="5">
        <f t="shared" si="26"/>
        <v>1.0142160844841592</v>
      </c>
      <c r="O181" s="80"/>
    </row>
    <row r="182" spans="1:15" ht="18" customHeight="1">
      <c r="A182" s="148"/>
      <c r="B182" s="122"/>
      <c r="C182" s="18" t="s">
        <v>204</v>
      </c>
      <c r="D182" s="4"/>
      <c r="E182" s="4">
        <v>406206</v>
      </c>
      <c r="F182" s="4"/>
      <c r="G182" s="4"/>
      <c r="H182" s="7">
        <f t="shared" si="27"/>
        <v>406206</v>
      </c>
      <c r="I182" s="7"/>
      <c r="J182" s="7">
        <v>406206</v>
      </c>
      <c r="K182" s="7"/>
      <c r="L182" s="7"/>
      <c r="M182" s="7">
        <f t="shared" si="25"/>
        <v>406206</v>
      </c>
      <c r="N182" s="5">
        <f t="shared" si="26"/>
        <v>1</v>
      </c>
      <c r="O182" s="80"/>
    </row>
    <row r="183" spans="1:15" ht="9.75">
      <c r="A183" s="148"/>
      <c r="B183" s="33" t="s">
        <v>156</v>
      </c>
      <c r="C183" s="29"/>
      <c r="D183" s="6">
        <f>SUM(D177:D182)</f>
        <v>0</v>
      </c>
      <c r="E183" s="6">
        <f>SUM(E177:E182)</f>
        <v>704279</v>
      </c>
      <c r="F183" s="6">
        <f>SUM(F177:F182)</f>
        <v>0</v>
      </c>
      <c r="G183" s="6">
        <f>SUM(G177:G182)</f>
        <v>0</v>
      </c>
      <c r="H183" s="6">
        <f t="shared" si="27"/>
        <v>704279</v>
      </c>
      <c r="I183" s="6">
        <f>SUM(I177:I182)</f>
        <v>0</v>
      </c>
      <c r="J183" s="6">
        <f>SUM(J177:J182)</f>
        <v>666953</v>
      </c>
      <c r="K183" s="6">
        <f>SUM(K177:K182)</f>
        <v>0</v>
      </c>
      <c r="L183" s="6">
        <f>SUM(L177:L182)</f>
        <v>0</v>
      </c>
      <c r="M183" s="6">
        <f t="shared" si="25"/>
        <v>666953</v>
      </c>
      <c r="N183" s="28">
        <f t="shared" si="26"/>
        <v>0.9470011174548723</v>
      </c>
      <c r="O183" s="80"/>
    </row>
    <row r="184" spans="1:15" ht="58.5">
      <c r="A184" s="148"/>
      <c r="B184" s="120" t="s">
        <v>157</v>
      </c>
      <c r="C184" s="27" t="s">
        <v>104</v>
      </c>
      <c r="D184" s="7"/>
      <c r="E184" s="4">
        <v>156001</v>
      </c>
      <c r="F184" s="4"/>
      <c r="G184" s="4"/>
      <c r="H184" s="7">
        <f t="shared" si="27"/>
        <v>156001</v>
      </c>
      <c r="I184" s="7"/>
      <c r="J184" s="7">
        <f>79207+1</f>
        <v>79208</v>
      </c>
      <c r="K184" s="7"/>
      <c r="L184" s="7"/>
      <c r="M184" s="7">
        <f t="shared" si="25"/>
        <v>79208</v>
      </c>
      <c r="N184" s="5">
        <f t="shared" si="26"/>
        <v>0.5077403349978525</v>
      </c>
      <c r="O184" s="80"/>
    </row>
    <row r="185" spans="1:15" ht="9.75">
      <c r="A185" s="148"/>
      <c r="B185" s="121"/>
      <c r="C185" s="18" t="s">
        <v>193</v>
      </c>
      <c r="D185" s="4"/>
      <c r="E185" s="4">
        <f>30658+12374</f>
        <v>43032</v>
      </c>
      <c r="F185" s="4"/>
      <c r="G185" s="4"/>
      <c r="H185" s="7">
        <f t="shared" si="27"/>
        <v>43032</v>
      </c>
      <c r="I185" s="7"/>
      <c r="J185" s="7">
        <v>43033</v>
      </c>
      <c r="K185" s="7"/>
      <c r="L185" s="7"/>
      <c r="M185" s="7">
        <f t="shared" si="25"/>
        <v>43033</v>
      </c>
      <c r="N185" s="5">
        <f t="shared" si="26"/>
        <v>1.000023238520171</v>
      </c>
      <c r="O185" s="80"/>
    </row>
    <row r="186" spans="1:15" ht="9.75">
      <c r="A186" s="148"/>
      <c r="B186" s="121"/>
      <c r="C186" s="18" t="s">
        <v>237</v>
      </c>
      <c r="D186" s="4"/>
      <c r="E186" s="4">
        <f>26000-10350</f>
        <v>15650</v>
      </c>
      <c r="F186" s="4"/>
      <c r="G186" s="4"/>
      <c r="H186" s="7">
        <f t="shared" si="27"/>
        <v>15650</v>
      </c>
      <c r="I186" s="7"/>
      <c r="J186" s="7">
        <f>15650-1</f>
        <v>15649</v>
      </c>
      <c r="K186" s="7"/>
      <c r="L186" s="7"/>
      <c r="M186" s="7">
        <f t="shared" si="25"/>
        <v>15649</v>
      </c>
      <c r="N186" s="5">
        <f t="shared" si="26"/>
        <v>0.9999361022364217</v>
      </c>
      <c r="O186" s="80"/>
    </row>
    <row r="187" spans="1:15" ht="19.5">
      <c r="A187" s="148"/>
      <c r="B187" s="121"/>
      <c r="C187" s="18" t="s">
        <v>161</v>
      </c>
      <c r="D187" s="4"/>
      <c r="E187" s="4"/>
      <c r="F187" s="4"/>
      <c r="G187" s="4"/>
      <c r="H187" s="7">
        <f t="shared" si="27"/>
        <v>0</v>
      </c>
      <c r="I187" s="7"/>
      <c r="J187" s="7">
        <f>12197+1</f>
        <v>12198</v>
      </c>
      <c r="K187" s="7"/>
      <c r="L187" s="7"/>
      <c r="M187" s="7">
        <f t="shared" si="25"/>
        <v>12198</v>
      </c>
      <c r="N187" s="5"/>
      <c r="O187" s="80"/>
    </row>
    <row r="188" spans="1:15" ht="9.75">
      <c r="A188" s="148"/>
      <c r="B188" s="121"/>
      <c r="C188" s="18" t="s">
        <v>72</v>
      </c>
      <c r="D188" s="4"/>
      <c r="E188" s="4">
        <v>519</v>
      </c>
      <c r="F188" s="4"/>
      <c r="G188" s="4"/>
      <c r="H188" s="7">
        <f t="shared" si="27"/>
        <v>519</v>
      </c>
      <c r="I188" s="7"/>
      <c r="J188" s="7">
        <f>13193-1</f>
        <v>13192</v>
      </c>
      <c r="K188" s="7"/>
      <c r="L188" s="7"/>
      <c r="M188" s="7">
        <f t="shared" si="25"/>
        <v>13192</v>
      </c>
      <c r="N188" s="5">
        <f>M188/H188</f>
        <v>25.418111753371868</v>
      </c>
      <c r="O188" s="80"/>
    </row>
    <row r="189" spans="1:15" ht="17.25" customHeight="1">
      <c r="A189" s="148"/>
      <c r="B189" s="121"/>
      <c r="C189" s="18" t="s">
        <v>208</v>
      </c>
      <c r="D189" s="4"/>
      <c r="E189" s="4">
        <v>3284</v>
      </c>
      <c r="F189" s="4"/>
      <c r="G189" s="4"/>
      <c r="H189" s="7">
        <f t="shared" si="27"/>
        <v>3284</v>
      </c>
      <c r="I189" s="7"/>
      <c r="J189" s="7">
        <v>3284</v>
      </c>
      <c r="K189" s="7"/>
      <c r="L189" s="7"/>
      <c r="M189" s="7">
        <f t="shared" si="25"/>
        <v>3284</v>
      </c>
      <c r="N189" s="5">
        <f>M189/H189</f>
        <v>1</v>
      </c>
      <c r="O189" s="80"/>
    </row>
    <row r="190" spans="1:15" ht="9.75" customHeight="1">
      <c r="A190" s="148"/>
      <c r="B190" s="121"/>
      <c r="C190" s="18" t="s">
        <v>74</v>
      </c>
      <c r="D190" s="4"/>
      <c r="E190" s="4">
        <v>2</v>
      </c>
      <c r="F190" s="4"/>
      <c r="G190" s="4"/>
      <c r="H190" s="7">
        <f t="shared" si="27"/>
        <v>2</v>
      </c>
      <c r="I190" s="7"/>
      <c r="J190" s="7">
        <f>5443+1</f>
        <v>5444</v>
      </c>
      <c r="K190" s="7"/>
      <c r="L190" s="7"/>
      <c r="M190" s="7">
        <f aca="true" t="shared" si="28" ref="M190:M209">SUM(I190:L190)</f>
        <v>5444</v>
      </c>
      <c r="N190" s="5"/>
      <c r="O190" s="80"/>
    </row>
    <row r="191" spans="1:15" ht="18" customHeight="1">
      <c r="A191" s="148"/>
      <c r="B191" s="122"/>
      <c r="C191" s="18" t="s">
        <v>204</v>
      </c>
      <c r="D191" s="4"/>
      <c r="E191" s="4">
        <v>118914</v>
      </c>
      <c r="F191" s="4"/>
      <c r="G191" s="4"/>
      <c r="H191" s="7">
        <f t="shared" si="27"/>
        <v>118914</v>
      </c>
      <c r="I191" s="7"/>
      <c r="J191" s="7">
        <v>118913</v>
      </c>
      <c r="K191" s="7"/>
      <c r="L191" s="7"/>
      <c r="M191" s="7">
        <f t="shared" si="28"/>
        <v>118913</v>
      </c>
      <c r="N191" s="5">
        <f aca="true" t="shared" si="29" ref="N191:N211">M191/H191</f>
        <v>0.999991590561246</v>
      </c>
      <c r="O191" s="80"/>
    </row>
    <row r="192" spans="1:15" ht="8.25" customHeight="1">
      <c r="A192" s="148"/>
      <c r="B192" s="33" t="s">
        <v>158</v>
      </c>
      <c r="C192" s="29"/>
      <c r="D192" s="6">
        <f>SUM(D184:D191)</f>
        <v>0</v>
      </c>
      <c r="E192" s="6">
        <f>SUM(E184:E191)</f>
        <v>337402</v>
      </c>
      <c r="F192" s="6">
        <f>SUM(F184:F191)</f>
        <v>0</v>
      </c>
      <c r="G192" s="6">
        <f>SUM(G184:G191)</f>
        <v>0</v>
      </c>
      <c r="H192" s="6">
        <f t="shared" si="27"/>
        <v>337402</v>
      </c>
      <c r="I192" s="6">
        <f>SUM(I184:I191)</f>
        <v>0</v>
      </c>
      <c r="J192" s="6">
        <f>SUM(J184:J191)</f>
        <v>290921</v>
      </c>
      <c r="K192" s="6">
        <f>SUM(K184:K191)</f>
        <v>0</v>
      </c>
      <c r="L192" s="6">
        <f>SUM(L184:L191)</f>
        <v>0</v>
      </c>
      <c r="M192" s="6">
        <f t="shared" si="28"/>
        <v>290921</v>
      </c>
      <c r="N192" s="28">
        <f t="shared" si="29"/>
        <v>0.8622385166655799</v>
      </c>
      <c r="O192" s="80"/>
    </row>
    <row r="193" spans="1:15" ht="50.25" customHeight="1">
      <c r="A193" s="148"/>
      <c r="B193" s="120" t="s">
        <v>42</v>
      </c>
      <c r="C193" s="27" t="s">
        <v>104</v>
      </c>
      <c r="D193" s="4"/>
      <c r="E193" s="4">
        <v>28000</v>
      </c>
      <c r="F193" s="4"/>
      <c r="G193" s="4"/>
      <c r="H193" s="7">
        <f t="shared" si="27"/>
        <v>28000</v>
      </c>
      <c r="I193" s="9"/>
      <c r="J193" s="7">
        <v>19170</v>
      </c>
      <c r="K193" s="9"/>
      <c r="L193" s="9"/>
      <c r="M193" s="7">
        <f t="shared" si="28"/>
        <v>19170</v>
      </c>
      <c r="N193" s="5">
        <f t="shared" si="29"/>
        <v>0.6846428571428571</v>
      </c>
      <c r="O193" s="80"/>
    </row>
    <row r="194" spans="1:15" ht="9.75" hidden="1">
      <c r="A194" s="148"/>
      <c r="B194" s="121"/>
      <c r="C194" s="18" t="s">
        <v>193</v>
      </c>
      <c r="D194" s="4"/>
      <c r="E194" s="4">
        <f>150-150</f>
        <v>0</v>
      </c>
      <c r="F194" s="4"/>
      <c r="G194" s="4"/>
      <c r="H194" s="7">
        <f t="shared" si="27"/>
        <v>0</v>
      </c>
      <c r="I194" s="7"/>
      <c r="J194" s="7"/>
      <c r="K194" s="7"/>
      <c r="L194" s="7"/>
      <c r="M194" s="7">
        <f t="shared" si="28"/>
        <v>0</v>
      </c>
      <c r="N194" s="5" t="e">
        <f t="shared" si="29"/>
        <v>#DIV/0!</v>
      </c>
      <c r="O194" s="80"/>
    </row>
    <row r="195" spans="1:15" ht="11.25" customHeight="1">
      <c r="A195" s="148"/>
      <c r="B195" s="121"/>
      <c r="C195" s="18" t="s">
        <v>72</v>
      </c>
      <c r="D195" s="4"/>
      <c r="E195" s="4"/>
      <c r="F195" s="4"/>
      <c r="G195" s="4"/>
      <c r="H195" s="7">
        <f t="shared" si="27"/>
        <v>0</v>
      </c>
      <c r="I195" s="7"/>
      <c r="J195" s="7">
        <f>995+1</f>
        <v>996</v>
      </c>
      <c r="K195" s="7"/>
      <c r="L195" s="7"/>
      <c r="M195" s="7">
        <f t="shared" si="28"/>
        <v>996</v>
      </c>
      <c r="N195" s="5"/>
      <c r="O195" s="80"/>
    </row>
    <row r="196" spans="1:15" ht="9.75">
      <c r="A196" s="148"/>
      <c r="B196" s="122"/>
      <c r="C196" s="18" t="s">
        <v>74</v>
      </c>
      <c r="D196" s="4"/>
      <c r="E196" s="4"/>
      <c r="F196" s="4"/>
      <c r="G196" s="4"/>
      <c r="H196" s="7">
        <f t="shared" si="27"/>
        <v>0</v>
      </c>
      <c r="I196" s="7"/>
      <c r="J196" s="7">
        <v>3276</v>
      </c>
      <c r="K196" s="7"/>
      <c r="L196" s="7"/>
      <c r="M196" s="7">
        <f t="shared" si="28"/>
        <v>3276</v>
      </c>
      <c r="N196" s="5"/>
      <c r="O196" s="80"/>
    </row>
    <row r="197" spans="1:15" ht="10.5" customHeight="1">
      <c r="A197" s="148"/>
      <c r="B197" s="33" t="s">
        <v>159</v>
      </c>
      <c r="C197" s="29"/>
      <c r="D197" s="6">
        <f>SUM(D193:D196)</f>
        <v>0</v>
      </c>
      <c r="E197" s="6">
        <f>SUM(E193:E196)</f>
        <v>28000</v>
      </c>
      <c r="F197" s="6">
        <f>SUM(F193:F196)</f>
        <v>0</v>
      </c>
      <c r="G197" s="6">
        <f>SUM(G193:G196)</f>
        <v>0</v>
      </c>
      <c r="H197" s="6">
        <f t="shared" si="27"/>
        <v>28000</v>
      </c>
      <c r="I197" s="6">
        <f>SUM(I193:I196)</f>
        <v>0</v>
      </c>
      <c r="J197" s="6">
        <f>SUM(J193:J196)</f>
        <v>23442</v>
      </c>
      <c r="K197" s="6">
        <f>SUM(K193:K196)</f>
        <v>0</v>
      </c>
      <c r="L197" s="6">
        <f>SUM(L193:L196)</f>
        <v>0</v>
      </c>
      <c r="M197" s="6">
        <f t="shared" si="28"/>
        <v>23442</v>
      </c>
      <c r="N197" s="28">
        <f t="shared" si="29"/>
        <v>0.8372142857142857</v>
      </c>
      <c r="O197" s="80"/>
    </row>
    <row r="198" spans="1:15" ht="42.75" customHeight="1">
      <c r="A198" s="148"/>
      <c r="B198" s="23" t="s">
        <v>43</v>
      </c>
      <c r="C198" s="27" t="s">
        <v>83</v>
      </c>
      <c r="D198" s="4"/>
      <c r="E198" s="4">
        <v>500000</v>
      </c>
      <c r="F198" s="4"/>
      <c r="G198" s="4"/>
      <c r="H198" s="7">
        <f t="shared" si="27"/>
        <v>500000</v>
      </c>
      <c r="I198" s="7"/>
      <c r="J198" s="7">
        <v>39637</v>
      </c>
      <c r="K198" s="7"/>
      <c r="L198" s="7"/>
      <c r="M198" s="7">
        <f t="shared" si="28"/>
        <v>39637</v>
      </c>
      <c r="N198" s="5">
        <f t="shared" si="29"/>
        <v>0.079274</v>
      </c>
      <c r="O198" s="80"/>
    </row>
    <row r="199" spans="1:15" ht="9.75" customHeight="1">
      <c r="A199" s="148"/>
      <c r="B199" s="33" t="s">
        <v>160</v>
      </c>
      <c r="C199" s="29"/>
      <c r="D199" s="6">
        <f>SUM(D198)</f>
        <v>0</v>
      </c>
      <c r="E199" s="6">
        <f>SUM(E198)</f>
        <v>500000</v>
      </c>
      <c r="F199" s="6">
        <f>SUM(F198)</f>
        <v>0</v>
      </c>
      <c r="G199" s="6">
        <f>SUM(G198)</f>
        <v>0</v>
      </c>
      <c r="H199" s="6">
        <f t="shared" si="27"/>
        <v>500000</v>
      </c>
      <c r="I199" s="6">
        <f>SUM(I198)</f>
        <v>0</v>
      </c>
      <c r="J199" s="6">
        <f>SUM(J198)</f>
        <v>39637</v>
      </c>
      <c r="K199" s="6">
        <f>SUM(K198)</f>
        <v>0</v>
      </c>
      <c r="L199" s="6">
        <f>SUM(L198)</f>
        <v>0</v>
      </c>
      <c r="M199" s="6">
        <f t="shared" si="28"/>
        <v>39637</v>
      </c>
      <c r="N199" s="28">
        <f t="shared" si="29"/>
        <v>0.079274</v>
      </c>
      <c r="O199" s="80"/>
    </row>
    <row r="200" spans="1:15" ht="12" customHeight="1">
      <c r="A200" s="148"/>
      <c r="B200" s="120" t="s">
        <v>195</v>
      </c>
      <c r="C200" s="18" t="s">
        <v>193</v>
      </c>
      <c r="D200" s="4"/>
      <c r="E200" s="4">
        <f>16250-3375</f>
        <v>12875</v>
      </c>
      <c r="F200" s="4"/>
      <c r="G200" s="4"/>
      <c r="H200" s="7">
        <f t="shared" si="27"/>
        <v>12875</v>
      </c>
      <c r="I200" s="7"/>
      <c r="J200" s="7">
        <v>12875</v>
      </c>
      <c r="K200" s="7"/>
      <c r="L200" s="7"/>
      <c r="M200" s="7">
        <f t="shared" si="28"/>
        <v>12875</v>
      </c>
      <c r="N200" s="5">
        <f t="shared" si="29"/>
        <v>1</v>
      </c>
      <c r="O200" s="80"/>
    </row>
    <row r="201" spans="1:15" ht="8.25" customHeight="1">
      <c r="A201" s="148"/>
      <c r="B201" s="121"/>
      <c r="C201" s="18" t="s">
        <v>72</v>
      </c>
      <c r="D201" s="4"/>
      <c r="E201" s="4">
        <v>213</v>
      </c>
      <c r="F201" s="4"/>
      <c r="G201" s="4"/>
      <c r="H201" s="7">
        <f t="shared" si="27"/>
        <v>213</v>
      </c>
      <c r="I201" s="7"/>
      <c r="J201" s="7">
        <v>797</v>
      </c>
      <c r="K201" s="7"/>
      <c r="L201" s="7"/>
      <c r="M201" s="7">
        <f t="shared" si="28"/>
        <v>797</v>
      </c>
      <c r="N201" s="5">
        <f t="shared" si="29"/>
        <v>3.7417840375586855</v>
      </c>
      <c r="O201" s="80"/>
    </row>
    <row r="202" spans="1:15" ht="10.5" customHeight="1">
      <c r="A202" s="148"/>
      <c r="B202" s="121"/>
      <c r="C202" s="18" t="s">
        <v>74</v>
      </c>
      <c r="D202" s="4"/>
      <c r="E202" s="4"/>
      <c r="F202" s="4"/>
      <c r="G202" s="4"/>
      <c r="H202" s="7">
        <f t="shared" si="27"/>
        <v>0</v>
      </c>
      <c r="I202" s="7"/>
      <c r="J202" s="7">
        <v>40</v>
      </c>
      <c r="K202" s="7"/>
      <c r="L202" s="7"/>
      <c r="M202" s="7">
        <f t="shared" si="28"/>
        <v>40</v>
      </c>
      <c r="N202" s="5"/>
      <c r="O202" s="80"/>
    </row>
    <row r="203" spans="1:15" ht="18" customHeight="1">
      <c r="A203" s="148"/>
      <c r="B203" s="122"/>
      <c r="C203" s="18" t="s">
        <v>204</v>
      </c>
      <c r="D203" s="4"/>
      <c r="E203" s="4">
        <v>38671</v>
      </c>
      <c r="F203" s="4"/>
      <c r="G203" s="4"/>
      <c r="H203" s="7">
        <f t="shared" si="27"/>
        <v>38671</v>
      </c>
      <c r="I203" s="7"/>
      <c r="J203" s="7">
        <v>38671</v>
      </c>
      <c r="K203" s="7"/>
      <c r="L203" s="7"/>
      <c r="M203" s="7">
        <f t="shared" si="28"/>
        <v>38671</v>
      </c>
      <c r="N203" s="5">
        <f t="shared" si="29"/>
        <v>1</v>
      </c>
      <c r="O203" s="80"/>
    </row>
    <row r="204" spans="1:15" ht="12.75" customHeight="1">
      <c r="A204" s="148"/>
      <c r="B204" s="33" t="s">
        <v>195</v>
      </c>
      <c r="C204" s="29"/>
      <c r="D204" s="6">
        <f>SUM(D200:D203)</f>
        <v>0</v>
      </c>
      <c r="E204" s="6">
        <f>SUM(E200:E203)</f>
        <v>51759</v>
      </c>
      <c r="F204" s="6">
        <f>SUM(F200:F203)</f>
        <v>0</v>
      </c>
      <c r="G204" s="6">
        <f>SUM(G200:G203)</f>
        <v>0</v>
      </c>
      <c r="H204" s="6">
        <f aca="true" t="shared" si="30" ref="H204:H209">SUM(D204:G204)</f>
        <v>51759</v>
      </c>
      <c r="I204" s="6">
        <f>SUM(I200:I203)</f>
        <v>0</v>
      </c>
      <c r="J204" s="6">
        <f>SUM(J200:J203)</f>
        <v>52383</v>
      </c>
      <c r="K204" s="6">
        <f>SUM(K200:K203)</f>
        <v>0</v>
      </c>
      <c r="L204" s="6">
        <f>SUM(L200:L203)</f>
        <v>0</v>
      </c>
      <c r="M204" s="6">
        <f t="shared" si="28"/>
        <v>52383</v>
      </c>
      <c r="N204" s="28">
        <f t="shared" si="29"/>
        <v>1.0120558743406944</v>
      </c>
      <c r="O204" s="80"/>
    </row>
    <row r="205" spans="1:15" ht="22.5" customHeight="1">
      <c r="A205" s="148"/>
      <c r="B205" s="23" t="s">
        <v>212</v>
      </c>
      <c r="C205" s="18" t="s">
        <v>74</v>
      </c>
      <c r="D205" s="4"/>
      <c r="E205" s="4"/>
      <c r="F205" s="4"/>
      <c r="G205" s="4"/>
      <c r="H205" s="7">
        <f t="shared" si="30"/>
        <v>0</v>
      </c>
      <c r="I205" s="7">
        <v>80</v>
      </c>
      <c r="J205" s="7"/>
      <c r="K205" s="7"/>
      <c r="L205" s="7"/>
      <c r="M205" s="7">
        <f t="shared" si="28"/>
        <v>80</v>
      </c>
      <c r="N205" s="5"/>
      <c r="O205" s="80"/>
    </row>
    <row r="206" spans="1:15" ht="9.75" customHeight="1">
      <c r="A206" s="148"/>
      <c r="B206" s="33" t="s">
        <v>213</v>
      </c>
      <c r="C206" s="29"/>
      <c r="D206" s="6">
        <f>SUM(D205)</f>
        <v>0</v>
      </c>
      <c r="E206" s="6">
        <f>SUM(E205)</f>
        <v>0</v>
      </c>
      <c r="F206" s="6">
        <f>SUM(F205)</f>
        <v>0</v>
      </c>
      <c r="G206" s="6">
        <f>SUM(G205)</f>
        <v>0</v>
      </c>
      <c r="H206" s="6">
        <f t="shared" si="30"/>
        <v>0</v>
      </c>
      <c r="I206" s="6">
        <f>SUM(I205)</f>
        <v>80</v>
      </c>
      <c r="J206" s="6">
        <f>SUM(J205)</f>
        <v>0</v>
      </c>
      <c r="K206" s="6">
        <f>SUM(K205)</f>
        <v>0</v>
      </c>
      <c r="L206" s="6">
        <f>SUM(L205)</f>
        <v>0</v>
      </c>
      <c r="M206" s="6">
        <f t="shared" si="28"/>
        <v>80</v>
      </c>
      <c r="N206" s="28"/>
      <c r="O206" s="80"/>
    </row>
    <row r="207" spans="1:15" ht="31.5" customHeight="1">
      <c r="A207" s="149"/>
      <c r="B207" s="120" t="s">
        <v>214</v>
      </c>
      <c r="C207" s="18" t="s">
        <v>101</v>
      </c>
      <c r="D207" s="13">
        <v>300</v>
      </c>
      <c r="E207" s="13"/>
      <c r="F207" s="13"/>
      <c r="G207" s="13"/>
      <c r="H207" s="7">
        <f t="shared" si="30"/>
        <v>300</v>
      </c>
      <c r="I207" s="7">
        <v>300</v>
      </c>
      <c r="J207" s="13"/>
      <c r="K207" s="13"/>
      <c r="L207" s="13"/>
      <c r="M207" s="7">
        <f t="shared" si="28"/>
        <v>300</v>
      </c>
      <c r="N207" s="5">
        <f t="shared" si="29"/>
        <v>1</v>
      </c>
      <c r="O207" s="80"/>
    </row>
    <row r="208" spans="1:15" ht="39">
      <c r="A208" s="148"/>
      <c r="B208" s="122"/>
      <c r="C208" s="18" t="s">
        <v>216</v>
      </c>
      <c r="D208" s="4"/>
      <c r="E208" s="4"/>
      <c r="F208" s="4"/>
      <c r="G208" s="4"/>
      <c r="H208" s="7">
        <f t="shared" si="30"/>
        <v>0</v>
      </c>
      <c r="I208" s="7">
        <v>908</v>
      </c>
      <c r="J208" s="7"/>
      <c r="K208" s="7"/>
      <c r="L208" s="7"/>
      <c r="M208" s="7">
        <f t="shared" si="28"/>
        <v>908</v>
      </c>
      <c r="N208" s="5"/>
      <c r="O208" s="80"/>
    </row>
    <row r="209" spans="1:15" ht="12" customHeight="1">
      <c r="A209" s="148"/>
      <c r="B209" s="33" t="s">
        <v>215</v>
      </c>
      <c r="C209" s="29"/>
      <c r="D209" s="6">
        <f>SUM(D207:D208)</f>
        <v>300</v>
      </c>
      <c r="E209" s="6">
        <f>SUM(E207:E208)</f>
        <v>0</v>
      </c>
      <c r="F209" s="6">
        <f>SUM(F207:F208)</f>
        <v>0</v>
      </c>
      <c r="G209" s="6">
        <f>SUM(G207:G208)</f>
        <v>0</v>
      </c>
      <c r="H209" s="6">
        <f t="shared" si="30"/>
        <v>300</v>
      </c>
      <c r="I209" s="6">
        <f>SUM(I207:I208)</f>
        <v>1208</v>
      </c>
      <c r="J209" s="6">
        <f>SUM(J207:J208)</f>
        <v>0</v>
      </c>
      <c r="K209" s="6">
        <f>SUM(K207:K208)</f>
        <v>0</v>
      </c>
      <c r="L209" s="6">
        <f>SUM(L207:L208)</f>
        <v>0</v>
      </c>
      <c r="M209" s="6">
        <f t="shared" si="28"/>
        <v>1208</v>
      </c>
      <c r="N209" s="28">
        <f t="shared" si="29"/>
        <v>4.026666666666666</v>
      </c>
      <c r="O209" s="80"/>
    </row>
    <row r="210" spans="1:15" ht="14.25" customHeight="1">
      <c r="A210" s="26" t="s">
        <v>44</v>
      </c>
      <c r="B210" s="38"/>
      <c r="C210" s="24"/>
      <c r="D210" s="25">
        <f aca="true" t="shared" si="31" ref="D210:M210">SUM(D209,D206,D204,D199,D197,D192,D183,D176,D168,D162,D157)</f>
        <v>1915709</v>
      </c>
      <c r="E210" s="25">
        <f t="shared" si="31"/>
        <v>1663525</v>
      </c>
      <c r="F210" s="25">
        <f t="shared" si="31"/>
        <v>0</v>
      </c>
      <c r="G210" s="25">
        <f t="shared" si="31"/>
        <v>0</v>
      </c>
      <c r="H210" s="25">
        <f t="shared" si="31"/>
        <v>3579234</v>
      </c>
      <c r="I210" s="25">
        <f t="shared" si="31"/>
        <v>1629888</v>
      </c>
      <c r="J210" s="25">
        <f t="shared" si="31"/>
        <v>1098698</v>
      </c>
      <c r="K210" s="25">
        <f t="shared" si="31"/>
        <v>0</v>
      </c>
      <c r="L210" s="25">
        <f t="shared" si="31"/>
        <v>0</v>
      </c>
      <c r="M210" s="25">
        <f t="shared" si="31"/>
        <v>2728586</v>
      </c>
      <c r="N210" s="30">
        <f t="shared" si="29"/>
        <v>0.7623379751086405</v>
      </c>
      <c r="O210" s="80"/>
    </row>
    <row r="211" spans="1:15" ht="19.5">
      <c r="A211" s="152" t="s">
        <v>45</v>
      </c>
      <c r="B211" s="120" t="s">
        <v>63</v>
      </c>
      <c r="C211" s="18" t="s">
        <v>161</v>
      </c>
      <c r="D211" s="4">
        <v>230000</v>
      </c>
      <c r="E211" s="4"/>
      <c r="F211" s="4"/>
      <c r="G211" s="4"/>
      <c r="H211" s="7">
        <f aca="true" t="shared" si="32" ref="H211:H223">SUM(D211:G211)</f>
        <v>230000</v>
      </c>
      <c r="I211" s="7">
        <v>283086</v>
      </c>
      <c r="J211" s="13"/>
      <c r="K211" s="13"/>
      <c r="L211" s="13"/>
      <c r="M211" s="7">
        <f aca="true" t="shared" si="33" ref="M211:M226">SUM(I211:L211)</f>
        <v>283086</v>
      </c>
      <c r="N211" s="5">
        <f t="shared" si="29"/>
        <v>1.230808695652174</v>
      </c>
      <c r="O211" s="80"/>
    </row>
    <row r="212" spans="1:15" ht="9.75" hidden="1">
      <c r="A212" s="152"/>
      <c r="B212" s="122"/>
      <c r="C212" s="18" t="s">
        <v>74</v>
      </c>
      <c r="D212" s="4"/>
      <c r="E212" s="4"/>
      <c r="F212" s="4"/>
      <c r="G212" s="4"/>
      <c r="H212" s="7">
        <f t="shared" si="32"/>
        <v>0</v>
      </c>
      <c r="I212" s="13"/>
      <c r="J212" s="13"/>
      <c r="K212" s="13"/>
      <c r="L212" s="13"/>
      <c r="M212" s="7">
        <f t="shared" si="33"/>
        <v>0</v>
      </c>
      <c r="N212" s="5"/>
      <c r="O212" s="80"/>
    </row>
    <row r="213" spans="1:15" ht="9.75">
      <c r="A213" s="148"/>
      <c r="B213" s="33" t="s">
        <v>162</v>
      </c>
      <c r="C213" s="29"/>
      <c r="D213" s="6">
        <f>SUM(D211)</f>
        <v>230000</v>
      </c>
      <c r="E213" s="6">
        <f>SUM(E211)</f>
        <v>0</v>
      </c>
      <c r="F213" s="6">
        <f>SUM(F211)</f>
        <v>0</v>
      </c>
      <c r="G213" s="6">
        <f>SUM(G211)</f>
        <v>0</v>
      </c>
      <c r="H213" s="31">
        <f t="shared" si="32"/>
        <v>230000</v>
      </c>
      <c r="I213" s="6">
        <f>SUM(I211:I212)</f>
        <v>283086</v>
      </c>
      <c r="J213" s="6">
        <f>SUM(J211:J212)</f>
        <v>0</v>
      </c>
      <c r="K213" s="6">
        <f>SUM(K211:K212)</f>
        <v>0</v>
      </c>
      <c r="L213" s="6">
        <f>SUM(L211:L212)</f>
        <v>0</v>
      </c>
      <c r="M213" s="6">
        <f t="shared" si="33"/>
        <v>283086</v>
      </c>
      <c r="N213" s="28">
        <f>M213/H213</f>
        <v>1.230808695652174</v>
      </c>
      <c r="O213" s="80"/>
    </row>
    <row r="214" spans="1:15" ht="39">
      <c r="A214" s="148"/>
      <c r="B214" s="23" t="s">
        <v>217</v>
      </c>
      <c r="C214" s="18" t="s">
        <v>216</v>
      </c>
      <c r="D214" s="4"/>
      <c r="E214" s="4"/>
      <c r="F214" s="4"/>
      <c r="G214" s="4"/>
      <c r="H214" s="7">
        <f t="shared" si="32"/>
        <v>0</v>
      </c>
      <c r="I214" s="7">
        <v>325</v>
      </c>
      <c r="J214" s="7"/>
      <c r="K214" s="7"/>
      <c r="L214" s="7"/>
      <c r="M214" s="7">
        <f t="shared" si="33"/>
        <v>325</v>
      </c>
      <c r="N214" s="5"/>
      <c r="O214" s="80"/>
    </row>
    <row r="215" spans="1:15" ht="9.75">
      <c r="A215" s="148"/>
      <c r="B215" s="33" t="s">
        <v>218</v>
      </c>
      <c r="C215" s="29"/>
      <c r="D215" s="6">
        <f>SUM(D214)</f>
        <v>0</v>
      </c>
      <c r="E215" s="6">
        <f>SUM(E214)</f>
        <v>0</v>
      </c>
      <c r="F215" s="6">
        <f>SUM(F214)</f>
        <v>0</v>
      </c>
      <c r="G215" s="6">
        <f>SUM(G214)</f>
        <v>0</v>
      </c>
      <c r="H215" s="6">
        <f t="shared" si="32"/>
        <v>0</v>
      </c>
      <c r="I215" s="6">
        <f>SUM(I214)</f>
        <v>325</v>
      </c>
      <c r="J215" s="6">
        <f>SUM(J214)</f>
        <v>0</v>
      </c>
      <c r="K215" s="6">
        <f>SUM(K214)</f>
        <v>0</v>
      </c>
      <c r="L215" s="6">
        <f>SUM(L214)</f>
        <v>0</v>
      </c>
      <c r="M215" s="6">
        <f t="shared" si="33"/>
        <v>325</v>
      </c>
      <c r="N215" s="28"/>
      <c r="O215" s="80"/>
    </row>
    <row r="216" spans="1:15" ht="9.75">
      <c r="A216" s="149"/>
      <c r="B216" s="130" t="s">
        <v>219</v>
      </c>
      <c r="C216" s="18" t="s">
        <v>72</v>
      </c>
      <c r="D216" s="13"/>
      <c r="E216" s="13"/>
      <c r="F216" s="13"/>
      <c r="G216" s="13"/>
      <c r="H216" s="7">
        <f t="shared" si="32"/>
        <v>0</v>
      </c>
      <c r="I216" s="7">
        <v>92</v>
      </c>
      <c r="J216" s="13"/>
      <c r="K216" s="13"/>
      <c r="L216" s="13"/>
      <c r="M216" s="7">
        <f t="shared" si="33"/>
        <v>92</v>
      </c>
      <c r="N216" s="5"/>
      <c r="O216" s="80"/>
    </row>
    <row r="217" spans="1:15" ht="39">
      <c r="A217" s="148"/>
      <c r="B217" s="131"/>
      <c r="C217" s="18" t="s">
        <v>216</v>
      </c>
      <c r="D217" s="4"/>
      <c r="E217" s="4"/>
      <c r="F217" s="4"/>
      <c r="G217" s="4"/>
      <c r="H217" s="7">
        <f t="shared" si="32"/>
        <v>0</v>
      </c>
      <c r="I217" s="7">
        <v>26967</v>
      </c>
      <c r="J217" s="7"/>
      <c r="K217" s="7"/>
      <c r="L217" s="7"/>
      <c r="M217" s="7">
        <f t="shared" si="33"/>
        <v>26967</v>
      </c>
      <c r="N217" s="5"/>
      <c r="O217" s="80"/>
    </row>
    <row r="218" spans="1:15" ht="9.75">
      <c r="A218" s="148"/>
      <c r="B218" s="33" t="s">
        <v>220</v>
      </c>
      <c r="C218" s="29"/>
      <c r="D218" s="6">
        <f>SUM(D216:D217)</f>
        <v>0</v>
      </c>
      <c r="E218" s="6">
        <f>SUM(E216:E217)</f>
        <v>0</v>
      </c>
      <c r="F218" s="6">
        <f>SUM(F216:F217)</f>
        <v>0</v>
      </c>
      <c r="G218" s="6">
        <f>SUM(G216:G217)</f>
        <v>0</v>
      </c>
      <c r="H218" s="6">
        <f t="shared" si="32"/>
        <v>0</v>
      </c>
      <c r="I218" s="6">
        <f>SUM(I216:I217)</f>
        <v>27059</v>
      </c>
      <c r="J218" s="6">
        <f>SUM(J216:J217)</f>
        <v>0</v>
      </c>
      <c r="K218" s="6">
        <f>SUM(K216:K217)</f>
        <v>0</v>
      </c>
      <c r="L218" s="6">
        <f>SUM(L216:L217)</f>
        <v>0</v>
      </c>
      <c r="M218" s="6">
        <f t="shared" si="33"/>
        <v>27059</v>
      </c>
      <c r="N218" s="28"/>
      <c r="O218" s="80"/>
    </row>
    <row r="219" spans="1:15" ht="50.25" customHeight="1">
      <c r="A219" s="148"/>
      <c r="B219" s="23" t="s">
        <v>163</v>
      </c>
      <c r="C219" s="27" t="s">
        <v>69</v>
      </c>
      <c r="D219" s="4"/>
      <c r="E219" s="4"/>
      <c r="F219" s="4"/>
      <c r="G219" s="4">
        <v>1576000</v>
      </c>
      <c r="H219" s="7">
        <f t="shared" si="32"/>
        <v>1576000</v>
      </c>
      <c r="I219" s="7"/>
      <c r="J219" s="7"/>
      <c r="K219" s="7"/>
      <c r="L219" s="7">
        <v>899120</v>
      </c>
      <c r="M219" s="7">
        <f t="shared" si="33"/>
        <v>899120</v>
      </c>
      <c r="N219" s="5">
        <f>M219/H219</f>
        <v>0.570507614213198</v>
      </c>
      <c r="O219" s="80"/>
    </row>
    <row r="220" spans="1:15" ht="9.75">
      <c r="A220" s="148"/>
      <c r="B220" s="33" t="s">
        <v>164</v>
      </c>
      <c r="C220" s="29"/>
      <c r="D220" s="6">
        <f>SUM(D219)</f>
        <v>0</v>
      </c>
      <c r="E220" s="6">
        <f>SUM(E219)</f>
        <v>0</v>
      </c>
      <c r="F220" s="6">
        <f>SUM(F219)</f>
        <v>0</v>
      </c>
      <c r="G220" s="6">
        <f>SUM(G219)</f>
        <v>1576000</v>
      </c>
      <c r="H220" s="6">
        <f t="shared" si="32"/>
        <v>1576000</v>
      </c>
      <c r="I220" s="6">
        <f>SUM(I219)</f>
        <v>0</v>
      </c>
      <c r="J220" s="6">
        <f>SUM(J219)</f>
        <v>0</v>
      </c>
      <c r="K220" s="6">
        <f>SUM(K219)</f>
        <v>0</v>
      </c>
      <c r="L220" s="6">
        <f>SUM(L219)</f>
        <v>899120</v>
      </c>
      <c r="M220" s="6">
        <f t="shared" si="33"/>
        <v>899120</v>
      </c>
      <c r="N220" s="28">
        <f>M220/H220</f>
        <v>0.570507614213198</v>
      </c>
      <c r="O220" s="80"/>
    </row>
    <row r="221" spans="1:15" ht="9.75">
      <c r="A221" s="148"/>
      <c r="B221" s="120" t="s">
        <v>221</v>
      </c>
      <c r="C221" s="50" t="s">
        <v>71</v>
      </c>
      <c r="D221" s="4"/>
      <c r="E221" s="4"/>
      <c r="F221" s="4"/>
      <c r="G221" s="4"/>
      <c r="H221" s="7">
        <f t="shared" si="32"/>
        <v>0</v>
      </c>
      <c r="I221" s="7">
        <v>1354</v>
      </c>
      <c r="J221" s="7"/>
      <c r="K221" s="7"/>
      <c r="L221" s="7"/>
      <c r="M221" s="7">
        <f t="shared" si="33"/>
        <v>1354</v>
      </c>
      <c r="N221" s="5"/>
      <c r="O221" s="80"/>
    </row>
    <row r="222" spans="1:15" ht="10.5" customHeight="1">
      <c r="A222" s="148"/>
      <c r="B222" s="122"/>
      <c r="C222" s="18" t="s">
        <v>193</v>
      </c>
      <c r="D222" s="4"/>
      <c r="E222" s="4"/>
      <c r="F222" s="4"/>
      <c r="G222" s="4"/>
      <c r="H222" s="7">
        <f t="shared" si="32"/>
        <v>0</v>
      </c>
      <c r="I222" s="7">
        <v>39089</v>
      </c>
      <c r="J222" s="7"/>
      <c r="K222" s="7"/>
      <c r="L222" s="7"/>
      <c r="M222" s="7">
        <f t="shared" si="33"/>
        <v>39089</v>
      </c>
      <c r="N222" s="5"/>
      <c r="O222" s="80"/>
    </row>
    <row r="223" spans="1:15" ht="9.75">
      <c r="A223" s="148"/>
      <c r="B223" s="33" t="s">
        <v>222</v>
      </c>
      <c r="C223" s="29"/>
      <c r="D223" s="6">
        <f>SUM(D221:D222)</f>
        <v>0</v>
      </c>
      <c r="E223" s="6">
        <f>SUM(E221:E222)</f>
        <v>0</v>
      </c>
      <c r="F223" s="6">
        <f>SUM(F221:F222)</f>
        <v>0</v>
      </c>
      <c r="G223" s="6">
        <f>SUM(G221:G222)</f>
        <v>0</v>
      </c>
      <c r="H223" s="6">
        <f t="shared" si="32"/>
        <v>0</v>
      </c>
      <c r="I223" s="6">
        <f>SUM(I221:I222)</f>
        <v>40443</v>
      </c>
      <c r="J223" s="6">
        <f>SUM(J221:J222)</f>
        <v>0</v>
      </c>
      <c r="K223" s="6">
        <f>SUM(K221:K222)</f>
        <v>0</v>
      </c>
      <c r="L223" s="6">
        <f>SUM(L221:L222)</f>
        <v>0</v>
      </c>
      <c r="M223" s="6">
        <f t="shared" si="33"/>
        <v>40443</v>
      </c>
      <c r="N223" s="28"/>
      <c r="O223" s="80"/>
    </row>
    <row r="224" spans="1:15" ht="13.5" customHeight="1">
      <c r="A224" s="149"/>
      <c r="B224" s="120" t="s">
        <v>223</v>
      </c>
      <c r="C224" s="18" t="s">
        <v>72</v>
      </c>
      <c r="D224" s="13"/>
      <c r="E224" s="13"/>
      <c r="F224" s="13"/>
      <c r="G224" s="13"/>
      <c r="H224" s="13"/>
      <c r="I224" s="13">
        <v>495</v>
      </c>
      <c r="J224" s="13"/>
      <c r="K224" s="13"/>
      <c r="L224" s="13"/>
      <c r="M224" s="7">
        <f t="shared" si="33"/>
        <v>495</v>
      </c>
      <c r="N224" s="5"/>
      <c r="O224" s="80"/>
    </row>
    <row r="225" spans="1:15" ht="39">
      <c r="A225" s="148"/>
      <c r="B225" s="122"/>
      <c r="C225" s="18" t="s">
        <v>216</v>
      </c>
      <c r="D225" s="4"/>
      <c r="E225" s="4"/>
      <c r="F225" s="4"/>
      <c r="G225" s="4"/>
      <c r="H225" s="7">
        <f>SUM(D225:G225)</f>
        <v>0</v>
      </c>
      <c r="I225" s="7">
        <v>1225</v>
      </c>
      <c r="J225" s="7"/>
      <c r="K225" s="7"/>
      <c r="L225" s="7"/>
      <c r="M225" s="7">
        <f t="shared" si="33"/>
        <v>1225</v>
      </c>
      <c r="N225" s="5"/>
      <c r="O225" s="80"/>
    </row>
    <row r="226" spans="1:15" ht="9.75">
      <c r="A226" s="148"/>
      <c r="B226" s="33" t="s">
        <v>223</v>
      </c>
      <c r="C226" s="29"/>
      <c r="D226" s="6">
        <f>SUM(D225)</f>
        <v>0</v>
      </c>
      <c r="E226" s="6">
        <f>SUM(E225)</f>
        <v>0</v>
      </c>
      <c r="F226" s="6">
        <f>SUM(F225)</f>
        <v>0</v>
      </c>
      <c r="G226" s="6">
        <f>SUM(G225)</f>
        <v>0</v>
      </c>
      <c r="H226" s="6">
        <f>SUM(D226:G226)</f>
        <v>0</v>
      </c>
      <c r="I226" s="6">
        <f>SUM(I224:I225)</f>
        <v>1720</v>
      </c>
      <c r="J226" s="6">
        <f>SUM(J224:J225)</f>
        <v>0</v>
      </c>
      <c r="K226" s="6">
        <f>SUM(K224:K225)</f>
        <v>0</v>
      </c>
      <c r="L226" s="6">
        <f>SUM(L224:L225)</f>
        <v>0</v>
      </c>
      <c r="M226" s="6">
        <f t="shared" si="33"/>
        <v>1720</v>
      </c>
      <c r="N226" s="28"/>
      <c r="O226" s="80"/>
    </row>
    <row r="227" spans="1:15" ht="11.25">
      <c r="A227" s="35" t="s">
        <v>46</v>
      </c>
      <c r="B227" s="35"/>
      <c r="C227" s="24"/>
      <c r="D227" s="25">
        <f aca="true" t="shared" si="34" ref="D227:M227">SUM(D226,D223,D220,D218,D215,D213)</f>
        <v>230000</v>
      </c>
      <c r="E227" s="25">
        <f t="shared" si="34"/>
        <v>0</v>
      </c>
      <c r="F227" s="25">
        <f t="shared" si="34"/>
        <v>0</v>
      </c>
      <c r="G227" s="25">
        <f t="shared" si="34"/>
        <v>1576000</v>
      </c>
      <c r="H227" s="25">
        <f t="shared" si="34"/>
        <v>1806000</v>
      </c>
      <c r="I227" s="25">
        <f t="shared" si="34"/>
        <v>352633</v>
      </c>
      <c r="J227" s="25">
        <f t="shared" si="34"/>
        <v>0</v>
      </c>
      <c r="K227" s="25">
        <f t="shared" si="34"/>
        <v>0</v>
      </c>
      <c r="L227" s="25">
        <f t="shared" si="34"/>
        <v>899120</v>
      </c>
      <c r="M227" s="25">
        <f t="shared" si="34"/>
        <v>1251753</v>
      </c>
      <c r="N227" s="30">
        <f aca="true" t="shared" si="35" ref="N227:N233">M227/H227</f>
        <v>0.6931079734219269</v>
      </c>
      <c r="O227" s="80"/>
    </row>
    <row r="228" spans="1:15" ht="49.5" customHeight="1">
      <c r="A228" s="159" t="s">
        <v>106</v>
      </c>
      <c r="B228" s="120" t="s">
        <v>107</v>
      </c>
      <c r="C228" s="18" t="s">
        <v>104</v>
      </c>
      <c r="D228" s="47"/>
      <c r="E228" s="47"/>
      <c r="F228" s="47"/>
      <c r="G228" s="47"/>
      <c r="H228" s="7">
        <f aca="true" t="shared" si="36" ref="H228:H261">SUM(D228:G228)</f>
        <v>0</v>
      </c>
      <c r="I228" s="47"/>
      <c r="J228" s="7">
        <v>2061</v>
      </c>
      <c r="K228" s="47"/>
      <c r="L228" s="47"/>
      <c r="M228" s="7">
        <f aca="true" t="shared" si="37" ref="M228:M252">SUM(I228:L228)</f>
        <v>2061</v>
      </c>
      <c r="N228" s="5"/>
      <c r="O228" s="80"/>
    </row>
    <row r="229" spans="1:15" ht="12" customHeight="1">
      <c r="A229" s="160"/>
      <c r="B229" s="121"/>
      <c r="C229" s="18" t="s">
        <v>193</v>
      </c>
      <c r="D229" s="47"/>
      <c r="E229" s="47"/>
      <c r="F229" s="47"/>
      <c r="G229" s="47"/>
      <c r="H229" s="7">
        <f t="shared" si="36"/>
        <v>0</v>
      </c>
      <c r="I229" s="47"/>
      <c r="J229" s="7">
        <v>2160</v>
      </c>
      <c r="K229" s="47"/>
      <c r="L229" s="47"/>
      <c r="M229" s="7">
        <f t="shared" si="37"/>
        <v>2160</v>
      </c>
      <c r="N229" s="5"/>
      <c r="O229" s="80"/>
    </row>
    <row r="230" spans="1:15" ht="12" customHeight="1">
      <c r="A230" s="160"/>
      <c r="B230" s="27"/>
      <c r="C230" s="18" t="s">
        <v>161</v>
      </c>
      <c r="D230" s="47"/>
      <c r="E230" s="47"/>
      <c r="F230" s="47"/>
      <c r="G230" s="47"/>
      <c r="H230" s="7"/>
      <c r="I230" s="47"/>
      <c r="J230" s="7">
        <v>20</v>
      </c>
      <c r="K230" s="47"/>
      <c r="L230" s="47"/>
      <c r="M230" s="7">
        <f t="shared" si="37"/>
        <v>20</v>
      </c>
      <c r="N230" s="5"/>
      <c r="O230" s="80"/>
    </row>
    <row r="231" spans="1:15" ht="11.25">
      <c r="A231" s="160"/>
      <c r="B231" s="49"/>
      <c r="C231" s="18" t="s">
        <v>72</v>
      </c>
      <c r="D231" s="47"/>
      <c r="E231" s="47"/>
      <c r="F231" s="47"/>
      <c r="G231" s="47"/>
      <c r="H231" s="7">
        <f t="shared" si="36"/>
        <v>0</v>
      </c>
      <c r="I231" s="47"/>
      <c r="J231" s="7">
        <f>1326-1</f>
        <v>1325</v>
      </c>
      <c r="K231" s="47"/>
      <c r="L231" s="47"/>
      <c r="M231" s="7">
        <f t="shared" si="37"/>
        <v>1325</v>
      </c>
      <c r="N231" s="5"/>
      <c r="O231" s="80"/>
    </row>
    <row r="232" spans="1:15" ht="40.5" customHeight="1">
      <c r="A232" s="160"/>
      <c r="B232" s="51"/>
      <c r="C232" s="18" t="s">
        <v>83</v>
      </c>
      <c r="D232" s="4"/>
      <c r="E232" s="4">
        <f>100000+103660</f>
        <v>203660</v>
      </c>
      <c r="F232" s="4"/>
      <c r="G232" s="4"/>
      <c r="H232" s="7">
        <f t="shared" si="36"/>
        <v>203660</v>
      </c>
      <c r="I232" s="7"/>
      <c r="J232" s="7">
        <v>47568</v>
      </c>
      <c r="K232" s="7"/>
      <c r="L232" s="7"/>
      <c r="M232" s="7">
        <f t="shared" si="37"/>
        <v>47568</v>
      </c>
      <c r="N232" s="5">
        <f t="shared" si="35"/>
        <v>0.2335657468329569</v>
      </c>
      <c r="O232" s="80"/>
    </row>
    <row r="233" spans="1:15" ht="14.25" customHeight="1">
      <c r="A233" s="153"/>
      <c r="B233" s="33" t="s">
        <v>165</v>
      </c>
      <c r="C233" s="29"/>
      <c r="D233" s="6">
        <f>SUM(D228:D232)</f>
        <v>0</v>
      </c>
      <c r="E233" s="6">
        <f>SUM(E228:E232)</f>
        <v>203660</v>
      </c>
      <c r="F233" s="6">
        <f>SUM(F228:F232)</f>
        <v>0</v>
      </c>
      <c r="G233" s="6">
        <f>SUM(G228:G232)</f>
        <v>0</v>
      </c>
      <c r="H233" s="6">
        <f t="shared" si="36"/>
        <v>203660</v>
      </c>
      <c r="I233" s="6">
        <f>SUM(I228:I232)</f>
        <v>0</v>
      </c>
      <c r="J233" s="6">
        <f>SUM(J228:J232)</f>
        <v>53134</v>
      </c>
      <c r="K233" s="6">
        <f>SUM(K228:K232)</f>
        <v>0</v>
      </c>
      <c r="L233" s="6">
        <f>SUM(L228:L232)</f>
        <v>0</v>
      </c>
      <c r="M233" s="6">
        <f t="shared" si="37"/>
        <v>53134</v>
      </c>
      <c r="N233" s="28">
        <f t="shared" si="35"/>
        <v>0.2608956103309437</v>
      </c>
      <c r="O233" s="80"/>
    </row>
    <row r="234" spans="1:15" ht="14.25" customHeight="1">
      <c r="A234" s="149"/>
      <c r="B234" s="120" t="s">
        <v>108</v>
      </c>
      <c r="C234" s="50" t="s">
        <v>71</v>
      </c>
      <c r="D234" s="13"/>
      <c r="E234" s="13"/>
      <c r="F234" s="13"/>
      <c r="G234" s="13"/>
      <c r="H234" s="7">
        <f t="shared" si="36"/>
        <v>0</v>
      </c>
      <c r="I234" s="7">
        <f>2394+1</f>
        <v>2395</v>
      </c>
      <c r="J234" s="13"/>
      <c r="K234" s="13"/>
      <c r="L234" s="13"/>
      <c r="M234" s="7">
        <f t="shared" si="37"/>
        <v>2395</v>
      </c>
      <c r="N234" s="5"/>
      <c r="O234" s="80"/>
    </row>
    <row r="235" spans="1:15" ht="12" customHeight="1">
      <c r="A235" s="148"/>
      <c r="B235" s="121"/>
      <c r="C235" s="17" t="s">
        <v>76</v>
      </c>
      <c r="D235" s="4"/>
      <c r="E235" s="4">
        <v>420000</v>
      </c>
      <c r="F235" s="4"/>
      <c r="G235" s="4"/>
      <c r="H235" s="7">
        <f t="shared" si="36"/>
        <v>420000</v>
      </c>
      <c r="I235" s="7"/>
      <c r="J235" s="7">
        <f>199605-1</f>
        <v>199604</v>
      </c>
      <c r="K235" s="7"/>
      <c r="L235" s="7"/>
      <c r="M235" s="7">
        <f t="shared" si="37"/>
        <v>199604</v>
      </c>
      <c r="N235" s="5">
        <f>M235/H235</f>
        <v>0.47524761904761903</v>
      </c>
      <c r="O235" s="80"/>
    </row>
    <row r="236" spans="1:15" ht="11.25" customHeight="1">
      <c r="A236" s="148"/>
      <c r="B236" s="121"/>
      <c r="C236" s="18" t="s">
        <v>72</v>
      </c>
      <c r="D236" s="4"/>
      <c r="E236" s="4"/>
      <c r="F236" s="4"/>
      <c r="G236" s="4"/>
      <c r="H236" s="7">
        <f t="shared" si="36"/>
        <v>0</v>
      </c>
      <c r="I236" s="7"/>
      <c r="J236" s="7">
        <v>646</v>
      </c>
      <c r="K236" s="7"/>
      <c r="L236" s="7"/>
      <c r="M236" s="7">
        <f t="shared" si="37"/>
        <v>646</v>
      </c>
      <c r="N236" s="5"/>
      <c r="O236" s="80"/>
    </row>
    <row r="237" spans="1:15" ht="9.75">
      <c r="A237" s="148"/>
      <c r="B237" s="121"/>
      <c r="C237" s="18" t="s">
        <v>74</v>
      </c>
      <c r="D237" s="4"/>
      <c r="E237" s="4"/>
      <c r="F237" s="4"/>
      <c r="G237" s="4"/>
      <c r="H237" s="7">
        <f t="shared" si="36"/>
        <v>0</v>
      </c>
      <c r="I237" s="7"/>
      <c r="J237" s="7">
        <v>1058</v>
      </c>
      <c r="K237" s="7"/>
      <c r="L237" s="7"/>
      <c r="M237" s="7">
        <f t="shared" si="37"/>
        <v>1058</v>
      </c>
      <c r="N237" s="5"/>
      <c r="O237" s="80"/>
    </row>
    <row r="238" spans="1:15" ht="30.75" customHeight="1">
      <c r="A238" s="148"/>
      <c r="B238" s="122"/>
      <c r="C238" s="22" t="s">
        <v>73</v>
      </c>
      <c r="D238" s="4"/>
      <c r="E238" s="4">
        <v>1397760</v>
      </c>
      <c r="F238" s="4"/>
      <c r="G238" s="4"/>
      <c r="H238" s="7">
        <f t="shared" si="36"/>
        <v>1397760</v>
      </c>
      <c r="I238" s="7"/>
      <c r="J238" s="7">
        <v>731350</v>
      </c>
      <c r="K238" s="7"/>
      <c r="L238" s="7"/>
      <c r="M238" s="7">
        <f t="shared" si="37"/>
        <v>731350</v>
      </c>
      <c r="N238" s="5">
        <f aca="true" t="shared" si="38" ref="N238:N244">M238/H238</f>
        <v>0.5232300251831502</v>
      </c>
      <c r="O238" s="80"/>
    </row>
    <row r="239" spans="1:15" ht="15" customHeight="1">
      <c r="A239" s="148"/>
      <c r="B239" s="33" t="s">
        <v>166</v>
      </c>
      <c r="C239" s="29"/>
      <c r="D239" s="6">
        <f>SUM(D234:D238)</f>
        <v>0</v>
      </c>
      <c r="E239" s="6">
        <f>SUM(E234:E238)</f>
        <v>1817760</v>
      </c>
      <c r="F239" s="6">
        <f>SUM(F234:F238)</f>
        <v>0</v>
      </c>
      <c r="G239" s="6">
        <f>SUM(G234:G238)</f>
        <v>0</v>
      </c>
      <c r="H239" s="6">
        <f t="shared" si="36"/>
        <v>1817760</v>
      </c>
      <c r="I239" s="6">
        <f>SUM(I234:I238)</f>
        <v>2395</v>
      </c>
      <c r="J239" s="6">
        <f>SUM(J234:J238)</f>
        <v>932658</v>
      </c>
      <c r="K239" s="6">
        <f>SUM(K234:K238)</f>
        <v>0</v>
      </c>
      <c r="L239" s="6">
        <f>SUM(L234:L238)</f>
        <v>0</v>
      </c>
      <c r="M239" s="6">
        <f t="shared" si="37"/>
        <v>935053</v>
      </c>
      <c r="N239" s="28">
        <f t="shared" si="38"/>
        <v>0.5143984904497844</v>
      </c>
      <c r="O239" s="80"/>
    </row>
    <row r="240" spans="1:15" ht="14.25" customHeight="1">
      <c r="A240" s="148"/>
      <c r="B240" s="120" t="s">
        <v>109</v>
      </c>
      <c r="C240" s="17" t="s">
        <v>76</v>
      </c>
      <c r="D240" s="4">
        <v>355000</v>
      </c>
      <c r="E240" s="4"/>
      <c r="F240" s="4"/>
      <c r="G240" s="4"/>
      <c r="H240" s="7">
        <f t="shared" si="36"/>
        <v>355000</v>
      </c>
      <c r="I240" s="7">
        <f>161888+1</f>
        <v>161889</v>
      </c>
      <c r="J240" s="7"/>
      <c r="K240" s="7"/>
      <c r="L240" s="7"/>
      <c r="M240" s="7">
        <f t="shared" si="37"/>
        <v>161889</v>
      </c>
      <c r="N240" s="5">
        <f t="shared" si="38"/>
        <v>0.45602535211267603</v>
      </c>
      <c r="O240" s="80"/>
    </row>
    <row r="241" spans="1:15" ht="50.25" customHeight="1">
      <c r="A241" s="148"/>
      <c r="B241" s="121"/>
      <c r="C241" s="18" t="s">
        <v>129</v>
      </c>
      <c r="D241" s="4"/>
      <c r="E241" s="4"/>
      <c r="F241" s="4">
        <f>556360-89080-31680</f>
        <v>435600</v>
      </c>
      <c r="G241" s="4"/>
      <c r="H241" s="7">
        <f t="shared" si="36"/>
        <v>435600</v>
      </c>
      <c r="I241" s="7"/>
      <c r="J241" s="7"/>
      <c r="K241" s="7">
        <v>212615</v>
      </c>
      <c r="L241" s="7"/>
      <c r="M241" s="7">
        <f t="shared" si="37"/>
        <v>212615</v>
      </c>
      <c r="N241" s="5">
        <f t="shared" si="38"/>
        <v>0.48809687786960515</v>
      </c>
      <c r="O241" s="80"/>
    </row>
    <row r="242" spans="1:15" ht="39.75" customHeight="1">
      <c r="A242" s="148"/>
      <c r="B242" s="121"/>
      <c r="C242" s="22" t="s">
        <v>77</v>
      </c>
      <c r="D242" s="4">
        <v>350</v>
      </c>
      <c r="E242" s="4"/>
      <c r="F242" s="4"/>
      <c r="G242" s="4"/>
      <c r="H242" s="7">
        <f t="shared" si="36"/>
        <v>350</v>
      </c>
      <c r="I242" s="7">
        <f>123-1</f>
        <v>122</v>
      </c>
      <c r="J242" s="7"/>
      <c r="K242" s="7"/>
      <c r="L242" s="7"/>
      <c r="M242" s="7">
        <f t="shared" si="37"/>
        <v>122</v>
      </c>
      <c r="N242" s="5">
        <f t="shared" si="38"/>
        <v>0.3485714285714286</v>
      </c>
      <c r="O242" s="80"/>
    </row>
    <row r="243" spans="1:15" ht="49.5" customHeight="1">
      <c r="A243" s="148"/>
      <c r="B243" s="17"/>
      <c r="C243" s="22" t="s">
        <v>79</v>
      </c>
      <c r="D243" s="4">
        <v>405300</v>
      </c>
      <c r="E243" s="4"/>
      <c r="F243" s="4"/>
      <c r="G243" s="4"/>
      <c r="H243" s="7">
        <f t="shared" si="36"/>
        <v>405300</v>
      </c>
      <c r="I243" s="7"/>
      <c r="J243" s="7"/>
      <c r="K243" s="7"/>
      <c r="L243" s="7"/>
      <c r="M243" s="7"/>
      <c r="N243" s="5">
        <f t="shared" si="38"/>
        <v>0</v>
      </c>
      <c r="O243" s="80"/>
    </row>
    <row r="244" spans="1:15" ht="13.5" customHeight="1">
      <c r="A244" s="148"/>
      <c r="B244" s="33" t="s">
        <v>167</v>
      </c>
      <c r="C244" s="29"/>
      <c r="D244" s="6">
        <f>SUM(D240:D243)</f>
        <v>760650</v>
      </c>
      <c r="E244" s="6">
        <f>SUM(E240:E243)</f>
        <v>0</v>
      </c>
      <c r="F244" s="6">
        <f>SUM(F240:F243)</f>
        <v>435600</v>
      </c>
      <c r="G244" s="6">
        <f>SUM(G240:G243)</f>
        <v>0</v>
      </c>
      <c r="H244" s="6">
        <f t="shared" si="36"/>
        <v>1196250</v>
      </c>
      <c r="I244" s="6">
        <f>SUM(I240:I243)</f>
        <v>162011</v>
      </c>
      <c r="J244" s="6">
        <f>SUM(J240:J243)</f>
        <v>0</v>
      </c>
      <c r="K244" s="6">
        <f>SUM(K240:K243)</f>
        <v>212615</v>
      </c>
      <c r="L244" s="6">
        <f>SUM(L240:L243)</f>
        <v>0</v>
      </c>
      <c r="M244" s="6">
        <f t="shared" si="37"/>
        <v>374626</v>
      </c>
      <c r="N244" s="28">
        <f t="shared" si="38"/>
        <v>0.31316698014629046</v>
      </c>
      <c r="O244" s="80"/>
    </row>
    <row r="245" spans="1:15" ht="11.25" customHeight="1">
      <c r="A245" s="149"/>
      <c r="B245" s="119" t="s">
        <v>196</v>
      </c>
      <c r="C245" s="18" t="s">
        <v>74</v>
      </c>
      <c r="D245" s="13"/>
      <c r="E245" s="13"/>
      <c r="F245" s="13"/>
      <c r="G245" s="13"/>
      <c r="H245" s="7">
        <f t="shared" si="36"/>
        <v>0</v>
      </c>
      <c r="I245" s="13"/>
      <c r="J245" s="7">
        <f>274+1</f>
        <v>275</v>
      </c>
      <c r="K245" s="13"/>
      <c r="L245" s="13"/>
      <c r="M245" s="7">
        <f t="shared" si="37"/>
        <v>275</v>
      </c>
      <c r="N245" s="5"/>
      <c r="O245" s="80"/>
    </row>
    <row r="246" spans="1:15" ht="31.5" customHeight="1">
      <c r="A246" s="148"/>
      <c r="B246" s="119"/>
      <c r="C246" s="18" t="s">
        <v>83</v>
      </c>
      <c r="D246" s="4"/>
      <c r="E246" s="4">
        <f>46700+30478</f>
        <v>77178</v>
      </c>
      <c r="F246" s="4"/>
      <c r="G246" s="4"/>
      <c r="H246" s="7">
        <f t="shared" si="36"/>
        <v>77178</v>
      </c>
      <c r="I246" s="7"/>
      <c r="J246" s="7">
        <v>42385</v>
      </c>
      <c r="K246" s="7"/>
      <c r="L246" s="7"/>
      <c r="M246" s="7">
        <f t="shared" si="37"/>
        <v>42385</v>
      </c>
      <c r="N246" s="5">
        <f aca="true" t="shared" si="39" ref="N246:N257">M246/H246</f>
        <v>0.5491850009069942</v>
      </c>
      <c r="O246" s="80"/>
    </row>
    <row r="247" spans="1:15" ht="12" customHeight="1">
      <c r="A247" s="148"/>
      <c r="B247" s="33" t="s">
        <v>197</v>
      </c>
      <c r="C247" s="29"/>
      <c r="D247" s="6">
        <f>SUM(D245:D246)</f>
        <v>0</v>
      </c>
      <c r="E247" s="6">
        <f>SUM(E245:E246)</f>
        <v>77178</v>
      </c>
      <c r="F247" s="6">
        <f>SUM(F245:F246)</f>
        <v>0</v>
      </c>
      <c r="G247" s="6">
        <f>SUM(G245:G246)</f>
        <v>0</v>
      </c>
      <c r="H247" s="6">
        <f t="shared" si="36"/>
        <v>77178</v>
      </c>
      <c r="I247" s="6">
        <f>SUM(I245:I246)</f>
        <v>0</v>
      </c>
      <c r="J247" s="6">
        <f>SUM(J245:J246)</f>
        <v>42660</v>
      </c>
      <c r="K247" s="6">
        <f>SUM(K245:K246)</f>
        <v>0</v>
      </c>
      <c r="L247" s="6">
        <f>SUM(L245:L246)</f>
        <v>0</v>
      </c>
      <c r="M247" s="6">
        <f t="shared" si="37"/>
        <v>42660</v>
      </c>
      <c r="N247" s="28">
        <f t="shared" si="39"/>
        <v>0.5527481924900879</v>
      </c>
      <c r="O247" s="80"/>
    </row>
    <row r="248" spans="1:15" ht="12.75" customHeight="1">
      <c r="A248" s="149"/>
      <c r="B248" s="120" t="s">
        <v>168</v>
      </c>
      <c r="C248" s="18" t="s">
        <v>72</v>
      </c>
      <c r="D248" s="13"/>
      <c r="E248" s="13"/>
      <c r="F248" s="13"/>
      <c r="G248" s="13"/>
      <c r="H248" s="7">
        <f t="shared" si="36"/>
        <v>0</v>
      </c>
      <c r="I248" s="7">
        <f>26324+1</f>
        <v>26325</v>
      </c>
      <c r="J248" s="13"/>
      <c r="K248" s="13"/>
      <c r="L248" s="13"/>
      <c r="M248" s="7">
        <f t="shared" si="37"/>
        <v>26325</v>
      </c>
      <c r="N248" s="5"/>
      <c r="O248" s="80"/>
    </row>
    <row r="249" spans="1:15" ht="49.5" customHeight="1">
      <c r="A249" s="148"/>
      <c r="B249" s="121"/>
      <c r="C249" s="17" t="s">
        <v>129</v>
      </c>
      <c r="D249" s="4"/>
      <c r="E249" s="4"/>
      <c r="F249" s="4">
        <v>32400310</v>
      </c>
      <c r="G249" s="4"/>
      <c r="H249" s="7">
        <f t="shared" si="36"/>
        <v>32400310</v>
      </c>
      <c r="I249" s="7"/>
      <c r="J249" s="7"/>
      <c r="K249" s="7">
        <v>15100000</v>
      </c>
      <c r="L249" s="7"/>
      <c r="M249" s="7">
        <f t="shared" si="37"/>
        <v>15100000</v>
      </c>
      <c r="N249" s="5">
        <f t="shared" si="39"/>
        <v>0.4660449236442491</v>
      </c>
      <c r="O249" s="80"/>
    </row>
    <row r="250" spans="1:15" ht="50.25" customHeight="1">
      <c r="A250" s="148"/>
      <c r="B250" s="122"/>
      <c r="C250" s="22" t="s">
        <v>69</v>
      </c>
      <c r="D250" s="4"/>
      <c r="E250" s="4"/>
      <c r="F250" s="4"/>
      <c r="G250" s="4">
        <v>41800</v>
      </c>
      <c r="H250" s="7">
        <f t="shared" si="36"/>
        <v>41800</v>
      </c>
      <c r="I250" s="7"/>
      <c r="J250" s="7"/>
      <c r="K250" s="7"/>
      <c r="L250" s="7">
        <v>31200</v>
      </c>
      <c r="M250" s="7">
        <f t="shared" si="37"/>
        <v>31200</v>
      </c>
      <c r="N250" s="5">
        <f t="shared" si="39"/>
        <v>0.7464114832535885</v>
      </c>
      <c r="O250" s="80"/>
    </row>
    <row r="251" spans="1:15" ht="12" customHeight="1">
      <c r="A251" s="148"/>
      <c r="B251" s="33" t="s">
        <v>169</v>
      </c>
      <c r="C251" s="29"/>
      <c r="D251" s="6">
        <f>SUM(D248:D250)</f>
        <v>0</v>
      </c>
      <c r="E251" s="6">
        <f>SUM(E248:E250)</f>
        <v>0</v>
      </c>
      <c r="F251" s="6">
        <f>SUM(F248:F250)</f>
        <v>32400310</v>
      </c>
      <c r="G251" s="6">
        <f>SUM(G248:G250)</f>
        <v>41800</v>
      </c>
      <c r="H251" s="6">
        <f t="shared" si="36"/>
        <v>32442110</v>
      </c>
      <c r="I251" s="6">
        <f>SUM(I248:I250)</f>
        <v>26325</v>
      </c>
      <c r="J251" s="6">
        <f>SUM(J248:J250)</f>
        <v>0</v>
      </c>
      <c r="K251" s="6">
        <f>SUM(K248:K250)</f>
        <v>15100000</v>
      </c>
      <c r="L251" s="6">
        <f>SUM(L248:L250)</f>
        <v>31200</v>
      </c>
      <c r="M251" s="6">
        <f t="shared" si="37"/>
        <v>15157525</v>
      </c>
      <c r="N251" s="28">
        <f t="shared" si="39"/>
        <v>0.4672176069928867</v>
      </c>
      <c r="O251" s="80"/>
    </row>
    <row r="252" spans="1:15" ht="72.75" customHeight="1">
      <c r="A252" s="148"/>
      <c r="B252" s="23" t="s">
        <v>170</v>
      </c>
      <c r="C252" s="27" t="s">
        <v>129</v>
      </c>
      <c r="D252" s="4"/>
      <c r="E252" s="4"/>
      <c r="F252" s="4">
        <f>428490+16510</f>
        <v>445000</v>
      </c>
      <c r="G252" s="4"/>
      <c r="H252" s="7">
        <f t="shared" si="36"/>
        <v>445000</v>
      </c>
      <c r="I252" s="7"/>
      <c r="J252" s="7"/>
      <c r="K252" s="7">
        <v>222490</v>
      </c>
      <c r="L252" s="7"/>
      <c r="M252" s="7">
        <f t="shared" si="37"/>
        <v>222490</v>
      </c>
      <c r="N252" s="5">
        <f t="shared" si="39"/>
        <v>0.49997752808988766</v>
      </c>
      <c r="O252" s="80"/>
    </row>
    <row r="253" spans="1:15" ht="15.75" customHeight="1">
      <c r="A253" s="148"/>
      <c r="B253" s="33" t="s">
        <v>171</v>
      </c>
      <c r="C253" s="29"/>
      <c r="D253" s="6">
        <f>SUM(D252)</f>
        <v>0</v>
      </c>
      <c r="E253" s="6">
        <f>SUM(E252)</f>
        <v>0</v>
      </c>
      <c r="F253" s="6">
        <f>SUM(F252)</f>
        <v>445000</v>
      </c>
      <c r="G253" s="6">
        <f>SUM(G252)</f>
        <v>0</v>
      </c>
      <c r="H253" s="6">
        <f t="shared" si="36"/>
        <v>445000</v>
      </c>
      <c r="I253" s="6">
        <f>SUM(I252)</f>
        <v>0</v>
      </c>
      <c r="J253" s="6">
        <f>SUM(J252)</f>
        <v>0</v>
      </c>
      <c r="K253" s="6">
        <f>SUM(K252)</f>
        <v>222490</v>
      </c>
      <c r="L253" s="6">
        <f>SUM(L252)</f>
        <v>0</v>
      </c>
      <c r="M253" s="6">
        <f>SUM(M252)</f>
        <v>222490</v>
      </c>
      <c r="N253" s="28">
        <f t="shared" si="39"/>
        <v>0.49997752808988766</v>
      </c>
      <c r="O253" s="80"/>
    </row>
    <row r="254" spans="1:15" ht="14.25" customHeight="1">
      <c r="A254" s="149"/>
      <c r="B254" s="120" t="s">
        <v>172</v>
      </c>
      <c r="C254" s="18" t="s">
        <v>74</v>
      </c>
      <c r="D254" s="13"/>
      <c r="E254" s="13"/>
      <c r="F254" s="13"/>
      <c r="G254" s="13"/>
      <c r="H254" s="7">
        <f t="shared" si="36"/>
        <v>0</v>
      </c>
      <c r="I254" s="7">
        <f>4737-1</f>
        <v>4736</v>
      </c>
      <c r="J254" s="13"/>
      <c r="K254" s="13"/>
      <c r="L254" s="13"/>
      <c r="M254" s="7">
        <f aca="true" t="shared" si="40" ref="M254:M277">SUM(I254:L254)</f>
        <v>4736</v>
      </c>
      <c r="N254" s="5"/>
      <c r="O254" s="80"/>
    </row>
    <row r="255" spans="1:15" ht="48" customHeight="1">
      <c r="A255" s="148"/>
      <c r="B255" s="121"/>
      <c r="C255" s="17" t="s">
        <v>129</v>
      </c>
      <c r="D255" s="4"/>
      <c r="E255" s="4"/>
      <c r="F255" s="4">
        <f>5053200+49800</f>
        <v>5103000</v>
      </c>
      <c r="G255" s="4"/>
      <c r="H255" s="7">
        <f t="shared" si="36"/>
        <v>5103000</v>
      </c>
      <c r="I255" s="7"/>
      <c r="J255" s="7"/>
      <c r="K255" s="7">
        <v>2477905</v>
      </c>
      <c r="L255" s="7"/>
      <c r="M255" s="7">
        <f t="shared" si="40"/>
        <v>2477905</v>
      </c>
      <c r="N255" s="5">
        <f t="shared" si="39"/>
        <v>0.48557809131883206</v>
      </c>
      <c r="O255" s="80"/>
    </row>
    <row r="256" spans="1:15" ht="29.25" customHeight="1">
      <c r="A256" s="148"/>
      <c r="B256" s="122"/>
      <c r="C256" s="22" t="s">
        <v>101</v>
      </c>
      <c r="D256" s="4">
        <v>283500</v>
      </c>
      <c r="E256" s="4"/>
      <c r="F256" s="4"/>
      <c r="G256" s="4"/>
      <c r="H256" s="7">
        <f t="shared" si="36"/>
        <v>283500</v>
      </c>
      <c r="I256" s="7">
        <f>118125+14765</f>
        <v>132890</v>
      </c>
      <c r="J256" s="7"/>
      <c r="K256" s="7"/>
      <c r="L256" s="7"/>
      <c r="M256" s="7">
        <f t="shared" si="40"/>
        <v>132890</v>
      </c>
      <c r="N256" s="5">
        <f t="shared" si="39"/>
        <v>0.4687477954144621</v>
      </c>
      <c r="O256" s="80"/>
    </row>
    <row r="257" spans="1:15" ht="9.75">
      <c r="A257" s="148"/>
      <c r="B257" s="33" t="s">
        <v>173</v>
      </c>
      <c r="C257" s="29"/>
      <c r="D257" s="6">
        <f>SUM(D254:D256)</f>
        <v>283500</v>
      </c>
      <c r="E257" s="6">
        <f>SUM(E254:E256)</f>
        <v>0</v>
      </c>
      <c r="F257" s="6">
        <f>SUM(F254:F256)</f>
        <v>5103000</v>
      </c>
      <c r="G257" s="6">
        <f>SUM(G254:G256)</f>
        <v>0</v>
      </c>
      <c r="H257" s="6">
        <f t="shared" si="36"/>
        <v>5386500</v>
      </c>
      <c r="I257" s="6">
        <f>SUM(I254:I256)</f>
        <v>137626</v>
      </c>
      <c r="J257" s="6">
        <f>SUM(J255:J256)</f>
        <v>0</v>
      </c>
      <c r="K257" s="6">
        <f>SUM(K255:K256)</f>
        <v>2477905</v>
      </c>
      <c r="L257" s="6">
        <f>SUM(L255:L256)</f>
        <v>0</v>
      </c>
      <c r="M257" s="6">
        <f t="shared" si="40"/>
        <v>2615531</v>
      </c>
      <c r="N257" s="28">
        <f t="shared" si="39"/>
        <v>0.4855715213960828</v>
      </c>
      <c r="O257" s="80"/>
    </row>
    <row r="258" spans="1:15" ht="9.75">
      <c r="A258" s="149"/>
      <c r="B258" s="120" t="s">
        <v>224</v>
      </c>
      <c r="C258" s="18" t="s">
        <v>72</v>
      </c>
      <c r="D258" s="13"/>
      <c r="E258" s="13"/>
      <c r="F258" s="13"/>
      <c r="G258" s="13"/>
      <c r="H258" s="7">
        <f t="shared" si="36"/>
        <v>0</v>
      </c>
      <c r="I258" s="7">
        <f>177+1</f>
        <v>178</v>
      </c>
      <c r="J258" s="13"/>
      <c r="K258" s="13"/>
      <c r="L258" s="13"/>
      <c r="M258" s="7">
        <f t="shared" si="40"/>
        <v>178</v>
      </c>
      <c r="N258" s="5"/>
      <c r="O258" s="80"/>
    </row>
    <row r="259" spans="1:15" ht="9.75">
      <c r="A259" s="148"/>
      <c r="B259" s="121"/>
      <c r="C259" s="18" t="s">
        <v>74</v>
      </c>
      <c r="D259" s="4"/>
      <c r="E259" s="4"/>
      <c r="F259" s="4"/>
      <c r="G259" s="4"/>
      <c r="H259" s="7">
        <f t="shared" si="36"/>
        <v>0</v>
      </c>
      <c r="I259" s="7">
        <v>3362</v>
      </c>
      <c r="J259" s="7"/>
      <c r="K259" s="7"/>
      <c r="L259" s="7"/>
      <c r="M259" s="7">
        <f t="shared" si="40"/>
        <v>3362</v>
      </c>
      <c r="N259" s="5"/>
      <c r="O259" s="80"/>
    </row>
    <row r="260" spans="1:15" ht="9.75">
      <c r="A260" s="148"/>
      <c r="B260" s="33" t="s">
        <v>225</v>
      </c>
      <c r="C260" s="29"/>
      <c r="D260" s="6">
        <f>SUM(D258:D259)</f>
        <v>0</v>
      </c>
      <c r="E260" s="6">
        <f>SUM(E258:E259)</f>
        <v>0</v>
      </c>
      <c r="F260" s="6">
        <f>SUM(F258:F259)</f>
        <v>0</v>
      </c>
      <c r="G260" s="6">
        <f>SUM(G258:G259)</f>
        <v>0</v>
      </c>
      <c r="H260" s="6">
        <f t="shared" si="36"/>
        <v>0</v>
      </c>
      <c r="I260" s="6">
        <f>SUM(I258:I259)</f>
        <v>3540</v>
      </c>
      <c r="J260" s="6">
        <f>SUM(J258:J259)</f>
        <v>0</v>
      </c>
      <c r="K260" s="6">
        <f>SUM(K258:K259)</f>
        <v>0</v>
      </c>
      <c r="L260" s="6">
        <f>SUM(L258:L259)</f>
        <v>0</v>
      </c>
      <c r="M260" s="6">
        <f t="shared" si="40"/>
        <v>3540</v>
      </c>
      <c r="N260" s="28"/>
      <c r="O260" s="80"/>
    </row>
    <row r="261" spans="1:15" ht="11.25" customHeight="1">
      <c r="A261" s="149"/>
      <c r="B261" s="120" t="s">
        <v>110</v>
      </c>
      <c r="C261" s="17" t="s">
        <v>76</v>
      </c>
      <c r="D261" s="13"/>
      <c r="E261" s="13"/>
      <c r="F261" s="13"/>
      <c r="G261" s="13"/>
      <c r="H261" s="7">
        <f t="shared" si="36"/>
        <v>0</v>
      </c>
      <c r="I261" s="13">
        <v>520</v>
      </c>
      <c r="J261" s="13"/>
      <c r="K261" s="13"/>
      <c r="L261" s="13"/>
      <c r="M261" s="7">
        <f t="shared" si="40"/>
        <v>520</v>
      </c>
      <c r="N261" s="5"/>
      <c r="O261" s="80"/>
    </row>
    <row r="262" spans="1:15" ht="9.75" customHeight="1">
      <c r="A262" s="149"/>
      <c r="B262" s="121"/>
      <c r="C262" s="18" t="s">
        <v>74</v>
      </c>
      <c r="D262" s="13"/>
      <c r="E262" s="13"/>
      <c r="F262" s="13"/>
      <c r="G262" s="13"/>
      <c r="H262" s="7">
        <f aca="true" t="shared" si="41" ref="H262:H295">SUM(D262:G262)</f>
        <v>0</v>
      </c>
      <c r="I262" s="7">
        <f>845-1</f>
        <v>844</v>
      </c>
      <c r="J262" s="13"/>
      <c r="K262" s="13"/>
      <c r="L262" s="13"/>
      <c r="M262" s="7">
        <f t="shared" si="40"/>
        <v>844</v>
      </c>
      <c r="N262" s="5"/>
      <c r="O262" s="80"/>
    </row>
    <row r="263" spans="1:15" ht="29.25" customHeight="1">
      <c r="A263" s="148"/>
      <c r="B263" s="122"/>
      <c r="C263" s="18" t="s">
        <v>101</v>
      </c>
      <c r="D263" s="4">
        <v>1104210</v>
      </c>
      <c r="E263" s="4"/>
      <c r="F263" s="4"/>
      <c r="G263" s="4"/>
      <c r="H263" s="7">
        <f t="shared" si="41"/>
        <v>1104210</v>
      </c>
      <c r="I263" s="7">
        <v>631725</v>
      </c>
      <c r="J263" s="7"/>
      <c r="K263" s="7"/>
      <c r="L263" s="7"/>
      <c r="M263" s="7">
        <f t="shared" si="40"/>
        <v>631725</v>
      </c>
      <c r="N263" s="5">
        <f aca="true" t="shared" si="42" ref="N263:N276">M263/H263</f>
        <v>0.5721058494308148</v>
      </c>
      <c r="O263" s="80"/>
    </row>
    <row r="264" spans="1:15" ht="9.75">
      <c r="A264" s="148"/>
      <c r="B264" s="33" t="s">
        <v>174</v>
      </c>
      <c r="C264" s="29"/>
      <c r="D264" s="6">
        <f>SUM(D261:D263)</f>
        <v>1104210</v>
      </c>
      <c r="E264" s="6">
        <f>SUM(E261:E263)</f>
        <v>0</v>
      </c>
      <c r="F264" s="6">
        <f>SUM(F261:F263)</f>
        <v>0</v>
      </c>
      <c r="G264" s="6">
        <f>SUM(G261:G263)</f>
        <v>0</v>
      </c>
      <c r="H264" s="6">
        <f t="shared" si="41"/>
        <v>1104210</v>
      </c>
      <c r="I264" s="6">
        <f>SUM(I261:I263)</f>
        <v>633089</v>
      </c>
      <c r="J264" s="6">
        <f>SUM(J261:J263)</f>
        <v>0</v>
      </c>
      <c r="K264" s="6">
        <f>SUM(K261:K263)</f>
        <v>0</v>
      </c>
      <c r="L264" s="6">
        <f>SUM(L261:L263)</f>
        <v>0</v>
      </c>
      <c r="M264" s="6">
        <f t="shared" si="40"/>
        <v>633089</v>
      </c>
      <c r="N264" s="28">
        <f t="shared" si="42"/>
        <v>0.5733411217069216</v>
      </c>
      <c r="O264" s="80"/>
    </row>
    <row r="265" spans="1:15" ht="9.75">
      <c r="A265" s="148"/>
      <c r="B265" s="130" t="s">
        <v>175</v>
      </c>
      <c r="C265" s="17" t="s">
        <v>76</v>
      </c>
      <c r="D265" s="4">
        <v>360000</v>
      </c>
      <c r="E265" s="4"/>
      <c r="F265" s="7"/>
      <c r="G265" s="4"/>
      <c r="H265" s="7">
        <f t="shared" si="41"/>
        <v>360000</v>
      </c>
      <c r="I265" s="7">
        <v>163165</v>
      </c>
      <c r="J265" s="9"/>
      <c r="K265" s="9"/>
      <c r="L265" s="9"/>
      <c r="M265" s="7">
        <f t="shared" si="40"/>
        <v>163165</v>
      </c>
      <c r="N265" s="5">
        <f t="shared" si="42"/>
        <v>0.4532361111111111</v>
      </c>
      <c r="O265" s="80"/>
    </row>
    <row r="266" spans="1:15" ht="9.75">
      <c r="A266" s="148"/>
      <c r="B266" s="124"/>
      <c r="C266" s="18" t="s">
        <v>72</v>
      </c>
      <c r="D266" s="4"/>
      <c r="E266" s="4"/>
      <c r="F266" s="7"/>
      <c r="G266" s="4"/>
      <c r="H266" s="7">
        <f t="shared" si="41"/>
        <v>0</v>
      </c>
      <c r="I266" s="7">
        <f>12849+1</f>
        <v>12850</v>
      </c>
      <c r="J266" s="9"/>
      <c r="K266" s="9"/>
      <c r="L266" s="9"/>
      <c r="M266" s="7">
        <f t="shared" si="40"/>
        <v>12850</v>
      </c>
      <c r="N266" s="5"/>
      <c r="O266" s="80"/>
    </row>
    <row r="267" spans="1:15" ht="47.25" customHeight="1">
      <c r="A267" s="148"/>
      <c r="B267" s="124"/>
      <c r="C267" s="18" t="s">
        <v>129</v>
      </c>
      <c r="D267" s="4"/>
      <c r="E267" s="4"/>
      <c r="F267" s="4">
        <v>248420</v>
      </c>
      <c r="G267" s="4"/>
      <c r="H267" s="7">
        <f t="shared" si="41"/>
        <v>248420</v>
      </c>
      <c r="I267" s="7"/>
      <c r="J267" s="7"/>
      <c r="K267" s="7">
        <v>133770</v>
      </c>
      <c r="L267" s="7"/>
      <c r="M267" s="7">
        <f t="shared" si="40"/>
        <v>133770</v>
      </c>
      <c r="N267" s="5">
        <f t="shared" si="42"/>
        <v>0.5384832139119233</v>
      </c>
      <c r="O267" s="80"/>
    </row>
    <row r="268" spans="1:15" ht="29.25" customHeight="1">
      <c r="A268" s="148"/>
      <c r="B268" s="131"/>
      <c r="C268" s="22" t="s">
        <v>77</v>
      </c>
      <c r="D268" s="4">
        <v>750</v>
      </c>
      <c r="E268" s="4"/>
      <c r="F268" s="4"/>
      <c r="G268" s="4"/>
      <c r="H268" s="7">
        <f t="shared" si="41"/>
        <v>750</v>
      </c>
      <c r="I268" s="7">
        <v>304</v>
      </c>
      <c r="J268" s="7"/>
      <c r="K268" s="7"/>
      <c r="L268" s="7"/>
      <c r="M268" s="7">
        <f t="shared" si="40"/>
        <v>304</v>
      </c>
      <c r="N268" s="5">
        <f t="shared" si="42"/>
        <v>0.4053333333333333</v>
      </c>
      <c r="O268" s="80"/>
    </row>
    <row r="269" spans="1:15" ht="9.75">
      <c r="A269" s="148"/>
      <c r="B269" s="33" t="s">
        <v>176</v>
      </c>
      <c r="C269" s="29"/>
      <c r="D269" s="6">
        <f>SUM(D265:D268)</f>
        <v>360750</v>
      </c>
      <c r="E269" s="6">
        <f>SUM(E265:E268)</f>
        <v>0</v>
      </c>
      <c r="F269" s="6">
        <f>SUM(F265:F268)</f>
        <v>248420</v>
      </c>
      <c r="G269" s="6">
        <f>SUM(G265:G268)</f>
        <v>0</v>
      </c>
      <c r="H269" s="6">
        <f t="shared" si="41"/>
        <v>609170</v>
      </c>
      <c r="I269" s="6">
        <f>SUM(I265:I268)</f>
        <v>176319</v>
      </c>
      <c r="J269" s="6">
        <f>SUM(J265:J268)</f>
        <v>0</v>
      </c>
      <c r="K269" s="6">
        <f>SUM(K265:K268)</f>
        <v>133770</v>
      </c>
      <c r="L269" s="6">
        <f>SUM(L265:L268)</f>
        <v>0</v>
      </c>
      <c r="M269" s="6">
        <f t="shared" si="40"/>
        <v>310089</v>
      </c>
      <c r="N269" s="28">
        <f t="shared" si="42"/>
        <v>0.5090352446771838</v>
      </c>
      <c r="O269" s="80"/>
    </row>
    <row r="270" spans="1:15" ht="30" customHeight="1">
      <c r="A270" s="148"/>
      <c r="B270" s="119" t="s">
        <v>190</v>
      </c>
      <c r="C270" s="18" t="s">
        <v>101</v>
      </c>
      <c r="D270" s="4">
        <v>197344</v>
      </c>
      <c r="E270" s="4"/>
      <c r="F270" s="4"/>
      <c r="G270" s="4"/>
      <c r="H270" s="7">
        <f t="shared" si="41"/>
        <v>197344</v>
      </c>
      <c r="I270" s="7">
        <v>164500</v>
      </c>
      <c r="J270" s="9"/>
      <c r="K270" s="9"/>
      <c r="L270" s="9"/>
      <c r="M270" s="7">
        <f t="shared" si="40"/>
        <v>164500</v>
      </c>
      <c r="N270" s="5">
        <f t="shared" si="42"/>
        <v>0.8335698070374574</v>
      </c>
      <c r="O270" s="80"/>
    </row>
    <row r="271" spans="1:15" ht="36.75" customHeight="1">
      <c r="A271" s="148"/>
      <c r="B271" s="119"/>
      <c r="C271" s="18" t="s">
        <v>216</v>
      </c>
      <c r="D271" s="4"/>
      <c r="E271" s="4"/>
      <c r="F271" s="4"/>
      <c r="G271" s="4"/>
      <c r="H271" s="7">
        <f t="shared" si="41"/>
        <v>0</v>
      </c>
      <c r="I271" s="7">
        <f>1111-1</f>
        <v>1110</v>
      </c>
      <c r="J271" s="9"/>
      <c r="K271" s="9"/>
      <c r="L271" s="9"/>
      <c r="M271" s="7">
        <f t="shared" si="40"/>
        <v>1110</v>
      </c>
      <c r="N271" s="5"/>
      <c r="O271" s="80"/>
    </row>
    <row r="272" spans="1:15" ht="9.75">
      <c r="A272" s="148"/>
      <c r="B272" s="37" t="s">
        <v>191</v>
      </c>
      <c r="C272" s="34"/>
      <c r="D272" s="6">
        <f>SUM(D270:D271)</f>
        <v>197344</v>
      </c>
      <c r="E272" s="6">
        <f>SUM(E270:E271)</f>
        <v>0</v>
      </c>
      <c r="F272" s="6">
        <f>SUM(F270:F271)</f>
        <v>0</v>
      </c>
      <c r="G272" s="6">
        <f>SUM(G270:G271)</f>
        <v>0</v>
      </c>
      <c r="H272" s="6">
        <f t="shared" si="41"/>
        <v>197344</v>
      </c>
      <c r="I272" s="6">
        <f>SUM(I270:I271)</f>
        <v>165610</v>
      </c>
      <c r="J272" s="6">
        <f>SUM(J270:J271)</f>
        <v>0</v>
      </c>
      <c r="K272" s="6">
        <f>SUM(K270:K271)</f>
        <v>0</v>
      </c>
      <c r="L272" s="6">
        <f>SUM(L270:L271)</f>
        <v>0</v>
      </c>
      <c r="M272" s="6">
        <f t="shared" si="40"/>
        <v>165610</v>
      </c>
      <c r="N272" s="28">
        <f t="shared" si="42"/>
        <v>0.8391945029998379</v>
      </c>
      <c r="O272" s="80"/>
    </row>
    <row r="273" spans="1:15" ht="9.75" customHeight="1">
      <c r="A273" s="35" t="s">
        <v>105</v>
      </c>
      <c r="B273" s="36"/>
      <c r="C273" s="24"/>
      <c r="D273" s="25">
        <f>SUM(D272,D269,D264,D260,D257,D253,D251,D247,D244,D239,D233)</f>
        <v>2706454</v>
      </c>
      <c r="E273" s="25">
        <f>SUM(E272,E269,E264,E260,E257,E253,E251,E247,E244,E239,E233)</f>
        <v>2098598</v>
      </c>
      <c r="F273" s="25">
        <f>SUM(F272,F269,F264,F260,F257,F253,F251,F247,F244,F239,F233)</f>
        <v>38632330</v>
      </c>
      <c r="G273" s="25">
        <f>SUM(G272,G269,G264,G260,G257,G253,G251,G247,G244,G239,G233)</f>
        <v>41800</v>
      </c>
      <c r="H273" s="25">
        <f t="shared" si="41"/>
        <v>43479182</v>
      </c>
      <c r="I273" s="25">
        <f>SUM(I272,I269,I264,I260,I257,I253,I251,I247,I244,I239,I233)</f>
        <v>1306915</v>
      </c>
      <c r="J273" s="25">
        <f>SUM(J272,J269,J264,J260,J257,J253,J251,J247,J244,J239,J233)</f>
        <v>1028452</v>
      </c>
      <c r="K273" s="25">
        <f>SUM(K272,K269,K264,K260,K257,K253,K251,K247,K244,K239,K233)</f>
        <v>18146780</v>
      </c>
      <c r="L273" s="25">
        <f>SUM(L272,L269,L264,L260,L257,L253,L251,L247,L244,L239,L233)</f>
        <v>31200</v>
      </c>
      <c r="M273" s="25">
        <f t="shared" si="40"/>
        <v>20513347</v>
      </c>
      <c r="N273" s="30">
        <f t="shared" si="42"/>
        <v>0.471796985509065</v>
      </c>
      <c r="O273" s="80"/>
    </row>
    <row r="274" spans="1:15" ht="11.25">
      <c r="A274" s="159" t="s">
        <v>111</v>
      </c>
      <c r="B274" s="120" t="s">
        <v>47</v>
      </c>
      <c r="C274" s="18" t="s">
        <v>76</v>
      </c>
      <c r="D274" s="4">
        <v>165000</v>
      </c>
      <c r="E274" s="47"/>
      <c r="F274" s="47"/>
      <c r="G274" s="47"/>
      <c r="H274" s="7">
        <f t="shared" si="41"/>
        <v>165000</v>
      </c>
      <c r="I274" s="7">
        <v>89325</v>
      </c>
      <c r="J274" s="47"/>
      <c r="K274" s="47"/>
      <c r="L274" s="47"/>
      <c r="M274" s="7">
        <f t="shared" si="40"/>
        <v>89325</v>
      </c>
      <c r="N274" s="5">
        <f t="shared" si="42"/>
        <v>0.5413636363636364</v>
      </c>
      <c r="O274" s="80"/>
    </row>
    <row r="275" spans="1:15" ht="9" customHeight="1">
      <c r="A275" s="160"/>
      <c r="B275" s="122"/>
      <c r="C275" s="18" t="s">
        <v>72</v>
      </c>
      <c r="D275" s="81"/>
      <c r="E275" s="4"/>
      <c r="F275" s="4"/>
      <c r="G275" s="4"/>
      <c r="H275" s="7">
        <f t="shared" si="41"/>
        <v>0</v>
      </c>
      <c r="I275" s="81">
        <v>693</v>
      </c>
      <c r="J275" s="7"/>
      <c r="K275" s="7"/>
      <c r="L275" s="7"/>
      <c r="M275" s="7">
        <f t="shared" si="40"/>
        <v>693</v>
      </c>
      <c r="N275" s="5"/>
      <c r="O275" s="80"/>
    </row>
    <row r="276" spans="1:15" ht="9.75">
      <c r="A276" s="160"/>
      <c r="B276" s="29" t="s">
        <v>177</v>
      </c>
      <c r="C276" s="29"/>
      <c r="D276" s="6">
        <f>SUM(D274:D275)</f>
        <v>165000</v>
      </c>
      <c r="E276" s="6">
        <f>SUM(E274:E275)</f>
        <v>0</v>
      </c>
      <c r="F276" s="6">
        <f>SUM(F274:F275)</f>
        <v>0</v>
      </c>
      <c r="G276" s="6">
        <f>SUM(G274:G275)</f>
        <v>0</v>
      </c>
      <c r="H276" s="6">
        <f t="shared" si="41"/>
        <v>165000</v>
      </c>
      <c r="I276" s="6">
        <f>SUM(I274:I275)</f>
        <v>90018</v>
      </c>
      <c r="J276" s="6">
        <f>SUM(J274:J275)</f>
        <v>0</v>
      </c>
      <c r="K276" s="6">
        <f>SUM(K274:K275)</f>
        <v>0</v>
      </c>
      <c r="L276" s="6">
        <f>SUM(L274:L275)</f>
        <v>0</v>
      </c>
      <c r="M276" s="6">
        <f t="shared" si="40"/>
        <v>90018</v>
      </c>
      <c r="N276" s="28">
        <f t="shared" si="42"/>
        <v>0.5455636363636364</v>
      </c>
      <c r="O276" s="80"/>
    </row>
    <row r="277" spans="1:15" ht="37.5" customHeight="1">
      <c r="A277" s="160"/>
      <c r="B277" s="45" t="s">
        <v>226</v>
      </c>
      <c r="C277" s="18" t="s">
        <v>216</v>
      </c>
      <c r="D277" s="4"/>
      <c r="E277" s="4"/>
      <c r="F277" s="4"/>
      <c r="G277" s="4"/>
      <c r="H277" s="7">
        <f t="shared" si="41"/>
        <v>0</v>
      </c>
      <c r="I277" s="7">
        <v>6</v>
      </c>
      <c r="J277" s="9"/>
      <c r="K277" s="9"/>
      <c r="L277" s="9"/>
      <c r="M277" s="7">
        <f t="shared" si="40"/>
        <v>6</v>
      </c>
      <c r="N277" s="5"/>
      <c r="O277" s="80"/>
    </row>
    <row r="278" spans="1:15" ht="9.75">
      <c r="A278" s="160"/>
      <c r="B278" s="37" t="s">
        <v>226</v>
      </c>
      <c r="C278" s="29"/>
      <c r="D278" s="6">
        <f>SUM(D277)</f>
        <v>0</v>
      </c>
      <c r="E278" s="6">
        <f>SUM(E277)</f>
        <v>0</v>
      </c>
      <c r="F278" s="6">
        <f>SUM(F277)</f>
        <v>0</v>
      </c>
      <c r="G278" s="6">
        <f>SUM(G277)</f>
        <v>0</v>
      </c>
      <c r="H278" s="6">
        <f t="shared" si="41"/>
        <v>0</v>
      </c>
      <c r="I278" s="6">
        <f>SUM(I277)</f>
        <v>6</v>
      </c>
      <c r="J278" s="6">
        <f>SUM(J277)</f>
        <v>0</v>
      </c>
      <c r="K278" s="6">
        <f>SUM(K277)</f>
        <v>0</v>
      </c>
      <c r="L278" s="6">
        <f>SUM(L277)</f>
        <v>0</v>
      </c>
      <c r="M278" s="6">
        <f>SUM(M277)</f>
        <v>6</v>
      </c>
      <c r="N278" s="28"/>
      <c r="O278" s="80"/>
    </row>
    <row r="279" spans="1:15" ht="38.25" customHeight="1">
      <c r="A279" s="160"/>
      <c r="B279" s="120" t="s">
        <v>178</v>
      </c>
      <c r="C279" s="18" t="s">
        <v>69</v>
      </c>
      <c r="D279" s="4"/>
      <c r="E279" s="4"/>
      <c r="F279" s="4"/>
      <c r="G279" s="4">
        <v>255000</v>
      </c>
      <c r="H279" s="7">
        <f t="shared" si="41"/>
        <v>255000</v>
      </c>
      <c r="I279" s="13"/>
      <c r="J279" s="13"/>
      <c r="K279" s="13"/>
      <c r="L279" s="7">
        <v>133990</v>
      </c>
      <c r="M279" s="7">
        <f aca="true" t="shared" si="43" ref="M279:M313">SUM(I279:L279)</f>
        <v>133990</v>
      </c>
      <c r="N279" s="5">
        <f>M279/H279</f>
        <v>0.5254509803921569</v>
      </c>
      <c r="O279" s="80"/>
    </row>
    <row r="280" spans="1:15" ht="28.5" customHeight="1">
      <c r="A280" s="160"/>
      <c r="B280" s="122"/>
      <c r="C280" s="18" t="s">
        <v>83</v>
      </c>
      <c r="D280" s="4"/>
      <c r="E280" s="4">
        <v>44840</v>
      </c>
      <c r="F280" s="4"/>
      <c r="G280" s="4"/>
      <c r="H280" s="7">
        <f t="shared" si="41"/>
        <v>44840</v>
      </c>
      <c r="I280" s="13"/>
      <c r="J280" s="7">
        <v>28556</v>
      </c>
      <c r="K280" s="13"/>
      <c r="L280" s="13"/>
      <c r="M280" s="7">
        <f t="shared" si="43"/>
        <v>28556</v>
      </c>
      <c r="N280" s="5">
        <f>M280/H280</f>
        <v>0.6368421052631579</v>
      </c>
      <c r="O280" s="80"/>
    </row>
    <row r="281" spans="1:15" ht="9.75">
      <c r="A281" s="160"/>
      <c r="B281" s="46" t="s">
        <v>179</v>
      </c>
      <c r="C281" s="29"/>
      <c r="D281" s="6">
        <f>SUM(D279:D280)</f>
        <v>0</v>
      </c>
      <c r="E281" s="6">
        <f>SUM(E279:E280)</f>
        <v>44840</v>
      </c>
      <c r="F281" s="6">
        <f>SUM(F279:F280)</f>
        <v>0</v>
      </c>
      <c r="G281" s="6">
        <f>SUM(G279:G280)</f>
        <v>255000</v>
      </c>
      <c r="H281" s="6">
        <f t="shared" si="41"/>
        <v>299840</v>
      </c>
      <c r="I281" s="6">
        <f>SUM(I279:I280)</f>
        <v>0</v>
      </c>
      <c r="J281" s="6">
        <f>SUM(J279:J280)</f>
        <v>28556</v>
      </c>
      <c r="K281" s="6">
        <f>SUM(K279:K280)</f>
        <v>0</v>
      </c>
      <c r="L281" s="6">
        <f>SUM(L279:L280)</f>
        <v>133990</v>
      </c>
      <c r="M281" s="6">
        <f t="shared" si="43"/>
        <v>162546</v>
      </c>
      <c r="N281" s="28">
        <f>M281/H281</f>
        <v>0.5421091248665956</v>
      </c>
      <c r="O281" s="80"/>
    </row>
    <row r="282" spans="1:15" ht="48" customHeight="1">
      <c r="A282" s="160"/>
      <c r="B282" s="120" t="s">
        <v>48</v>
      </c>
      <c r="C282" s="18" t="s">
        <v>104</v>
      </c>
      <c r="D282" s="13"/>
      <c r="E282" s="13"/>
      <c r="F282" s="13"/>
      <c r="G282" s="13"/>
      <c r="H282" s="7">
        <f t="shared" si="41"/>
        <v>0</v>
      </c>
      <c r="I282" s="13"/>
      <c r="J282" s="7">
        <v>900</v>
      </c>
      <c r="K282" s="13"/>
      <c r="L282" s="13"/>
      <c r="M282" s="7">
        <f t="shared" si="43"/>
        <v>900</v>
      </c>
      <c r="N282" s="5"/>
      <c r="O282" s="80"/>
    </row>
    <row r="283" spans="1:15" ht="9.75">
      <c r="A283" s="160"/>
      <c r="B283" s="121"/>
      <c r="C283" s="18" t="s">
        <v>72</v>
      </c>
      <c r="D283" s="13"/>
      <c r="E283" s="13"/>
      <c r="F283" s="13"/>
      <c r="G283" s="13"/>
      <c r="H283" s="7">
        <f t="shared" si="41"/>
        <v>0</v>
      </c>
      <c r="I283" s="13"/>
      <c r="J283" s="7">
        <v>3932</v>
      </c>
      <c r="K283" s="13"/>
      <c r="L283" s="13"/>
      <c r="M283" s="7">
        <f t="shared" si="43"/>
        <v>3932</v>
      </c>
      <c r="N283" s="5"/>
      <c r="O283" s="80"/>
    </row>
    <row r="284" spans="1:15" ht="27.75" customHeight="1">
      <c r="A284" s="160"/>
      <c r="B284" s="122"/>
      <c r="C284" s="18" t="s">
        <v>83</v>
      </c>
      <c r="D284" s="4"/>
      <c r="E284" s="4">
        <f>144478+3802</f>
        <v>148280</v>
      </c>
      <c r="F284" s="4"/>
      <c r="G284" s="4"/>
      <c r="H284" s="7">
        <f t="shared" si="41"/>
        <v>148280</v>
      </c>
      <c r="I284" s="9"/>
      <c r="J284" s="7">
        <v>74182</v>
      </c>
      <c r="K284" s="9"/>
      <c r="L284" s="9"/>
      <c r="M284" s="7">
        <f t="shared" si="43"/>
        <v>74182</v>
      </c>
      <c r="N284" s="5">
        <f aca="true" t="shared" si="44" ref="N284:N297">M284/H284</f>
        <v>0.5002832479093606</v>
      </c>
      <c r="O284" s="80"/>
    </row>
    <row r="285" spans="1:15" ht="10.5" customHeight="1">
      <c r="A285" s="160"/>
      <c r="B285" s="46" t="s">
        <v>180</v>
      </c>
      <c r="C285" s="29"/>
      <c r="D285" s="6">
        <f>SUM(D282:D284)</f>
        <v>0</v>
      </c>
      <c r="E285" s="6">
        <f>SUM(E282:E284)</f>
        <v>148280</v>
      </c>
      <c r="F285" s="6">
        <f>SUM(F282:F284)</f>
        <v>0</v>
      </c>
      <c r="G285" s="6">
        <f>SUM(G282:G284)</f>
        <v>0</v>
      </c>
      <c r="H285" s="6">
        <f t="shared" si="41"/>
        <v>148280</v>
      </c>
      <c r="I285" s="6">
        <f>SUM(I282:I284)</f>
        <v>0</v>
      </c>
      <c r="J285" s="6">
        <f>SUM(J282:J284)</f>
        <v>79014</v>
      </c>
      <c r="K285" s="6">
        <f>SUM(K282:K284)</f>
        <v>0</v>
      </c>
      <c r="L285" s="6">
        <f>SUM(L282:L284)</f>
        <v>0</v>
      </c>
      <c r="M285" s="6">
        <f t="shared" si="43"/>
        <v>79014</v>
      </c>
      <c r="N285" s="28">
        <f t="shared" si="44"/>
        <v>0.5328702454815214</v>
      </c>
      <c r="O285" s="80"/>
    </row>
    <row r="286" spans="1:15" ht="12" customHeight="1">
      <c r="A286" s="160"/>
      <c r="B286" s="18" t="s">
        <v>271</v>
      </c>
      <c r="C286" s="18" t="s">
        <v>72</v>
      </c>
      <c r="D286" s="13"/>
      <c r="E286" s="13"/>
      <c r="F286" s="13"/>
      <c r="G286" s="13"/>
      <c r="H286" s="7">
        <f t="shared" si="41"/>
        <v>0</v>
      </c>
      <c r="I286" s="13">
        <f>5-1</f>
        <v>4</v>
      </c>
      <c r="J286" s="13"/>
      <c r="K286" s="13"/>
      <c r="L286" s="13"/>
      <c r="M286" s="7">
        <f t="shared" si="43"/>
        <v>4</v>
      </c>
      <c r="N286" s="5"/>
      <c r="O286" s="80"/>
    </row>
    <row r="287" spans="1:15" ht="9.75">
      <c r="A287" s="161"/>
      <c r="B287" s="108" t="s">
        <v>272</v>
      </c>
      <c r="C287" s="109"/>
      <c r="D287" s="6">
        <f>SUM(D286:D286)</f>
        <v>0</v>
      </c>
      <c r="E287" s="6">
        <f>SUM(E286:E286)</f>
        <v>0</v>
      </c>
      <c r="F287" s="6">
        <f>SUM(F286:F286)</f>
        <v>0</v>
      </c>
      <c r="G287" s="6">
        <f>SUM(G286:G286)</f>
        <v>0</v>
      </c>
      <c r="H287" s="6">
        <f t="shared" si="41"/>
        <v>0</v>
      </c>
      <c r="I287" s="6">
        <f>SUM(I286:I286)</f>
        <v>4</v>
      </c>
      <c r="J287" s="6">
        <f>SUM(J286:J286)</f>
        <v>0</v>
      </c>
      <c r="K287" s="6">
        <f>SUM(K286:K286)</f>
        <v>0</v>
      </c>
      <c r="L287" s="6">
        <f>SUM(L286:L286)</f>
        <v>0</v>
      </c>
      <c r="M287" s="6">
        <f>SUM(I287:L287)</f>
        <v>4</v>
      </c>
      <c r="N287" s="28"/>
      <c r="O287" s="80"/>
    </row>
    <row r="288" spans="1:15" ht="11.25">
      <c r="A288" s="162" t="s">
        <v>112</v>
      </c>
      <c r="B288" s="39"/>
      <c r="C288" s="40"/>
      <c r="D288" s="25">
        <f>SUM(D285,D281,D278,D276,D287)</f>
        <v>165000</v>
      </c>
      <c r="E288" s="25">
        <f>SUM(E285,E281,E278,E276,E287)</f>
        <v>193120</v>
      </c>
      <c r="F288" s="25">
        <f>SUM(F285,F281,F278,F276,F287)</f>
        <v>0</v>
      </c>
      <c r="G288" s="25">
        <f>SUM(G285,G281,G278,G276,G287)</f>
        <v>255000</v>
      </c>
      <c r="H288" s="25">
        <f t="shared" si="41"/>
        <v>613120</v>
      </c>
      <c r="I288" s="25">
        <f>SUM(I285,I281,I278,I276,I287)</f>
        <v>90028</v>
      </c>
      <c r="J288" s="25">
        <f>SUM(J285,J281,J278,J276,J287)</f>
        <v>107570</v>
      </c>
      <c r="K288" s="25">
        <f>SUM(K285,K281,K278,K276,K287)</f>
        <v>0</v>
      </c>
      <c r="L288" s="25">
        <f>SUM(L285,L281,L278,L276,L287)</f>
        <v>133990</v>
      </c>
      <c r="M288" s="25">
        <f t="shared" si="43"/>
        <v>331588</v>
      </c>
      <c r="N288" s="30">
        <f t="shared" si="44"/>
        <v>0.540820720250522</v>
      </c>
      <c r="O288" s="80"/>
    </row>
    <row r="289" spans="1:15" ht="9.75">
      <c r="A289" s="159" t="s">
        <v>49</v>
      </c>
      <c r="B289" s="126" t="s">
        <v>198</v>
      </c>
      <c r="C289" s="18" t="s">
        <v>76</v>
      </c>
      <c r="D289" s="4">
        <f>2058386-1433542+17945</f>
        <v>642789</v>
      </c>
      <c r="E289" s="4">
        <f>9000-6080</f>
        <v>2920</v>
      </c>
      <c r="F289" s="4"/>
      <c r="G289" s="4"/>
      <c r="H289" s="7">
        <f t="shared" si="41"/>
        <v>645709</v>
      </c>
      <c r="I289" s="7">
        <f>644651-2949</f>
        <v>641702</v>
      </c>
      <c r="J289" s="7">
        <v>2920</v>
      </c>
      <c r="K289" s="7"/>
      <c r="L289" s="7"/>
      <c r="M289" s="7">
        <f t="shared" si="43"/>
        <v>644622</v>
      </c>
      <c r="N289" s="5">
        <f t="shared" si="44"/>
        <v>0.9983165791401389</v>
      </c>
      <c r="O289" s="80"/>
    </row>
    <row r="290" spans="1:15" ht="9.75">
      <c r="A290" s="160"/>
      <c r="B290" s="128"/>
      <c r="C290" s="18" t="s">
        <v>72</v>
      </c>
      <c r="D290" s="4">
        <f>154+81</f>
        <v>235</v>
      </c>
      <c r="E290" s="4">
        <v>7</v>
      </c>
      <c r="F290" s="4"/>
      <c r="G290" s="4"/>
      <c r="H290" s="7">
        <f t="shared" si="41"/>
        <v>242</v>
      </c>
      <c r="I290" s="7">
        <v>235</v>
      </c>
      <c r="J290" s="7">
        <v>7</v>
      </c>
      <c r="K290" s="7"/>
      <c r="L290" s="7"/>
      <c r="M290" s="7">
        <f t="shared" si="43"/>
        <v>242</v>
      </c>
      <c r="N290" s="5">
        <f t="shared" si="44"/>
        <v>1</v>
      </c>
      <c r="O290" s="80"/>
    </row>
    <row r="291" spans="1:15" ht="18" customHeight="1">
      <c r="A291" s="160"/>
      <c r="B291" s="128"/>
      <c r="C291" s="18" t="s">
        <v>208</v>
      </c>
      <c r="D291" s="4">
        <f>6506+845</f>
        <v>7351</v>
      </c>
      <c r="E291" s="4"/>
      <c r="F291" s="4"/>
      <c r="G291" s="4"/>
      <c r="H291" s="7">
        <f t="shared" si="41"/>
        <v>7351</v>
      </c>
      <c r="I291" s="7">
        <v>7151</v>
      </c>
      <c r="J291" s="7"/>
      <c r="K291" s="7"/>
      <c r="L291" s="7"/>
      <c r="M291" s="7">
        <f t="shared" si="43"/>
        <v>7151</v>
      </c>
      <c r="N291" s="5">
        <f t="shared" si="44"/>
        <v>0.9727928173037682</v>
      </c>
      <c r="O291" s="80"/>
    </row>
    <row r="292" spans="1:15" ht="18.75" customHeight="1">
      <c r="A292" s="160"/>
      <c r="B292" s="127"/>
      <c r="C292" s="18" t="s">
        <v>204</v>
      </c>
      <c r="D292" s="4">
        <f>258037+9</f>
        <v>258046</v>
      </c>
      <c r="E292" s="4">
        <v>3581</v>
      </c>
      <c r="F292" s="4"/>
      <c r="G292" s="4"/>
      <c r="H292" s="7">
        <f t="shared" si="41"/>
        <v>261627</v>
      </c>
      <c r="I292" s="7">
        <v>261195</v>
      </c>
      <c r="J292" s="7">
        <v>3581</v>
      </c>
      <c r="K292" s="7"/>
      <c r="L292" s="7"/>
      <c r="M292" s="7">
        <f t="shared" si="43"/>
        <v>264776</v>
      </c>
      <c r="N292" s="5">
        <f t="shared" si="44"/>
        <v>1.0120362195033388</v>
      </c>
      <c r="O292" s="80"/>
    </row>
    <row r="293" spans="1:15" ht="9.75" customHeight="1">
      <c r="A293" s="160"/>
      <c r="B293" s="141" t="s">
        <v>258</v>
      </c>
      <c r="C293" s="103"/>
      <c r="D293" s="6">
        <f>SUM(D289:D292)</f>
        <v>908421</v>
      </c>
      <c r="E293" s="6">
        <f>SUM(E289:E292)</f>
        <v>6508</v>
      </c>
      <c r="F293" s="6">
        <f>SUM(F289:F292)</f>
        <v>0</v>
      </c>
      <c r="G293" s="6">
        <f>SUM(G289:G292)</f>
        <v>0</v>
      </c>
      <c r="H293" s="6">
        <f t="shared" si="41"/>
        <v>914929</v>
      </c>
      <c r="I293" s="6">
        <f>SUM(I289:I292)</f>
        <v>910283</v>
      </c>
      <c r="J293" s="6">
        <f>SUM(J289:J292)</f>
        <v>6508</v>
      </c>
      <c r="K293" s="6">
        <f>SUM(K289:K292)</f>
        <v>0</v>
      </c>
      <c r="L293" s="6">
        <f>SUM(L289:L292)</f>
        <v>0</v>
      </c>
      <c r="M293" s="6">
        <f t="shared" si="43"/>
        <v>916791</v>
      </c>
      <c r="N293" s="28">
        <f t="shared" si="44"/>
        <v>1.002035130594833</v>
      </c>
      <c r="O293" s="80"/>
    </row>
    <row r="294" spans="1:15" ht="47.25" customHeight="1">
      <c r="A294" s="160"/>
      <c r="B294" s="126" t="s">
        <v>50</v>
      </c>
      <c r="C294" s="18" t="s">
        <v>104</v>
      </c>
      <c r="D294" s="4"/>
      <c r="E294" s="4">
        <v>17800</v>
      </c>
      <c r="F294" s="4"/>
      <c r="G294" s="4"/>
      <c r="H294" s="7">
        <f t="shared" si="41"/>
        <v>17800</v>
      </c>
      <c r="I294" s="7"/>
      <c r="J294" s="7">
        <v>7837</v>
      </c>
      <c r="K294" s="7"/>
      <c r="L294" s="7"/>
      <c r="M294" s="7">
        <f t="shared" si="43"/>
        <v>7837</v>
      </c>
      <c r="N294" s="5">
        <f t="shared" si="44"/>
        <v>0.4402808988764045</v>
      </c>
      <c r="O294" s="80"/>
    </row>
    <row r="295" spans="1:15" ht="9.75">
      <c r="A295" s="160"/>
      <c r="B295" s="128"/>
      <c r="C295" s="27" t="s">
        <v>76</v>
      </c>
      <c r="D295" s="4"/>
      <c r="E295" s="4">
        <f>5000-314</f>
        <v>4686</v>
      </c>
      <c r="F295" s="4"/>
      <c r="G295" s="4"/>
      <c r="H295" s="7">
        <f t="shared" si="41"/>
        <v>4686</v>
      </c>
      <c r="I295" s="7"/>
      <c r="J295" s="7">
        <f>26906+1</f>
        <v>26907</v>
      </c>
      <c r="K295" s="7"/>
      <c r="L295" s="7"/>
      <c r="M295" s="7">
        <f t="shared" si="43"/>
        <v>26907</v>
      </c>
      <c r="N295" s="5">
        <f t="shared" si="44"/>
        <v>5.741997439180538</v>
      </c>
      <c r="O295" s="80"/>
    </row>
    <row r="296" spans="1:15" ht="9.75">
      <c r="A296" s="160"/>
      <c r="B296" s="128"/>
      <c r="C296" s="18" t="s">
        <v>72</v>
      </c>
      <c r="D296" s="4"/>
      <c r="E296" s="4">
        <v>327</v>
      </c>
      <c r="F296" s="4"/>
      <c r="G296" s="4"/>
      <c r="H296" s="7">
        <f aca="true" t="shared" si="45" ref="H296:H332">SUM(D296:G296)</f>
        <v>327</v>
      </c>
      <c r="I296" s="7"/>
      <c r="J296" s="7">
        <v>2683</v>
      </c>
      <c r="K296" s="7"/>
      <c r="L296" s="7"/>
      <c r="M296" s="7">
        <f t="shared" si="43"/>
        <v>2683</v>
      </c>
      <c r="N296" s="5">
        <f t="shared" si="44"/>
        <v>8.204892966360855</v>
      </c>
      <c r="O296" s="80"/>
    </row>
    <row r="297" spans="1:15" ht="19.5">
      <c r="A297" s="160"/>
      <c r="B297" s="128"/>
      <c r="C297" s="18" t="s">
        <v>208</v>
      </c>
      <c r="D297" s="4"/>
      <c r="E297" s="4">
        <v>1200</v>
      </c>
      <c r="F297" s="4"/>
      <c r="G297" s="4"/>
      <c r="H297" s="7">
        <f t="shared" si="45"/>
        <v>1200</v>
      </c>
      <c r="I297" s="7"/>
      <c r="J297" s="7">
        <v>1200</v>
      </c>
      <c r="K297" s="7"/>
      <c r="L297" s="7"/>
      <c r="M297" s="7">
        <f t="shared" si="43"/>
        <v>1200</v>
      </c>
      <c r="N297" s="5">
        <f t="shared" si="44"/>
        <v>1</v>
      </c>
      <c r="O297" s="80"/>
    </row>
    <row r="298" spans="1:15" ht="9.75">
      <c r="A298" s="160"/>
      <c r="B298" s="128"/>
      <c r="C298" s="18" t="s">
        <v>74</v>
      </c>
      <c r="D298" s="4"/>
      <c r="E298" s="4"/>
      <c r="F298" s="4"/>
      <c r="G298" s="4"/>
      <c r="H298" s="7">
        <f t="shared" si="45"/>
        <v>0</v>
      </c>
      <c r="I298" s="7"/>
      <c r="J298" s="7">
        <v>1</v>
      </c>
      <c r="K298" s="7"/>
      <c r="L298" s="7"/>
      <c r="M298" s="7">
        <f t="shared" si="43"/>
        <v>1</v>
      </c>
      <c r="N298" s="5"/>
      <c r="O298" s="80"/>
    </row>
    <row r="299" spans="1:15" ht="18" customHeight="1">
      <c r="A299" s="160"/>
      <c r="B299" s="127"/>
      <c r="C299" s="18" t="s">
        <v>204</v>
      </c>
      <c r="D299" s="4"/>
      <c r="E299" s="4">
        <v>66420</v>
      </c>
      <c r="F299" s="4"/>
      <c r="G299" s="4"/>
      <c r="H299" s="7">
        <f t="shared" si="45"/>
        <v>66420</v>
      </c>
      <c r="I299" s="7"/>
      <c r="J299" s="7">
        <v>66420</v>
      </c>
      <c r="K299" s="7"/>
      <c r="L299" s="7"/>
      <c r="M299" s="7">
        <f t="shared" si="43"/>
        <v>66420</v>
      </c>
      <c r="N299" s="5">
        <f>M299/H299</f>
        <v>1</v>
      </c>
      <c r="O299" s="80"/>
    </row>
    <row r="300" spans="1:15" ht="9.75">
      <c r="A300" s="160"/>
      <c r="B300" s="46" t="s">
        <v>181</v>
      </c>
      <c r="C300" s="29"/>
      <c r="D300" s="6">
        <f>SUM(D294:D299)</f>
        <v>0</v>
      </c>
      <c r="E300" s="6">
        <f>SUM(E294:E299)</f>
        <v>90433</v>
      </c>
      <c r="F300" s="6">
        <f>SUM(F294:F299)</f>
        <v>0</v>
      </c>
      <c r="G300" s="6">
        <f>SUM(G294:G299)</f>
        <v>0</v>
      </c>
      <c r="H300" s="6">
        <f t="shared" si="45"/>
        <v>90433</v>
      </c>
      <c r="I300" s="6">
        <f>SUM(I294:I299)</f>
        <v>0</v>
      </c>
      <c r="J300" s="6">
        <f>SUM(J294:J299)</f>
        <v>105048</v>
      </c>
      <c r="K300" s="6">
        <f>SUM(K294:K299)</f>
        <v>0</v>
      </c>
      <c r="L300" s="6">
        <f>SUM(L294:L299)</f>
        <v>0</v>
      </c>
      <c r="M300" s="6">
        <f t="shared" si="43"/>
        <v>105048</v>
      </c>
      <c r="N300" s="28">
        <f>M300/H300</f>
        <v>1.1616113586854355</v>
      </c>
      <c r="O300" s="80"/>
    </row>
    <row r="301" spans="1:15" ht="9.75" customHeight="1" hidden="1">
      <c r="A301" s="160"/>
      <c r="B301" s="22" t="s">
        <v>199</v>
      </c>
      <c r="C301" s="18" t="s">
        <v>76</v>
      </c>
      <c r="D301" s="4"/>
      <c r="E301" s="4">
        <f>14-14</f>
        <v>0</v>
      </c>
      <c r="F301" s="4"/>
      <c r="G301" s="4"/>
      <c r="H301" s="7">
        <f t="shared" si="45"/>
        <v>0</v>
      </c>
      <c r="I301" s="7"/>
      <c r="J301" s="7"/>
      <c r="K301" s="7"/>
      <c r="L301" s="7"/>
      <c r="M301" s="7">
        <f t="shared" si="43"/>
        <v>0</v>
      </c>
      <c r="N301" s="5"/>
      <c r="O301" s="80"/>
    </row>
    <row r="302" spans="1:15" ht="39" customHeight="1">
      <c r="A302" s="160"/>
      <c r="B302" s="120" t="s">
        <v>199</v>
      </c>
      <c r="C302" s="18" t="s">
        <v>72</v>
      </c>
      <c r="D302" s="4"/>
      <c r="E302" s="4"/>
      <c r="F302" s="4"/>
      <c r="G302" s="4"/>
      <c r="H302" s="7">
        <f t="shared" si="45"/>
        <v>0</v>
      </c>
      <c r="I302" s="7"/>
      <c r="J302" s="7">
        <f>1252-1</f>
        <v>1251</v>
      </c>
      <c r="K302" s="7"/>
      <c r="L302" s="7"/>
      <c r="M302" s="7">
        <f t="shared" si="43"/>
        <v>1251</v>
      </c>
      <c r="N302" s="5"/>
      <c r="O302" s="80"/>
    </row>
    <row r="303" spans="1:15" ht="12" customHeight="1">
      <c r="A303" s="160"/>
      <c r="B303" s="122"/>
      <c r="C303" s="18" t="s">
        <v>74</v>
      </c>
      <c r="D303" s="4"/>
      <c r="E303" s="4"/>
      <c r="F303" s="4"/>
      <c r="G303" s="4"/>
      <c r="H303" s="7">
        <f t="shared" si="45"/>
        <v>0</v>
      </c>
      <c r="I303" s="7"/>
      <c r="J303" s="7">
        <v>32</v>
      </c>
      <c r="K303" s="7"/>
      <c r="L303" s="7"/>
      <c r="M303" s="7">
        <f t="shared" si="43"/>
        <v>32</v>
      </c>
      <c r="N303" s="5"/>
      <c r="O303" s="80"/>
    </row>
    <row r="304" spans="1:15" ht="12" customHeight="1">
      <c r="A304" s="160"/>
      <c r="B304" s="46" t="s">
        <v>200</v>
      </c>
      <c r="C304" s="29"/>
      <c r="D304" s="6">
        <f>SUM(D301:D303)</f>
        <v>0</v>
      </c>
      <c r="E304" s="6">
        <f>SUM(E301:E303)</f>
        <v>0</v>
      </c>
      <c r="F304" s="6">
        <f>SUM(F301:F303)</f>
        <v>0</v>
      </c>
      <c r="G304" s="6">
        <f>SUM(G301:G303)</f>
        <v>0</v>
      </c>
      <c r="H304" s="6">
        <f t="shared" si="45"/>
        <v>0</v>
      </c>
      <c r="I304" s="6">
        <f>SUM(I301:I302)</f>
        <v>0</v>
      </c>
      <c r="J304" s="6">
        <f>SUM(J301:J303)</f>
        <v>1283</v>
      </c>
      <c r="K304" s="6">
        <f>SUM(K301:K303)</f>
        <v>0</v>
      </c>
      <c r="L304" s="6">
        <f>SUM(L301:L303)</f>
        <v>0</v>
      </c>
      <c r="M304" s="6">
        <f t="shared" si="43"/>
        <v>1283</v>
      </c>
      <c r="N304" s="28"/>
      <c r="O304" s="80"/>
    </row>
    <row r="305" spans="1:15" ht="48" customHeight="1">
      <c r="A305" s="160"/>
      <c r="B305" s="126" t="s">
        <v>51</v>
      </c>
      <c r="C305" s="18" t="s">
        <v>104</v>
      </c>
      <c r="D305" s="4"/>
      <c r="E305" s="4">
        <v>11000</v>
      </c>
      <c r="F305" s="4"/>
      <c r="G305" s="4"/>
      <c r="H305" s="7">
        <f t="shared" si="45"/>
        <v>11000</v>
      </c>
      <c r="I305" s="7"/>
      <c r="J305" s="7">
        <f>2798+1</f>
        <v>2799</v>
      </c>
      <c r="K305" s="7"/>
      <c r="L305" s="7"/>
      <c r="M305" s="7">
        <f t="shared" si="43"/>
        <v>2799</v>
      </c>
      <c r="N305" s="5">
        <f>M305/H305</f>
        <v>0.25445454545454543</v>
      </c>
      <c r="O305" s="80"/>
    </row>
    <row r="306" spans="1:15" ht="9.75" hidden="1">
      <c r="A306" s="160"/>
      <c r="B306" s="128"/>
      <c r="C306" s="18" t="s">
        <v>76</v>
      </c>
      <c r="D306" s="4"/>
      <c r="E306" s="4">
        <f>360-360</f>
        <v>0</v>
      </c>
      <c r="F306" s="4"/>
      <c r="G306" s="4"/>
      <c r="H306" s="7">
        <f t="shared" si="45"/>
        <v>0</v>
      </c>
      <c r="I306" s="7"/>
      <c r="J306" s="7"/>
      <c r="K306" s="7"/>
      <c r="L306" s="7"/>
      <c r="M306" s="7">
        <f t="shared" si="43"/>
        <v>0</v>
      </c>
      <c r="N306" s="5"/>
      <c r="O306" s="80"/>
    </row>
    <row r="307" spans="1:15" ht="11.25" customHeight="1">
      <c r="A307" s="160"/>
      <c r="B307" s="127"/>
      <c r="C307" s="18" t="s">
        <v>72</v>
      </c>
      <c r="D307" s="4"/>
      <c r="E307" s="4"/>
      <c r="F307" s="4"/>
      <c r="G307" s="4"/>
      <c r="H307" s="7">
        <f t="shared" si="45"/>
        <v>0</v>
      </c>
      <c r="I307" s="7"/>
      <c r="J307" s="7">
        <v>978</v>
      </c>
      <c r="K307" s="7"/>
      <c r="L307" s="7"/>
      <c r="M307" s="7">
        <f t="shared" si="43"/>
        <v>978</v>
      </c>
      <c r="N307" s="5"/>
      <c r="O307" s="80"/>
    </row>
    <row r="308" spans="1:15" ht="11.25" customHeight="1">
      <c r="A308" s="160"/>
      <c r="B308" s="46" t="s">
        <v>182</v>
      </c>
      <c r="C308" s="29"/>
      <c r="D308" s="6">
        <f>SUM(D305:D307)</f>
        <v>0</v>
      </c>
      <c r="E308" s="6">
        <f>SUM(E305:E307)</f>
        <v>11000</v>
      </c>
      <c r="F308" s="6">
        <f>SUM(F305:F307)</f>
        <v>0</v>
      </c>
      <c r="G308" s="6">
        <f>SUM(G305:G307)</f>
        <v>0</v>
      </c>
      <c r="H308" s="6">
        <f t="shared" si="45"/>
        <v>11000</v>
      </c>
      <c r="I308" s="6">
        <f>SUM(I305:I307)</f>
        <v>0</v>
      </c>
      <c r="J308" s="6">
        <f>SUM(J305:J307)</f>
        <v>3777</v>
      </c>
      <c r="K308" s="6">
        <f>SUM(K305:K307)</f>
        <v>0</v>
      </c>
      <c r="L308" s="6">
        <f>SUM(L305:L307)</f>
        <v>0</v>
      </c>
      <c r="M308" s="6">
        <f t="shared" si="43"/>
        <v>3777</v>
      </c>
      <c r="N308" s="28">
        <f aca="true" t="shared" si="46" ref="N308:N320">M308/H308</f>
        <v>0.34336363636363637</v>
      </c>
      <c r="O308" s="80"/>
    </row>
    <row r="309" spans="1:15" ht="48.75" customHeight="1">
      <c r="A309" s="160"/>
      <c r="B309" s="126" t="s">
        <v>52</v>
      </c>
      <c r="C309" s="27" t="s">
        <v>104</v>
      </c>
      <c r="D309" s="7"/>
      <c r="E309" s="4">
        <v>248500</v>
      </c>
      <c r="F309" s="4"/>
      <c r="G309" s="4"/>
      <c r="H309" s="7">
        <f t="shared" si="45"/>
        <v>248500</v>
      </c>
      <c r="I309" s="7"/>
      <c r="J309" s="7">
        <f>49655-1</f>
        <v>49654</v>
      </c>
      <c r="K309" s="7"/>
      <c r="L309" s="7"/>
      <c r="M309" s="7">
        <f t="shared" si="43"/>
        <v>49654</v>
      </c>
      <c r="N309" s="5">
        <f t="shared" si="46"/>
        <v>0.1998148893360161</v>
      </c>
      <c r="O309" s="80"/>
    </row>
    <row r="310" spans="1:15" ht="12.75" customHeight="1">
      <c r="A310" s="160"/>
      <c r="B310" s="128"/>
      <c r="C310" s="18" t="s">
        <v>76</v>
      </c>
      <c r="D310" s="4"/>
      <c r="E310" s="4">
        <f>55397-1534</f>
        <v>53863</v>
      </c>
      <c r="F310" s="4"/>
      <c r="G310" s="4"/>
      <c r="H310" s="7">
        <f t="shared" si="45"/>
        <v>53863</v>
      </c>
      <c r="I310" s="7"/>
      <c r="J310" s="7">
        <f>60393+1</f>
        <v>60394</v>
      </c>
      <c r="K310" s="7"/>
      <c r="L310" s="7"/>
      <c r="M310" s="7">
        <f t="shared" si="43"/>
        <v>60394</v>
      </c>
      <c r="N310" s="5">
        <f t="shared" si="46"/>
        <v>1.1212520654252456</v>
      </c>
      <c r="O310" s="80"/>
    </row>
    <row r="311" spans="1:15" ht="12.75" customHeight="1">
      <c r="A311" s="160"/>
      <c r="B311" s="128"/>
      <c r="C311" s="18" t="s">
        <v>72</v>
      </c>
      <c r="D311" s="4"/>
      <c r="E311" s="4">
        <v>309</v>
      </c>
      <c r="F311" s="4"/>
      <c r="G311" s="4"/>
      <c r="H311" s="7">
        <f t="shared" si="45"/>
        <v>309</v>
      </c>
      <c r="I311" s="7"/>
      <c r="J311" s="7">
        <v>1397</v>
      </c>
      <c r="K311" s="7"/>
      <c r="L311" s="7"/>
      <c r="M311" s="7">
        <f t="shared" si="43"/>
        <v>1397</v>
      </c>
      <c r="N311" s="5">
        <f t="shared" si="46"/>
        <v>4.5210355987055015</v>
      </c>
      <c r="O311" s="80"/>
    </row>
    <row r="312" spans="1:15" ht="18" customHeight="1">
      <c r="A312" s="160"/>
      <c r="B312" s="128"/>
      <c r="C312" s="18" t="s">
        <v>208</v>
      </c>
      <c r="D312" s="4"/>
      <c r="E312" s="4">
        <v>29400</v>
      </c>
      <c r="F312" s="4"/>
      <c r="G312" s="4"/>
      <c r="H312" s="7">
        <f t="shared" si="45"/>
        <v>29400</v>
      </c>
      <c r="I312" s="7"/>
      <c r="J312" s="7">
        <v>29400</v>
      </c>
      <c r="K312" s="7"/>
      <c r="L312" s="7"/>
      <c r="M312" s="7">
        <f t="shared" si="43"/>
        <v>29400</v>
      </c>
      <c r="N312" s="5">
        <f t="shared" si="46"/>
        <v>1</v>
      </c>
      <c r="O312" s="80"/>
    </row>
    <row r="313" spans="1:15" ht="9.75">
      <c r="A313" s="160"/>
      <c r="B313" s="128"/>
      <c r="C313" s="18" t="s">
        <v>74</v>
      </c>
      <c r="D313" s="4"/>
      <c r="E313" s="4"/>
      <c r="F313" s="4"/>
      <c r="G313" s="4"/>
      <c r="H313" s="7"/>
      <c r="I313" s="7"/>
      <c r="J313" s="7">
        <v>3</v>
      </c>
      <c r="K313" s="7"/>
      <c r="L313" s="7"/>
      <c r="M313" s="7">
        <f t="shared" si="43"/>
        <v>3</v>
      </c>
      <c r="N313" s="5"/>
      <c r="O313" s="80"/>
    </row>
    <row r="314" spans="1:15" ht="21.75" customHeight="1">
      <c r="A314" s="160"/>
      <c r="B314" s="127"/>
      <c r="C314" s="18" t="s">
        <v>204</v>
      </c>
      <c r="D314" s="4"/>
      <c r="E314" s="4">
        <v>155789</v>
      </c>
      <c r="F314" s="4"/>
      <c r="G314" s="4"/>
      <c r="H314" s="7">
        <f t="shared" si="45"/>
        <v>155789</v>
      </c>
      <c r="I314" s="7"/>
      <c r="J314" s="7">
        <f>155790-1</f>
        <v>155789</v>
      </c>
      <c r="K314" s="7"/>
      <c r="L314" s="7"/>
      <c r="M314" s="7">
        <f aca="true" t="shared" si="47" ref="M314:M349">SUM(I314:L314)</f>
        <v>155789</v>
      </c>
      <c r="N314" s="5">
        <f t="shared" si="46"/>
        <v>1</v>
      </c>
      <c r="O314" s="80"/>
    </row>
    <row r="315" spans="1:15" ht="11.25" customHeight="1">
      <c r="A315" s="160"/>
      <c r="B315" s="64" t="s">
        <v>183</v>
      </c>
      <c r="C315" s="34"/>
      <c r="D315" s="6">
        <f>SUM(D309:D314)</f>
        <v>0</v>
      </c>
      <c r="E315" s="6">
        <f>SUM(E309:E314)</f>
        <v>487861</v>
      </c>
      <c r="F315" s="6">
        <f>SUM(F309:F314)</f>
        <v>0</v>
      </c>
      <c r="G315" s="6">
        <f>SUM(G309:G314)</f>
        <v>0</v>
      </c>
      <c r="H315" s="6">
        <f t="shared" si="45"/>
        <v>487861</v>
      </c>
      <c r="I315" s="6">
        <f>SUM(I309:I314)</f>
        <v>0</v>
      </c>
      <c r="J315" s="6">
        <f>SUM(J309:J314)</f>
        <v>296637</v>
      </c>
      <c r="K315" s="6">
        <f>SUM(K309:K314)</f>
        <v>0</v>
      </c>
      <c r="L315" s="6">
        <f>SUM(L309:L314)</f>
        <v>0</v>
      </c>
      <c r="M315" s="6">
        <f t="shared" si="47"/>
        <v>296637</v>
      </c>
      <c r="N315" s="28">
        <f t="shared" si="46"/>
        <v>0.6080358954702262</v>
      </c>
      <c r="O315" s="80"/>
    </row>
    <row r="316" spans="1:15" ht="9.75">
      <c r="A316" s="152"/>
      <c r="B316" s="120" t="s">
        <v>201</v>
      </c>
      <c r="C316" s="18" t="s">
        <v>76</v>
      </c>
      <c r="D316" s="7">
        <v>5360</v>
      </c>
      <c r="E316" s="4"/>
      <c r="F316" s="4"/>
      <c r="G316" s="4"/>
      <c r="H316" s="7">
        <f t="shared" si="45"/>
        <v>5360</v>
      </c>
      <c r="I316" s="7">
        <v>5360</v>
      </c>
      <c r="J316" s="7"/>
      <c r="K316" s="7"/>
      <c r="L316" s="7"/>
      <c r="M316" s="7">
        <f t="shared" si="47"/>
        <v>5360</v>
      </c>
      <c r="N316" s="5">
        <f t="shared" si="46"/>
        <v>1</v>
      </c>
      <c r="O316" s="80"/>
    </row>
    <row r="317" spans="1:15" ht="9.75">
      <c r="A317" s="152"/>
      <c r="B317" s="121"/>
      <c r="C317" s="18" t="s">
        <v>72</v>
      </c>
      <c r="D317" s="7">
        <v>19</v>
      </c>
      <c r="E317" s="4"/>
      <c r="F317" s="4"/>
      <c r="G317" s="4"/>
      <c r="H317" s="7">
        <f t="shared" si="45"/>
        <v>19</v>
      </c>
      <c r="I317" s="7">
        <f>18+1</f>
        <v>19</v>
      </c>
      <c r="J317" s="7"/>
      <c r="K317" s="7"/>
      <c r="L317" s="7"/>
      <c r="M317" s="7">
        <f t="shared" si="47"/>
        <v>19</v>
      </c>
      <c r="N317" s="5">
        <f t="shared" si="46"/>
        <v>1</v>
      </c>
      <c r="O317" s="80"/>
    </row>
    <row r="318" spans="1:15" ht="19.5">
      <c r="A318" s="152"/>
      <c r="B318" s="121"/>
      <c r="C318" s="18" t="s">
        <v>208</v>
      </c>
      <c r="D318" s="7">
        <v>1924</v>
      </c>
      <c r="E318" s="4"/>
      <c r="F318" s="4"/>
      <c r="G318" s="4"/>
      <c r="H318" s="7">
        <f t="shared" si="45"/>
        <v>1924</v>
      </c>
      <c r="I318" s="7">
        <f>1924-1</f>
        <v>1923</v>
      </c>
      <c r="J318" s="7"/>
      <c r="K318" s="7"/>
      <c r="L318" s="7"/>
      <c r="M318" s="7">
        <f t="shared" si="47"/>
        <v>1923</v>
      </c>
      <c r="N318" s="5">
        <f t="shared" si="46"/>
        <v>0.9994802494802495</v>
      </c>
      <c r="O318" s="80"/>
    </row>
    <row r="319" spans="1:15" ht="18.75" customHeight="1">
      <c r="A319" s="152"/>
      <c r="B319" s="122"/>
      <c r="C319" s="18" t="s">
        <v>204</v>
      </c>
      <c r="D319" s="7">
        <v>3859</v>
      </c>
      <c r="E319" s="4"/>
      <c r="F319" s="4"/>
      <c r="G319" s="4"/>
      <c r="H319" s="7">
        <f t="shared" si="45"/>
        <v>3859</v>
      </c>
      <c r="I319" s="7">
        <v>3859</v>
      </c>
      <c r="J319" s="7"/>
      <c r="K319" s="7"/>
      <c r="L319" s="7"/>
      <c r="M319" s="7">
        <f t="shared" si="47"/>
        <v>3859</v>
      </c>
      <c r="N319" s="5">
        <f t="shared" si="46"/>
        <v>1</v>
      </c>
      <c r="O319" s="80"/>
    </row>
    <row r="320" spans="1:15" ht="9.75">
      <c r="A320" s="163"/>
      <c r="B320" s="64" t="s">
        <v>201</v>
      </c>
      <c r="C320" s="34"/>
      <c r="D320" s="6">
        <f>SUM(D316:D319)</f>
        <v>11162</v>
      </c>
      <c r="E320" s="6">
        <f>SUM(E316:E319)</f>
        <v>0</v>
      </c>
      <c r="F320" s="6">
        <f>SUM(F316:F319)</f>
        <v>0</v>
      </c>
      <c r="G320" s="6">
        <f>SUM(G316:G319)</f>
        <v>0</v>
      </c>
      <c r="H320" s="6">
        <f t="shared" si="45"/>
        <v>11162</v>
      </c>
      <c r="I320" s="6">
        <f>SUM(I316:I319)</f>
        <v>11161</v>
      </c>
      <c r="J320" s="6">
        <f>SUM(J316:J319)</f>
        <v>0</v>
      </c>
      <c r="K320" s="6">
        <f>SUM(K316:K319)</f>
        <v>0</v>
      </c>
      <c r="L320" s="6">
        <f>SUM(L316:L319)</f>
        <v>0</v>
      </c>
      <c r="M320" s="6">
        <f t="shared" si="47"/>
        <v>11161</v>
      </c>
      <c r="N320" s="28">
        <f t="shared" si="46"/>
        <v>0.999910410320731</v>
      </c>
      <c r="O320" s="80"/>
    </row>
    <row r="321" spans="1:15" ht="11.25" customHeight="1">
      <c r="A321" s="164"/>
      <c r="B321" s="120" t="s">
        <v>227</v>
      </c>
      <c r="C321" s="18" t="s">
        <v>74</v>
      </c>
      <c r="D321" s="13"/>
      <c r="E321" s="13"/>
      <c r="F321" s="13"/>
      <c r="G321" s="13"/>
      <c r="H321" s="7">
        <f t="shared" si="45"/>
        <v>0</v>
      </c>
      <c r="I321" s="13"/>
      <c r="J321" s="7">
        <f>138+1</f>
        <v>139</v>
      </c>
      <c r="K321" s="13"/>
      <c r="L321" s="13"/>
      <c r="M321" s="7">
        <f t="shared" si="47"/>
        <v>139</v>
      </c>
      <c r="N321" s="5"/>
      <c r="O321" s="80"/>
    </row>
    <row r="322" spans="1:15" ht="11.25" customHeight="1">
      <c r="A322" s="164"/>
      <c r="B322" s="121"/>
      <c r="C322" s="18" t="s">
        <v>273</v>
      </c>
      <c r="D322" s="13"/>
      <c r="E322" s="13"/>
      <c r="F322" s="13"/>
      <c r="G322" s="13"/>
      <c r="H322" s="7">
        <f t="shared" si="45"/>
        <v>0</v>
      </c>
      <c r="I322" s="13"/>
      <c r="J322" s="7">
        <f>29-1</f>
        <v>28</v>
      </c>
      <c r="K322" s="13"/>
      <c r="L322" s="13"/>
      <c r="M322" s="7">
        <f t="shared" si="47"/>
        <v>28</v>
      </c>
      <c r="N322" s="5"/>
      <c r="O322" s="80"/>
    </row>
    <row r="323" spans="1:15" ht="11.25" customHeight="1">
      <c r="A323" s="164"/>
      <c r="B323" s="121"/>
      <c r="C323" s="18" t="s">
        <v>274</v>
      </c>
      <c r="D323" s="13"/>
      <c r="E323" s="13"/>
      <c r="F323" s="13"/>
      <c r="G323" s="13"/>
      <c r="H323" s="7">
        <f t="shared" si="45"/>
        <v>0</v>
      </c>
      <c r="I323" s="13"/>
      <c r="J323" s="7">
        <v>13</v>
      </c>
      <c r="K323" s="13"/>
      <c r="L323" s="13"/>
      <c r="M323" s="7">
        <f t="shared" si="47"/>
        <v>13</v>
      </c>
      <c r="N323" s="5"/>
      <c r="O323" s="80"/>
    </row>
    <row r="324" spans="1:15" ht="28.5" customHeight="1">
      <c r="A324" s="163"/>
      <c r="B324" s="121"/>
      <c r="C324" s="18" t="s">
        <v>101</v>
      </c>
      <c r="D324" s="7">
        <v>77685</v>
      </c>
      <c r="E324" s="4"/>
      <c r="F324" s="4"/>
      <c r="G324" s="4"/>
      <c r="H324" s="7">
        <f t="shared" si="45"/>
        <v>77685</v>
      </c>
      <c r="I324" s="7">
        <v>46612</v>
      </c>
      <c r="J324" s="7"/>
      <c r="K324" s="7"/>
      <c r="L324" s="7"/>
      <c r="M324" s="7">
        <f t="shared" si="47"/>
        <v>46612</v>
      </c>
      <c r="N324" s="5">
        <f>M324/H324</f>
        <v>0.6000128724979082</v>
      </c>
      <c r="O324" s="80"/>
    </row>
    <row r="325" spans="1:15" ht="29.25" customHeight="1">
      <c r="A325" s="163"/>
      <c r="B325" s="121"/>
      <c r="C325" s="22" t="s">
        <v>257</v>
      </c>
      <c r="D325" s="7"/>
      <c r="E325" s="4">
        <v>150111</v>
      </c>
      <c r="F325" s="4"/>
      <c r="G325" s="4"/>
      <c r="H325" s="7">
        <f t="shared" si="45"/>
        <v>150111</v>
      </c>
      <c r="I325" s="7"/>
      <c r="J325" s="7"/>
      <c r="K325" s="7"/>
      <c r="L325" s="7"/>
      <c r="M325" s="7">
        <f t="shared" si="47"/>
        <v>0</v>
      </c>
      <c r="N325" s="5">
        <f>M325/H325</f>
        <v>0</v>
      </c>
      <c r="O325" s="80"/>
    </row>
    <row r="326" spans="1:15" ht="37.5" customHeight="1">
      <c r="A326" s="163"/>
      <c r="B326" s="122"/>
      <c r="C326" s="22" t="s">
        <v>249</v>
      </c>
      <c r="D326" s="7"/>
      <c r="E326" s="4">
        <v>319345</v>
      </c>
      <c r="F326" s="4"/>
      <c r="G326" s="4"/>
      <c r="H326" s="7">
        <f t="shared" si="45"/>
        <v>319345</v>
      </c>
      <c r="I326" s="7"/>
      <c r="J326" s="7"/>
      <c r="K326" s="7"/>
      <c r="L326" s="7"/>
      <c r="M326" s="7">
        <f t="shared" si="47"/>
        <v>0</v>
      </c>
      <c r="N326" s="5">
        <f>M326/H326</f>
        <v>0</v>
      </c>
      <c r="O326" s="80"/>
    </row>
    <row r="327" spans="1:15" ht="68.25" customHeight="1">
      <c r="A327" s="163"/>
      <c r="B327" s="86"/>
      <c r="C327" s="22" t="s">
        <v>275</v>
      </c>
      <c r="D327" s="7"/>
      <c r="E327" s="4"/>
      <c r="F327" s="4"/>
      <c r="G327" s="4"/>
      <c r="H327" s="7">
        <f t="shared" si="45"/>
        <v>0</v>
      </c>
      <c r="I327" s="7"/>
      <c r="J327" s="7">
        <f>319464+95</f>
        <v>319559</v>
      </c>
      <c r="K327" s="7"/>
      <c r="L327" s="7"/>
      <c r="M327" s="7">
        <f t="shared" si="47"/>
        <v>319559</v>
      </c>
      <c r="N327" s="5"/>
      <c r="O327" s="80"/>
    </row>
    <row r="328" spans="1:15" ht="69" customHeight="1">
      <c r="A328" s="163"/>
      <c r="B328" s="86"/>
      <c r="C328" s="22" t="s">
        <v>276</v>
      </c>
      <c r="D328" s="7"/>
      <c r="E328" s="4"/>
      <c r="F328" s="4"/>
      <c r="G328" s="4"/>
      <c r="H328" s="7">
        <f t="shared" si="45"/>
        <v>0</v>
      </c>
      <c r="I328" s="7"/>
      <c r="J328" s="7">
        <f>149991+45</f>
        <v>150036</v>
      </c>
      <c r="K328" s="7"/>
      <c r="L328" s="7"/>
      <c r="M328" s="7">
        <f t="shared" si="47"/>
        <v>150036</v>
      </c>
      <c r="N328" s="5"/>
      <c r="O328" s="80"/>
    </row>
    <row r="329" spans="1:15" ht="9.75">
      <c r="A329" s="163"/>
      <c r="B329" s="65" t="s">
        <v>259</v>
      </c>
      <c r="C329" s="34"/>
      <c r="D329" s="6">
        <f>SUM(D321:D328)</f>
        <v>77685</v>
      </c>
      <c r="E329" s="6">
        <f>SUM(E321:E328)</f>
        <v>469456</v>
      </c>
      <c r="F329" s="6">
        <f>SUM(F321:F328)</f>
        <v>0</v>
      </c>
      <c r="G329" s="6">
        <f>SUM(G321:G328)</f>
        <v>0</v>
      </c>
      <c r="H329" s="6">
        <f t="shared" si="45"/>
        <v>547141</v>
      </c>
      <c r="I329" s="6">
        <f>SUM(I321:I328)</f>
        <v>46612</v>
      </c>
      <c r="J329" s="6">
        <f>SUM(J321:J328)</f>
        <v>469775</v>
      </c>
      <c r="K329" s="6">
        <f>SUM(K321:K328)</f>
        <v>0</v>
      </c>
      <c r="L329" s="6">
        <f>SUM(L321:L328)</f>
        <v>0</v>
      </c>
      <c r="M329" s="6">
        <f t="shared" si="47"/>
        <v>516387</v>
      </c>
      <c r="N329" s="28">
        <f aca="true" t="shared" si="48" ref="N329:N334">M329/H329</f>
        <v>0.9437914541224292</v>
      </c>
      <c r="O329" s="80"/>
    </row>
    <row r="330" spans="1:15" ht="9" customHeight="1">
      <c r="A330" s="163"/>
      <c r="B330" s="126" t="s">
        <v>202</v>
      </c>
      <c r="C330" s="18" t="s">
        <v>76</v>
      </c>
      <c r="D330" s="7"/>
      <c r="E330" s="4">
        <f>15505+4182</f>
        <v>19687</v>
      </c>
      <c r="F330" s="4"/>
      <c r="G330" s="4"/>
      <c r="H330" s="7">
        <f t="shared" si="45"/>
        <v>19687</v>
      </c>
      <c r="I330" s="7"/>
      <c r="J330" s="7">
        <f>19888-1</f>
        <v>19887</v>
      </c>
      <c r="K330" s="7"/>
      <c r="L330" s="7"/>
      <c r="M330" s="7">
        <f t="shared" si="47"/>
        <v>19887</v>
      </c>
      <c r="N330" s="5">
        <f t="shared" si="48"/>
        <v>1.0101589881647788</v>
      </c>
      <c r="O330" s="80"/>
    </row>
    <row r="331" spans="1:15" ht="9" customHeight="1">
      <c r="A331" s="163"/>
      <c r="B331" s="128"/>
      <c r="C331" s="18" t="s">
        <v>72</v>
      </c>
      <c r="D331" s="7"/>
      <c r="E331" s="4">
        <v>234</v>
      </c>
      <c r="F331" s="4"/>
      <c r="G331" s="4"/>
      <c r="H331" s="7">
        <f t="shared" si="45"/>
        <v>234</v>
      </c>
      <c r="I331" s="7"/>
      <c r="J331" s="7">
        <v>2423</v>
      </c>
      <c r="K331" s="7"/>
      <c r="L331" s="7"/>
      <c r="M331" s="7">
        <f t="shared" si="47"/>
        <v>2423</v>
      </c>
      <c r="N331" s="5">
        <f t="shared" si="48"/>
        <v>10.354700854700855</v>
      </c>
      <c r="O331" s="80"/>
    </row>
    <row r="332" spans="1:15" ht="9" customHeight="1">
      <c r="A332" s="163"/>
      <c r="B332" s="128"/>
      <c r="C332" s="18" t="s">
        <v>74</v>
      </c>
      <c r="D332" s="7"/>
      <c r="E332" s="4">
        <v>222</v>
      </c>
      <c r="F332" s="4"/>
      <c r="G332" s="4"/>
      <c r="H332" s="7">
        <f t="shared" si="45"/>
        <v>222</v>
      </c>
      <c r="I332" s="7"/>
      <c r="J332" s="7">
        <v>299</v>
      </c>
      <c r="K332" s="7"/>
      <c r="L332" s="7"/>
      <c r="M332" s="7">
        <f t="shared" si="47"/>
        <v>299</v>
      </c>
      <c r="N332" s="5">
        <f t="shared" si="48"/>
        <v>1.3468468468468469</v>
      </c>
      <c r="O332" s="80"/>
    </row>
    <row r="333" spans="1:15" ht="18" customHeight="1">
      <c r="A333" s="163"/>
      <c r="B333" s="127"/>
      <c r="C333" s="18" t="s">
        <v>204</v>
      </c>
      <c r="D333" s="7"/>
      <c r="E333" s="4">
        <v>151989</v>
      </c>
      <c r="F333" s="4"/>
      <c r="G333" s="4"/>
      <c r="H333" s="7">
        <f aca="true" t="shared" si="49" ref="H333:H364">SUM(D333:G333)</f>
        <v>151989</v>
      </c>
      <c r="I333" s="7"/>
      <c r="J333" s="7">
        <v>152095</v>
      </c>
      <c r="K333" s="7"/>
      <c r="L333" s="7"/>
      <c r="M333" s="7">
        <f t="shared" si="47"/>
        <v>152095</v>
      </c>
      <c r="N333" s="5">
        <f t="shared" si="48"/>
        <v>1.0006974188921567</v>
      </c>
      <c r="O333" s="80"/>
    </row>
    <row r="334" spans="1:15" ht="9.75">
      <c r="A334" s="152"/>
      <c r="B334" s="29" t="s">
        <v>203</v>
      </c>
      <c r="C334" s="34"/>
      <c r="D334" s="6">
        <f>SUM(D330:D333)</f>
        <v>0</v>
      </c>
      <c r="E334" s="6">
        <f>SUM(E330:E333)</f>
        <v>172132</v>
      </c>
      <c r="F334" s="6">
        <f>SUM(F330:F333)</f>
        <v>0</v>
      </c>
      <c r="G334" s="6">
        <f>SUM(G330:G333)</f>
        <v>0</v>
      </c>
      <c r="H334" s="6">
        <f t="shared" si="49"/>
        <v>172132</v>
      </c>
      <c r="I334" s="6">
        <f>SUM(I330:I333)</f>
        <v>0</v>
      </c>
      <c r="J334" s="6">
        <f>SUM(J330:J333)</f>
        <v>174704</v>
      </c>
      <c r="K334" s="6">
        <f>SUM(K330:K333)</f>
        <v>0</v>
      </c>
      <c r="L334" s="6">
        <f>SUM(L330:L333)</f>
        <v>0</v>
      </c>
      <c r="M334" s="6">
        <f t="shared" si="47"/>
        <v>174704</v>
      </c>
      <c r="N334" s="28">
        <f t="shared" si="48"/>
        <v>1.014942021239514</v>
      </c>
      <c r="O334" s="80"/>
    </row>
    <row r="335" spans="1:15" ht="37.5" customHeight="1">
      <c r="A335" s="163"/>
      <c r="B335" s="86" t="s">
        <v>250</v>
      </c>
      <c r="C335" s="18" t="s">
        <v>216</v>
      </c>
      <c r="D335" s="7"/>
      <c r="E335" s="4"/>
      <c r="F335" s="4"/>
      <c r="G335" s="4"/>
      <c r="H335" s="7">
        <f t="shared" si="49"/>
        <v>0</v>
      </c>
      <c r="I335" s="7">
        <v>143</v>
      </c>
      <c r="J335" s="7"/>
      <c r="K335" s="7"/>
      <c r="L335" s="7"/>
      <c r="M335" s="7">
        <f t="shared" si="47"/>
        <v>143</v>
      </c>
      <c r="N335" s="5"/>
      <c r="O335" s="80"/>
    </row>
    <row r="336" spans="1:15" ht="9.75">
      <c r="A336" s="165"/>
      <c r="B336" s="46" t="s">
        <v>251</v>
      </c>
      <c r="C336" s="34"/>
      <c r="D336" s="6">
        <f>SUM(D335)</f>
        <v>0</v>
      </c>
      <c r="E336" s="6">
        <f>SUM(E335)</f>
        <v>0</v>
      </c>
      <c r="F336" s="6">
        <f>SUM(F335)</f>
        <v>0</v>
      </c>
      <c r="G336" s="6">
        <f>SUM(G335)</f>
        <v>0</v>
      </c>
      <c r="H336" s="6">
        <f t="shared" si="49"/>
        <v>0</v>
      </c>
      <c r="I336" s="6">
        <f>SUM(I335:I335)</f>
        <v>143</v>
      </c>
      <c r="J336" s="6">
        <f>SUM(J335:J335)</f>
        <v>0</v>
      </c>
      <c r="K336" s="6">
        <f>SUM(K335:K335)</f>
        <v>0</v>
      </c>
      <c r="L336" s="6">
        <f>SUM(L335:L335)</f>
        <v>0</v>
      </c>
      <c r="M336" s="6">
        <f t="shared" si="47"/>
        <v>143</v>
      </c>
      <c r="N336" s="28"/>
      <c r="O336" s="80"/>
    </row>
    <row r="337" spans="1:15" ht="9" customHeight="1">
      <c r="A337" s="166" t="s">
        <v>53</v>
      </c>
      <c r="B337" s="26"/>
      <c r="C337" s="24"/>
      <c r="D337" s="25">
        <f>SUM(D336,D334,D329,D293,D300,D304,D308,D315,D320)</f>
        <v>997268</v>
      </c>
      <c r="E337" s="25">
        <f>SUM(E336,E334,E329,E293,E300,E304,E308,E315,E320)</f>
        <v>1237390</v>
      </c>
      <c r="F337" s="25">
        <f>SUM(F336,F334,F329,F293,F300,F304,F308,F315,F320)</f>
        <v>0</v>
      </c>
      <c r="G337" s="25">
        <f>SUM(G336,G334,G329,G293,G300,G304,G308,G315,G320)</f>
        <v>0</v>
      </c>
      <c r="H337" s="25">
        <f t="shared" si="49"/>
        <v>2234658</v>
      </c>
      <c r="I337" s="25">
        <f>SUM(I336,I334,I329,I293,I300,I304,I308,I315,I320)</f>
        <v>968199</v>
      </c>
      <c r="J337" s="25">
        <f>SUM(J336,J334,J329,J293,J300,J304,J308,J315,J320)</f>
        <v>1057732</v>
      </c>
      <c r="K337" s="25">
        <f>SUM(K336,K334,K329,K293,K300,K304,K308,K315,K320)</f>
        <v>0</v>
      </c>
      <c r="L337" s="25">
        <f>SUM(L336,L334,L329,L293,L300,L304,L308,L315,L320)</f>
        <v>0</v>
      </c>
      <c r="M337" s="25">
        <f t="shared" si="47"/>
        <v>2025931</v>
      </c>
      <c r="N337" s="30">
        <f>M337/H337</f>
        <v>0.9065955506390687</v>
      </c>
      <c r="O337" s="80"/>
    </row>
    <row r="338" spans="1:15" ht="19.5" customHeight="1">
      <c r="A338" s="159" t="s">
        <v>54</v>
      </c>
      <c r="B338" s="45" t="s">
        <v>228</v>
      </c>
      <c r="C338" s="18" t="s">
        <v>74</v>
      </c>
      <c r="D338" s="4"/>
      <c r="E338" s="4"/>
      <c r="F338" s="4"/>
      <c r="G338" s="4"/>
      <c r="H338" s="7">
        <f t="shared" si="49"/>
        <v>0</v>
      </c>
      <c r="I338" s="7">
        <v>118</v>
      </c>
      <c r="J338" s="7"/>
      <c r="K338" s="7"/>
      <c r="L338" s="7"/>
      <c r="M338" s="7">
        <f t="shared" si="47"/>
        <v>118</v>
      </c>
      <c r="N338" s="5"/>
      <c r="O338" s="80"/>
    </row>
    <row r="339" spans="1:15" ht="12" customHeight="1">
      <c r="A339" s="160"/>
      <c r="B339" s="46" t="s">
        <v>260</v>
      </c>
      <c r="C339" s="29"/>
      <c r="D339" s="6">
        <f>SUM(D338)</f>
        <v>0</v>
      </c>
      <c r="E339" s="6">
        <f>SUM(E338)</f>
        <v>0</v>
      </c>
      <c r="F339" s="6">
        <f>SUM(F338)</f>
        <v>0</v>
      </c>
      <c r="G339" s="6">
        <f>SUM(G338)</f>
        <v>0</v>
      </c>
      <c r="H339" s="6">
        <f t="shared" si="49"/>
        <v>0</v>
      </c>
      <c r="I339" s="6">
        <f>SUM(I338)</f>
        <v>118</v>
      </c>
      <c r="J339" s="6">
        <f>SUM(J338)</f>
        <v>0</v>
      </c>
      <c r="K339" s="6">
        <f>SUM(K338)</f>
        <v>0</v>
      </c>
      <c r="L339" s="6">
        <f>SUM(L338)</f>
        <v>0</v>
      </c>
      <c r="M339" s="6">
        <f t="shared" si="47"/>
        <v>118</v>
      </c>
      <c r="N339" s="28"/>
      <c r="O339" s="80"/>
    </row>
    <row r="340" spans="1:15" ht="18.75" customHeight="1">
      <c r="A340" s="160"/>
      <c r="B340" s="45" t="s">
        <v>229</v>
      </c>
      <c r="C340" s="27" t="s">
        <v>277</v>
      </c>
      <c r="D340" s="4"/>
      <c r="E340" s="4"/>
      <c r="F340" s="4"/>
      <c r="G340" s="4"/>
      <c r="H340" s="7">
        <f t="shared" si="49"/>
        <v>0</v>
      </c>
      <c r="I340" s="7">
        <v>25884</v>
      </c>
      <c r="J340" s="7"/>
      <c r="K340" s="7"/>
      <c r="L340" s="7"/>
      <c r="M340" s="7">
        <f t="shared" si="47"/>
        <v>25884</v>
      </c>
      <c r="N340" s="5"/>
      <c r="O340" s="80"/>
    </row>
    <row r="341" spans="1:15" ht="9.75">
      <c r="A341" s="160"/>
      <c r="B341" s="46" t="s">
        <v>261</v>
      </c>
      <c r="C341" s="29"/>
      <c r="D341" s="6">
        <f>SUM(D340)</f>
        <v>0</v>
      </c>
      <c r="E341" s="6">
        <f>SUM(E340)</f>
        <v>0</v>
      </c>
      <c r="F341" s="6">
        <f>SUM(F340)</f>
        <v>0</v>
      </c>
      <c r="G341" s="6">
        <f>SUM(G340)</f>
        <v>0</v>
      </c>
      <c r="H341" s="6">
        <f t="shared" si="49"/>
        <v>0</v>
      </c>
      <c r="I341" s="6">
        <f>SUM(I340)</f>
        <v>25884</v>
      </c>
      <c r="J341" s="6">
        <f>SUM(J340)</f>
        <v>0</v>
      </c>
      <c r="K341" s="6">
        <f>SUM(K340)</f>
        <v>0</v>
      </c>
      <c r="L341" s="6">
        <f>SUM(L340)</f>
        <v>0</v>
      </c>
      <c r="M341" s="6">
        <f t="shared" si="47"/>
        <v>25884</v>
      </c>
      <c r="N341" s="28"/>
      <c r="O341" s="80"/>
    </row>
    <row r="342" spans="1:15" ht="27.75" customHeight="1">
      <c r="A342" s="160"/>
      <c r="B342" s="66" t="s">
        <v>255</v>
      </c>
      <c r="C342" s="18" t="s">
        <v>72</v>
      </c>
      <c r="D342" s="4"/>
      <c r="E342" s="4"/>
      <c r="F342" s="4"/>
      <c r="G342" s="4"/>
      <c r="H342" s="7">
        <f t="shared" si="49"/>
        <v>0</v>
      </c>
      <c r="I342" s="7">
        <f>10458-2</f>
        <v>10456</v>
      </c>
      <c r="J342" s="7">
        <v>1055</v>
      </c>
      <c r="K342" s="7"/>
      <c r="L342" s="7"/>
      <c r="M342" s="7">
        <f t="shared" si="47"/>
        <v>11511</v>
      </c>
      <c r="N342" s="5"/>
      <c r="O342" s="80"/>
    </row>
    <row r="343" spans="1:22" s="92" customFormat="1" ht="8.25" customHeight="1">
      <c r="A343" s="160"/>
      <c r="B343" s="46" t="s">
        <v>256</v>
      </c>
      <c r="C343" s="93"/>
      <c r="D343" s="94">
        <f>SUM(D342:D342)</f>
        <v>0</v>
      </c>
      <c r="E343" s="94">
        <f>SUM(E342:E342)</f>
        <v>0</v>
      </c>
      <c r="F343" s="94">
        <f>SUM(F342:F342)</f>
        <v>0</v>
      </c>
      <c r="G343" s="94">
        <f>SUM(G342:G342)</f>
        <v>0</v>
      </c>
      <c r="H343" s="94">
        <f t="shared" si="49"/>
        <v>0</v>
      </c>
      <c r="I343" s="6">
        <f>SUM(I342:I342)</f>
        <v>10456</v>
      </c>
      <c r="J343" s="6">
        <f>SUM(J342:J342)</f>
        <v>1055</v>
      </c>
      <c r="K343" s="6">
        <f>SUM(K342:K342)</f>
        <v>0</v>
      </c>
      <c r="L343" s="6">
        <f>SUM(L342:L342)</f>
        <v>0</v>
      </c>
      <c r="M343" s="6">
        <f t="shared" si="47"/>
        <v>11511</v>
      </c>
      <c r="N343" s="28"/>
      <c r="O343" s="112"/>
      <c r="P343" s="113"/>
      <c r="Q343" s="113"/>
      <c r="R343" s="113"/>
      <c r="S343" s="113"/>
      <c r="T343" s="113"/>
      <c r="U343" s="113"/>
      <c r="V343" s="113"/>
    </row>
    <row r="344" spans="1:15" ht="48.75" customHeight="1">
      <c r="A344" s="160"/>
      <c r="B344" s="129" t="s">
        <v>61</v>
      </c>
      <c r="C344" s="18" t="s">
        <v>104</v>
      </c>
      <c r="D344" s="4">
        <v>36690</v>
      </c>
      <c r="E344" s="4"/>
      <c r="F344" s="4"/>
      <c r="G344" s="4"/>
      <c r="H344" s="7">
        <f t="shared" si="49"/>
        <v>36690</v>
      </c>
      <c r="I344" s="7">
        <f>17579+1</f>
        <v>17580</v>
      </c>
      <c r="J344" s="7"/>
      <c r="K344" s="7"/>
      <c r="L344" s="7"/>
      <c r="M344" s="7">
        <f t="shared" si="47"/>
        <v>17580</v>
      </c>
      <c r="N344" s="5">
        <f aca="true" t="shared" si="50" ref="N344:N350">M344/H344</f>
        <v>0.47914963205233035</v>
      </c>
      <c r="O344" s="80"/>
    </row>
    <row r="345" spans="1:15" ht="8.25" customHeight="1">
      <c r="A345" s="160"/>
      <c r="B345" s="129"/>
      <c r="C345" s="18" t="s">
        <v>72</v>
      </c>
      <c r="D345" s="4"/>
      <c r="E345" s="4"/>
      <c r="F345" s="4"/>
      <c r="G345" s="4"/>
      <c r="H345" s="7">
        <f t="shared" si="49"/>
        <v>0</v>
      </c>
      <c r="I345" s="7">
        <f>6-1</f>
        <v>5</v>
      </c>
      <c r="J345" s="7"/>
      <c r="K345" s="7"/>
      <c r="L345" s="7"/>
      <c r="M345" s="7">
        <f t="shared" si="47"/>
        <v>5</v>
      </c>
      <c r="N345" s="5"/>
      <c r="O345" s="80"/>
    </row>
    <row r="346" spans="1:15" ht="9.75">
      <c r="A346" s="160"/>
      <c r="B346" s="46" t="s">
        <v>184</v>
      </c>
      <c r="C346" s="29"/>
      <c r="D346" s="6">
        <f>SUM(D344:D345)</f>
        <v>36690</v>
      </c>
      <c r="E346" s="6">
        <f>SUM(E344:E345)</f>
        <v>0</v>
      </c>
      <c r="F346" s="6">
        <f>SUM(F344:F345)</f>
        <v>0</v>
      </c>
      <c r="G346" s="6">
        <f>SUM(G344:G345)</f>
        <v>0</v>
      </c>
      <c r="H346" s="6">
        <f t="shared" si="49"/>
        <v>36690</v>
      </c>
      <c r="I346" s="6">
        <f>SUM(I344:I345)</f>
        <v>17585</v>
      </c>
      <c r="J346" s="6">
        <f>SUM(J344:J345)</f>
        <v>0</v>
      </c>
      <c r="K346" s="6">
        <f>SUM(K344:K345)</f>
        <v>0</v>
      </c>
      <c r="L346" s="6">
        <f>SUM(L344:L345)</f>
        <v>0</v>
      </c>
      <c r="M346" s="6">
        <f t="shared" si="47"/>
        <v>17585</v>
      </c>
      <c r="N346" s="28">
        <f t="shared" si="50"/>
        <v>0.479285908967021</v>
      </c>
      <c r="O346" s="80"/>
    </row>
    <row r="347" spans="1:15" ht="47.25" customHeight="1">
      <c r="A347" s="160"/>
      <c r="B347" s="129" t="s">
        <v>55</v>
      </c>
      <c r="C347" s="18" t="s">
        <v>102</v>
      </c>
      <c r="D347" s="4">
        <f>1741588-300000</f>
        <v>1441588</v>
      </c>
      <c r="E347" s="4"/>
      <c r="F347" s="4"/>
      <c r="G347" s="4"/>
      <c r="H347" s="7">
        <f t="shared" si="49"/>
        <v>1441588</v>
      </c>
      <c r="I347" s="7">
        <v>1441588</v>
      </c>
      <c r="J347" s="7"/>
      <c r="K347" s="7"/>
      <c r="L347" s="7"/>
      <c r="M347" s="7">
        <f t="shared" si="47"/>
        <v>1441588</v>
      </c>
      <c r="N347" s="5">
        <f t="shared" si="50"/>
        <v>1</v>
      </c>
      <c r="O347" s="80"/>
    </row>
    <row r="348" spans="1:15" ht="37.5" customHeight="1">
      <c r="A348" s="160"/>
      <c r="B348" s="129"/>
      <c r="C348" s="18" t="s">
        <v>79</v>
      </c>
      <c r="D348" s="4"/>
      <c r="E348" s="4"/>
      <c r="F348" s="4"/>
      <c r="G348" s="4"/>
      <c r="H348" s="7">
        <f t="shared" si="49"/>
        <v>0</v>
      </c>
      <c r="I348" s="7">
        <f>177595+1</f>
        <v>177596</v>
      </c>
      <c r="J348" s="7"/>
      <c r="K348" s="7"/>
      <c r="L348" s="7"/>
      <c r="M348" s="7">
        <f t="shared" si="47"/>
        <v>177596</v>
      </c>
      <c r="N348" s="5"/>
      <c r="O348" s="80"/>
    </row>
    <row r="349" spans="1:15" ht="8.25" customHeight="1">
      <c r="A349" s="161"/>
      <c r="B349" s="67" t="s">
        <v>185</v>
      </c>
      <c r="C349" s="34"/>
      <c r="D349" s="6">
        <f>SUM(D347:D348)</f>
        <v>1441588</v>
      </c>
      <c r="E349" s="6">
        <f>SUM(E347:E348)</f>
        <v>0</v>
      </c>
      <c r="F349" s="6">
        <f>SUM(F347:F348)</f>
        <v>0</v>
      </c>
      <c r="G349" s="6">
        <f>SUM(G347:G348)</f>
        <v>0</v>
      </c>
      <c r="H349" s="6">
        <f t="shared" si="49"/>
        <v>1441588</v>
      </c>
      <c r="I349" s="6">
        <f>SUM(I347:I348)</f>
        <v>1619184</v>
      </c>
      <c r="J349" s="6">
        <f>SUM(J347:J348)</f>
        <v>0</v>
      </c>
      <c r="K349" s="6">
        <f>SUM(K347:K348)</f>
        <v>0</v>
      </c>
      <c r="L349" s="6">
        <f>SUM(L347:L348)</f>
        <v>0</v>
      </c>
      <c r="M349" s="6">
        <f t="shared" si="47"/>
        <v>1619184</v>
      </c>
      <c r="N349" s="28">
        <f t="shared" si="50"/>
        <v>1.123194699178961</v>
      </c>
      <c r="O349" s="80"/>
    </row>
    <row r="350" spans="1:15" ht="11.25">
      <c r="A350" s="166" t="s">
        <v>56</v>
      </c>
      <c r="B350" s="36"/>
      <c r="C350" s="24"/>
      <c r="D350" s="25">
        <f>SUM(D349,D346,D341,D339,D343)</f>
        <v>1478278</v>
      </c>
      <c r="E350" s="25">
        <f>SUM(E349,E346,E341,E339)</f>
        <v>0</v>
      </c>
      <c r="F350" s="25">
        <f>SUM(F349,F346,F341,F339)</f>
        <v>0</v>
      </c>
      <c r="G350" s="25">
        <f>SUM(G349,G346,G341,G339)</f>
        <v>0</v>
      </c>
      <c r="H350" s="25">
        <f t="shared" si="49"/>
        <v>1478278</v>
      </c>
      <c r="I350" s="25">
        <f>SUM(I349,I346,I341,I339,I343)</f>
        <v>1673227</v>
      </c>
      <c r="J350" s="25">
        <f>SUM(J349,J346,J341,J339,J343)</f>
        <v>1055</v>
      </c>
      <c r="K350" s="25">
        <f>SUM(K349,K346,K341,K339,K343)</f>
        <v>0</v>
      </c>
      <c r="L350" s="25">
        <f>SUM(L349,L346,L341,L339,L343)</f>
        <v>0</v>
      </c>
      <c r="M350" s="25">
        <f aca="true" t="shared" si="51" ref="M350:M363">SUM(I350:L350)</f>
        <v>1674282</v>
      </c>
      <c r="N350" s="30">
        <f t="shared" si="50"/>
        <v>1.1325894046992515</v>
      </c>
      <c r="O350" s="80"/>
    </row>
    <row r="351" spans="1:15" ht="37.5" customHeight="1">
      <c r="A351" s="159" t="s">
        <v>231</v>
      </c>
      <c r="B351" s="66" t="s">
        <v>232</v>
      </c>
      <c r="C351" s="18" t="s">
        <v>216</v>
      </c>
      <c r="D351" s="4"/>
      <c r="E351" s="4"/>
      <c r="F351" s="4"/>
      <c r="G351" s="4"/>
      <c r="H351" s="7">
        <f t="shared" si="49"/>
        <v>0</v>
      </c>
      <c r="I351" s="7">
        <v>464</v>
      </c>
      <c r="J351" s="7"/>
      <c r="K351" s="7"/>
      <c r="L351" s="7"/>
      <c r="M351" s="7">
        <f t="shared" si="51"/>
        <v>464</v>
      </c>
      <c r="N351" s="5"/>
      <c r="O351" s="80"/>
    </row>
    <row r="352" spans="1:15" ht="9.75" customHeight="1">
      <c r="A352" s="161"/>
      <c r="B352" s="67" t="s">
        <v>232</v>
      </c>
      <c r="C352" s="34"/>
      <c r="D352" s="6">
        <f aca="true" t="shared" si="52" ref="D352:G353">SUM(D351)</f>
        <v>0</v>
      </c>
      <c r="E352" s="6">
        <f t="shared" si="52"/>
        <v>0</v>
      </c>
      <c r="F352" s="6">
        <f t="shared" si="52"/>
        <v>0</v>
      </c>
      <c r="G352" s="6">
        <f t="shared" si="52"/>
        <v>0</v>
      </c>
      <c r="H352" s="6">
        <f t="shared" si="49"/>
        <v>0</v>
      </c>
      <c r="I352" s="6">
        <f>SUM(I351:I351)</f>
        <v>464</v>
      </c>
      <c r="J352" s="6">
        <f>SUM(J351:J351)</f>
        <v>0</v>
      </c>
      <c r="K352" s="6">
        <f>SUM(K351:K351)</f>
        <v>0</v>
      </c>
      <c r="L352" s="6">
        <f>SUM(L351:L351)</f>
        <v>0</v>
      </c>
      <c r="M352" s="6">
        <f t="shared" si="51"/>
        <v>464</v>
      </c>
      <c r="N352" s="28"/>
      <c r="O352" s="80"/>
    </row>
    <row r="353" spans="1:15" ht="9.75" customHeight="1">
      <c r="A353" s="26" t="s">
        <v>231</v>
      </c>
      <c r="B353" s="88"/>
      <c r="C353" s="24"/>
      <c r="D353" s="25">
        <f t="shared" si="52"/>
        <v>0</v>
      </c>
      <c r="E353" s="25">
        <f t="shared" si="52"/>
        <v>0</v>
      </c>
      <c r="F353" s="25">
        <f t="shared" si="52"/>
        <v>0</v>
      </c>
      <c r="G353" s="25">
        <f t="shared" si="52"/>
        <v>0</v>
      </c>
      <c r="H353" s="25">
        <f t="shared" si="49"/>
        <v>0</v>
      </c>
      <c r="I353" s="25">
        <f>SUM(I352)</f>
        <v>464</v>
      </c>
      <c r="J353" s="25">
        <f>SUM(J352)</f>
        <v>0</v>
      </c>
      <c r="K353" s="25">
        <f>SUM(K352)</f>
        <v>0</v>
      </c>
      <c r="L353" s="25">
        <f>SUM(L352)</f>
        <v>0</v>
      </c>
      <c r="M353" s="25">
        <f t="shared" si="51"/>
        <v>464</v>
      </c>
      <c r="N353" s="30"/>
      <c r="O353" s="80"/>
    </row>
    <row r="354" spans="1:15" ht="9.75">
      <c r="A354" s="154" t="s">
        <v>59</v>
      </c>
      <c r="B354" s="120" t="s">
        <v>67</v>
      </c>
      <c r="C354" s="18" t="s">
        <v>71</v>
      </c>
      <c r="D354" s="4">
        <v>100000</v>
      </c>
      <c r="E354" s="4"/>
      <c r="F354" s="4"/>
      <c r="G354" s="4"/>
      <c r="H354" s="7">
        <f t="shared" si="49"/>
        <v>100000</v>
      </c>
      <c r="I354" s="7">
        <v>88274</v>
      </c>
      <c r="J354" s="7"/>
      <c r="K354" s="7"/>
      <c r="L354" s="7"/>
      <c r="M354" s="7">
        <f t="shared" si="51"/>
        <v>88274</v>
      </c>
      <c r="N354" s="5">
        <f>M354/H354</f>
        <v>0.88274</v>
      </c>
      <c r="O354" s="80"/>
    </row>
    <row r="355" spans="1:15" ht="9.75">
      <c r="A355" s="154"/>
      <c r="B355" s="121"/>
      <c r="C355" s="18" t="s">
        <v>72</v>
      </c>
      <c r="D355" s="4"/>
      <c r="E355" s="4"/>
      <c r="F355" s="4"/>
      <c r="G355" s="4"/>
      <c r="H355" s="7">
        <f t="shared" si="49"/>
        <v>0</v>
      </c>
      <c r="I355" s="7">
        <f>3349-1</f>
        <v>3348</v>
      </c>
      <c r="J355" s="7"/>
      <c r="K355" s="7"/>
      <c r="L355" s="7"/>
      <c r="M355" s="7">
        <f t="shared" si="51"/>
        <v>3348</v>
      </c>
      <c r="N355" s="5"/>
      <c r="O355" s="80"/>
    </row>
    <row r="356" spans="1:15" ht="8.25" customHeight="1">
      <c r="A356" s="154"/>
      <c r="B356" s="122"/>
      <c r="C356" s="18" t="s">
        <v>74</v>
      </c>
      <c r="D356" s="4"/>
      <c r="E356" s="4"/>
      <c r="F356" s="4"/>
      <c r="G356" s="4"/>
      <c r="H356" s="7">
        <f t="shared" si="49"/>
        <v>0</v>
      </c>
      <c r="I356" s="7">
        <v>163</v>
      </c>
      <c r="J356" s="7"/>
      <c r="K356" s="7"/>
      <c r="L356" s="7"/>
      <c r="M356" s="7">
        <f t="shared" si="51"/>
        <v>163</v>
      </c>
      <c r="N356" s="5"/>
      <c r="O356" s="80"/>
    </row>
    <row r="357" spans="1:15" ht="9.75">
      <c r="A357" s="154"/>
      <c r="B357" s="29" t="s">
        <v>186</v>
      </c>
      <c r="C357" s="29"/>
      <c r="D357" s="6">
        <f>SUM(D354:D356)</f>
        <v>100000</v>
      </c>
      <c r="E357" s="6">
        <f>SUM(E354:E356)</f>
        <v>0</v>
      </c>
      <c r="F357" s="6">
        <f>SUM(F354:F356)</f>
        <v>0</v>
      </c>
      <c r="G357" s="6">
        <f>SUM(G354:G356)</f>
        <v>0</v>
      </c>
      <c r="H357" s="6">
        <f t="shared" si="49"/>
        <v>100000</v>
      </c>
      <c r="I357" s="6">
        <f>SUM(I354:I356)</f>
        <v>91785</v>
      </c>
      <c r="J357" s="6">
        <f>SUM(J354:J356)</f>
        <v>0</v>
      </c>
      <c r="K357" s="6">
        <f>SUM(K354:K356)</f>
        <v>0</v>
      </c>
      <c r="L357" s="6">
        <f>SUM(L354:L356)</f>
        <v>0</v>
      </c>
      <c r="M357" s="6">
        <f t="shared" si="51"/>
        <v>91785</v>
      </c>
      <c r="N357" s="28">
        <f>M357/H357</f>
        <v>0.91785</v>
      </c>
      <c r="O357" s="80"/>
    </row>
    <row r="358" spans="1:15" ht="9.75" customHeight="1" hidden="1">
      <c r="A358" s="154"/>
      <c r="B358" s="22" t="s">
        <v>233</v>
      </c>
      <c r="C358" s="18" t="s">
        <v>71</v>
      </c>
      <c r="D358" s="4"/>
      <c r="E358" s="4"/>
      <c r="F358" s="4"/>
      <c r="G358" s="4"/>
      <c r="H358" s="7">
        <f t="shared" si="49"/>
        <v>0</v>
      </c>
      <c r="I358" s="7"/>
      <c r="J358" s="7"/>
      <c r="K358" s="7"/>
      <c r="L358" s="7"/>
      <c r="M358" s="7">
        <f t="shared" si="51"/>
        <v>0</v>
      </c>
      <c r="N358" s="5"/>
      <c r="O358" s="80"/>
    </row>
    <row r="359" spans="1:15" ht="58.5">
      <c r="A359" s="154"/>
      <c r="B359" s="120" t="s">
        <v>233</v>
      </c>
      <c r="C359" s="18" t="s">
        <v>104</v>
      </c>
      <c r="D359" s="4">
        <v>230000</v>
      </c>
      <c r="E359" s="4"/>
      <c r="F359" s="4"/>
      <c r="G359" s="4"/>
      <c r="H359" s="7">
        <f t="shared" si="49"/>
        <v>230000</v>
      </c>
      <c r="I359" s="7">
        <f>180093+1</f>
        <v>180094</v>
      </c>
      <c r="J359" s="7"/>
      <c r="K359" s="7"/>
      <c r="L359" s="7"/>
      <c r="M359" s="7">
        <f t="shared" si="51"/>
        <v>180094</v>
      </c>
      <c r="N359" s="5">
        <f aca="true" t="shared" si="53" ref="N359:N365">M359/H359</f>
        <v>0.7830173913043478</v>
      </c>
      <c r="O359" s="80"/>
    </row>
    <row r="360" spans="1:15" ht="9.75">
      <c r="A360" s="154"/>
      <c r="B360" s="121"/>
      <c r="C360" s="18" t="s">
        <v>72</v>
      </c>
      <c r="D360" s="4"/>
      <c r="E360" s="4"/>
      <c r="F360" s="4"/>
      <c r="G360" s="4"/>
      <c r="H360" s="7">
        <f t="shared" si="49"/>
        <v>0</v>
      </c>
      <c r="I360" s="7">
        <v>6595</v>
      </c>
      <c r="J360" s="7"/>
      <c r="K360" s="7"/>
      <c r="L360" s="7"/>
      <c r="M360" s="7">
        <f t="shared" si="51"/>
        <v>6595</v>
      </c>
      <c r="N360" s="5"/>
      <c r="O360" s="80"/>
    </row>
    <row r="361" spans="1:15" ht="9.75">
      <c r="A361" s="154"/>
      <c r="B361" s="27"/>
      <c r="C361" s="18" t="s">
        <v>74</v>
      </c>
      <c r="D361" s="4">
        <v>10725</v>
      </c>
      <c r="E361" s="4"/>
      <c r="F361" s="4"/>
      <c r="G361" s="4"/>
      <c r="H361" s="7">
        <f t="shared" si="49"/>
        <v>10725</v>
      </c>
      <c r="I361" s="7">
        <v>6554</v>
      </c>
      <c r="J361" s="7"/>
      <c r="K361" s="7"/>
      <c r="L361" s="7"/>
      <c r="M361" s="7">
        <f t="shared" si="51"/>
        <v>6554</v>
      </c>
      <c r="N361" s="5">
        <f t="shared" si="53"/>
        <v>0.6110955710955711</v>
      </c>
      <c r="O361" s="80"/>
    </row>
    <row r="362" spans="1:15" ht="18" customHeight="1">
      <c r="A362" s="154"/>
      <c r="B362" s="17"/>
      <c r="C362" s="18" t="s">
        <v>204</v>
      </c>
      <c r="D362" s="4">
        <v>18332</v>
      </c>
      <c r="E362" s="4"/>
      <c r="F362" s="4"/>
      <c r="G362" s="4"/>
      <c r="H362" s="7">
        <f t="shared" si="49"/>
        <v>18332</v>
      </c>
      <c r="I362" s="7">
        <f>18333-1</f>
        <v>18332</v>
      </c>
      <c r="J362" s="7"/>
      <c r="K362" s="7"/>
      <c r="L362" s="7"/>
      <c r="M362" s="7">
        <f t="shared" si="51"/>
        <v>18332</v>
      </c>
      <c r="N362" s="5">
        <f t="shared" si="53"/>
        <v>1</v>
      </c>
      <c r="O362" s="80"/>
    </row>
    <row r="363" spans="1:15" ht="8.25" customHeight="1">
      <c r="A363" s="154"/>
      <c r="B363" s="29" t="s">
        <v>234</v>
      </c>
      <c r="C363" s="29"/>
      <c r="D363" s="6">
        <f>SUM(D358:D362)</f>
        <v>259057</v>
      </c>
      <c r="E363" s="6">
        <f>SUM(E358:E362)</f>
        <v>0</v>
      </c>
      <c r="F363" s="6">
        <f>SUM(F358:F362)</f>
        <v>0</v>
      </c>
      <c r="G363" s="6">
        <f>SUM(G358:G362)</f>
        <v>0</v>
      </c>
      <c r="H363" s="6">
        <f t="shared" si="49"/>
        <v>259057</v>
      </c>
      <c r="I363" s="6">
        <f>SUM(I358:I362)</f>
        <v>211575</v>
      </c>
      <c r="J363" s="6">
        <f>SUM(J358:J362)</f>
        <v>0</v>
      </c>
      <c r="K363" s="6">
        <f>SUM(K358:K362)</f>
        <v>0</v>
      </c>
      <c r="L363" s="6">
        <f>SUM(L358:L362)</f>
        <v>0</v>
      </c>
      <c r="M363" s="6">
        <f t="shared" si="51"/>
        <v>211575</v>
      </c>
      <c r="N363" s="28">
        <f t="shared" si="53"/>
        <v>0.816712152151843</v>
      </c>
      <c r="O363" s="80"/>
    </row>
    <row r="364" spans="1:15" ht="10.5" customHeight="1">
      <c r="A364" s="26" t="s">
        <v>60</v>
      </c>
      <c r="B364" s="89"/>
      <c r="C364" s="42"/>
      <c r="D364" s="25">
        <f>SUM(D363,D357)</f>
        <v>359057</v>
      </c>
      <c r="E364" s="25">
        <f>SUM(E363,E357)</f>
        <v>0</v>
      </c>
      <c r="F364" s="25">
        <f>SUM(F363,F357)</f>
        <v>0</v>
      </c>
      <c r="G364" s="25">
        <f>SUM(G363,G357)</f>
        <v>0</v>
      </c>
      <c r="H364" s="25">
        <f t="shared" si="49"/>
        <v>359057</v>
      </c>
      <c r="I364" s="25">
        <f>SUM(I357,I363)</f>
        <v>303360</v>
      </c>
      <c r="J364" s="25">
        <f>SUM(J357,J363)</f>
        <v>0</v>
      </c>
      <c r="K364" s="25">
        <f>SUM(K357,K363)</f>
        <v>0</v>
      </c>
      <c r="L364" s="25">
        <f>SUM(L357,L363)</f>
        <v>0</v>
      </c>
      <c r="M364" s="25">
        <f>SUM(M357,M363)</f>
        <v>303360</v>
      </c>
      <c r="N364" s="30">
        <f t="shared" si="53"/>
        <v>0.8448797823186848</v>
      </c>
      <c r="O364" s="80"/>
    </row>
    <row r="365" spans="1:15" ht="9" customHeight="1">
      <c r="A365" s="167" t="s">
        <v>7</v>
      </c>
      <c r="B365" s="43"/>
      <c r="C365" s="44"/>
      <c r="D365" s="12">
        <f aca="true" t="shared" si="54" ref="D365:L365">SUM(D24,D27,D41,D64,D87,D90,D99,D136,D149,D210,D227,D273,D288,D337,D350,D353,D364)</f>
        <v>461483111</v>
      </c>
      <c r="E365" s="12">
        <f t="shared" si="54"/>
        <v>133467989</v>
      </c>
      <c r="F365" s="12">
        <f t="shared" si="54"/>
        <v>39723440</v>
      </c>
      <c r="G365" s="12">
        <f t="shared" si="54"/>
        <v>11597194</v>
      </c>
      <c r="H365" s="12">
        <f t="shared" si="54"/>
        <v>646271734</v>
      </c>
      <c r="I365" s="12">
        <f t="shared" si="54"/>
        <v>231668691</v>
      </c>
      <c r="J365" s="12">
        <f t="shared" si="54"/>
        <v>63899913</v>
      </c>
      <c r="K365" s="12">
        <f t="shared" si="54"/>
        <v>18692686</v>
      </c>
      <c r="L365" s="12">
        <f t="shared" si="54"/>
        <v>6667378</v>
      </c>
      <c r="M365" s="12">
        <f>SUM(M24,M41,M64,M87,M90,M99,M136,M149,M210,M227,M273,M288,M337,M350,M353,M364)</f>
        <v>320928668</v>
      </c>
      <c r="N365" s="5">
        <f t="shared" si="53"/>
        <v>0.49658471988812064</v>
      </c>
      <c r="O365" s="80"/>
    </row>
    <row r="366" ht="8.25" customHeight="1">
      <c r="D366" s="32"/>
    </row>
    <row r="367" spans="3:13" ht="19.5" customHeight="1">
      <c r="C367" s="101" t="s">
        <v>238</v>
      </c>
      <c r="D367" s="57" t="s">
        <v>278</v>
      </c>
      <c r="E367" s="57" t="s">
        <v>239</v>
      </c>
      <c r="F367" s="57" t="s">
        <v>240</v>
      </c>
      <c r="M367" s="84">
        <v>173783999</v>
      </c>
    </row>
    <row r="368" spans="3:13" ht="12">
      <c r="C368" s="58" t="s">
        <v>241</v>
      </c>
      <c r="D368" s="12">
        <f>SUM(D369:D371)</f>
        <v>84797060</v>
      </c>
      <c r="E368" s="12">
        <f>SUM(E369:E371)</f>
        <v>14797059</v>
      </c>
      <c r="F368" s="59">
        <f>E368/D368*100</f>
        <v>17.449967015365864</v>
      </c>
      <c r="M368" s="85">
        <f>M365-M367</f>
        <v>147144669</v>
      </c>
    </row>
    <row r="369" spans="3:6" ht="10.5" customHeight="1">
      <c r="C369" s="102" t="s">
        <v>242</v>
      </c>
      <c r="D369" s="61">
        <v>14760787</v>
      </c>
      <c r="E369" s="61">
        <v>14760787</v>
      </c>
      <c r="F369" s="59">
        <f>E369/D369*100</f>
        <v>100</v>
      </c>
    </row>
    <row r="370" spans="3:6" ht="9.75" customHeight="1">
      <c r="C370" s="102" t="s">
        <v>243</v>
      </c>
      <c r="D370" s="61">
        <v>70000000</v>
      </c>
      <c r="E370" s="61"/>
      <c r="F370" s="59">
        <f>E370/D370*100</f>
        <v>0</v>
      </c>
    </row>
    <row r="371" spans="3:6" ht="11.25">
      <c r="C371" s="102" t="s">
        <v>244</v>
      </c>
      <c r="D371" s="61">
        <v>36273</v>
      </c>
      <c r="E371" s="61">
        <v>36272</v>
      </c>
      <c r="F371" s="59">
        <f>E371/D371*100</f>
        <v>99.99724312849779</v>
      </c>
    </row>
    <row r="372" spans="3:6" ht="12" customHeight="1">
      <c r="C372" s="58" t="s">
        <v>245</v>
      </c>
      <c r="D372" s="12">
        <f>SUM(H365,D368)</f>
        <v>731068794</v>
      </c>
      <c r="E372" s="12">
        <f>SUM(E368,M365)</f>
        <v>335725727</v>
      </c>
      <c r="F372" s="59">
        <f>E372/D372*100</f>
        <v>45.92259028908845</v>
      </c>
    </row>
  </sheetData>
  <mergeCells count="78">
    <mergeCell ref="B49:B52"/>
    <mergeCell ref="A150:A153"/>
    <mergeCell ref="A358:A363"/>
    <mergeCell ref="B359:B360"/>
    <mergeCell ref="A351:A352"/>
    <mergeCell ref="B330:B333"/>
    <mergeCell ref="A338:A349"/>
    <mergeCell ref="B344:B345"/>
    <mergeCell ref="B347:B348"/>
    <mergeCell ref="A309:A315"/>
    <mergeCell ref="B309:B314"/>
    <mergeCell ref="A354:A357"/>
    <mergeCell ref="B354:B356"/>
    <mergeCell ref="A274:A287"/>
    <mergeCell ref="B287:C287"/>
    <mergeCell ref="B316:B319"/>
    <mergeCell ref="B321:B326"/>
    <mergeCell ref="A289:A308"/>
    <mergeCell ref="B289:B292"/>
    <mergeCell ref="B294:B299"/>
    <mergeCell ref="B305:B307"/>
    <mergeCell ref="B302:B303"/>
    <mergeCell ref="B293:C293"/>
    <mergeCell ref="B270:B271"/>
    <mergeCell ref="B274:B275"/>
    <mergeCell ref="B279:B280"/>
    <mergeCell ref="B282:B284"/>
    <mergeCell ref="B254:B256"/>
    <mergeCell ref="B258:B259"/>
    <mergeCell ref="B261:B263"/>
    <mergeCell ref="B265:B268"/>
    <mergeCell ref="B234:B238"/>
    <mergeCell ref="B240:B242"/>
    <mergeCell ref="B245:B246"/>
    <mergeCell ref="B248:B250"/>
    <mergeCell ref="B216:B217"/>
    <mergeCell ref="B221:B222"/>
    <mergeCell ref="A228:A232"/>
    <mergeCell ref="B228:B229"/>
    <mergeCell ref="B224:B225"/>
    <mergeCell ref="B184:B191"/>
    <mergeCell ref="B193:B196"/>
    <mergeCell ref="B200:B203"/>
    <mergeCell ref="B211:B212"/>
    <mergeCell ref="B207:B208"/>
    <mergeCell ref="B158:B161"/>
    <mergeCell ref="B163:B167"/>
    <mergeCell ref="B169:B175"/>
    <mergeCell ref="B177:B182"/>
    <mergeCell ref="B124:B128"/>
    <mergeCell ref="B130:B131"/>
    <mergeCell ref="B133:B134"/>
    <mergeCell ref="B150:B156"/>
    <mergeCell ref="B140:C140"/>
    <mergeCell ref="A100:A108"/>
    <mergeCell ref="B100:B101"/>
    <mergeCell ref="B103:B108"/>
    <mergeCell ref="B111:B122"/>
    <mergeCell ref="A88:A89"/>
    <mergeCell ref="A91:A98"/>
    <mergeCell ref="B91:B94"/>
    <mergeCell ref="B96:B97"/>
    <mergeCell ref="B54:B56"/>
    <mergeCell ref="B58:B62"/>
    <mergeCell ref="B82:B85"/>
    <mergeCell ref="B69:B71"/>
    <mergeCell ref="B11:B17"/>
    <mergeCell ref="B19:B22"/>
    <mergeCell ref="B38:B39"/>
    <mergeCell ref="A27:B27"/>
    <mergeCell ref="A1:N1"/>
    <mergeCell ref="D2:H2"/>
    <mergeCell ref="I2:M2"/>
    <mergeCell ref="A4:A7"/>
    <mergeCell ref="B4:B8"/>
    <mergeCell ref="A2:A3"/>
    <mergeCell ref="B2:B3"/>
    <mergeCell ref="C2:C3"/>
  </mergeCells>
  <printOptions/>
  <pageMargins left="0.52" right="0.2362204724409449" top="0.5511811023622047" bottom="0.4" header="0.5118110236220472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Radkiewicz</dc:creator>
  <cp:keywords/>
  <dc:description/>
  <cp:lastModifiedBy>abr</cp:lastModifiedBy>
  <cp:lastPrinted>2005-08-19T06:36:52Z</cp:lastPrinted>
  <dcterms:created xsi:type="dcterms:W3CDTF">2001-04-03T07:57:11Z</dcterms:created>
  <dcterms:modified xsi:type="dcterms:W3CDTF">2005-08-19T06:40:03Z</dcterms:modified>
  <cp:category/>
  <cp:version/>
  <cp:contentType/>
  <cp:contentStatus/>
</cp:coreProperties>
</file>