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0"/>
  </bookViews>
  <sheets>
    <sheet name="źródła 2006 z przewidyw.wyk" sheetId="1" r:id="rId1"/>
  </sheets>
  <definedNames>
    <definedName name="_xlnm.Print_Titles" localSheetId="0">'źródła 2006 z przewidyw.wyk'!$3:$4</definedName>
  </definedNames>
  <calcPr fullCalcOnLoad="1"/>
</workbook>
</file>

<file path=xl/sharedStrings.xml><?xml version="1.0" encoding="utf-8"?>
<sst xmlns="http://schemas.openxmlformats.org/spreadsheetml/2006/main" count="246" uniqueCount="194">
  <si>
    <t xml:space="preserve">Projekt dochodów budżetu miasta Gdyni na 2006 rok wg źródeł                                </t>
  </si>
  <si>
    <t>Lp.</t>
  </si>
  <si>
    <t>Treść</t>
  </si>
  <si>
    <t>Plan na 2005r wg stanu na 31-10-2005</t>
  </si>
  <si>
    <t>Przewidywane wykonanie na 2005r.</t>
  </si>
  <si>
    <t>Projekt dochodów budżetu miasta Gdyni na 2006 rok</t>
  </si>
  <si>
    <t>opł targowa</t>
  </si>
  <si>
    <t>Gmina</t>
  </si>
  <si>
    <t>Powiat</t>
  </si>
  <si>
    <t>Razem</t>
  </si>
  <si>
    <t>dynamika w %          (kol. 11:8)</t>
  </si>
  <si>
    <t>DOCHODY OGÓŁEM</t>
  </si>
  <si>
    <t>Podatki i opłaty pobierane przez gminę</t>
  </si>
  <si>
    <t xml:space="preserve">podatek od nieruchomości </t>
  </si>
  <si>
    <t>0310</t>
  </si>
  <si>
    <t xml:space="preserve">podatek od środków transportowych </t>
  </si>
  <si>
    <t>0340</t>
  </si>
  <si>
    <t>opłata skarbowa</t>
  </si>
  <si>
    <t>0410</t>
  </si>
  <si>
    <t>opłaty lokalne</t>
  </si>
  <si>
    <t>0430</t>
  </si>
  <si>
    <t>0440</t>
  </si>
  <si>
    <t>pozostałe</t>
  </si>
  <si>
    <t>podatek rolny</t>
  </si>
  <si>
    <t>0320</t>
  </si>
  <si>
    <t xml:space="preserve">podatek leśny </t>
  </si>
  <si>
    <t>0330</t>
  </si>
  <si>
    <t>zaległości z podatków zniesionych</t>
  </si>
  <si>
    <t>0560</t>
  </si>
  <si>
    <t xml:space="preserve">opłata administracyjna </t>
  </si>
  <si>
    <t>0450</t>
  </si>
  <si>
    <t>podatek od posiadania psów</t>
  </si>
  <si>
    <t>0370</t>
  </si>
  <si>
    <t>odsetki i opłata prolongacyjna</t>
  </si>
  <si>
    <t>0910</t>
  </si>
  <si>
    <t>Podatki pobierane przez urzędy skarbowe</t>
  </si>
  <si>
    <t>karta podatkowa</t>
  </si>
  <si>
    <t>0350</t>
  </si>
  <si>
    <t>podatek od spadków i darowizn</t>
  </si>
  <si>
    <t>0360</t>
  </si>
  <si>
    <t xml:space="preserve">podatek od czynności cywilnoprawnych </t>
  </si>
  <si>
    <t>0500</t>
  </si>
  <si>
    <t>odsetki od należności podatkowych pobieranych przez US</t>
  </si>
  <si>
    <t>w doch ogółem</t>
  </si>
  <si>
    <t xml:space="preserve">Dochody z majątku </t>
  </si>
  <si>
    <t>wpływy ze sprzedaży mienia komunalnego</t>
  </si>
  <si>
    <t>0760</t>
  </si>
  <si>
    <t>0770</t>
  </si>
  <si>
    <t>dochody z dzierżawy</t>
  </si>
  <si>
    <t>0750</t>
  </si>
  <si>
    <t>wpływy z lokali użytkowych</t>
  </si>
  <si>
    <t>użytkowanie wieczyste</t>
  </si>
  <si>
    <t>0470</t>
  </si>
  <si>
    <t>opłata adiacencka i renta planistyczna</t>
  </si>
  <si>
    <t xml:space="preserve">sprzedaż składników majątkowych </t>
  </si>
  <si>
    <t>0870</t>
  </si>
  <si>
    <t>dochody z najmu i dzierżawy skł. majątkowych gminy oddanych w użytkowanie jednostkom i zakł. budżetowym</t>
  </si>
  <si>
    <t>wpływy z czynszów za mieszkania służbowe</t>
  </si>
  <si>
    <t>szkoły</t>
  </si>
  <si>
    <t>dochody z najmu lokali mieszkalnych i pomieszczeń w szkołach i placówkach oświatowych</t>
  </si>
  <si>
    <t>z oświaty</t>
  </si>
  <si>
    <t xml:space="preserve">Inne dochody własne </t>
  </si>
  <si>
    <t>opłaty administracyjne za miejsca na cmentarzach</t>
  </si>
  <si>
    <t>wpływy Zarządu Komunikacji Miejskiej</t>
  </si>
  <si>
    <t>0830</t>
  </si>
  <si>
    <t>0920</t>
  </si>
  <si>
    <t>0970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</si>
  <si>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</si>
  <si>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</si>
  <si>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</si>
  <si>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</si>
  <si>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>G</t>
  </si>
  <si>
    <t>P</t>
  </si>
  <si>
    <t xml:space="preserve">opłaty za wpis do rejestru działalności gospodarczej za egzaminy i dokumenty wydawane w związku z wykonywaniem transportu drogowego oraz inne opłaty pobierane przez UM </t>
  </si>
  <si>
    <t>0690</t>
  </si>
  <si>
    <t>0590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</si>
  <si>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</si>
  <si>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</si>
  <si>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</si>
  <si>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0480</t>
  </si>
  <si>
    <t>opłaty za tablice rejestracyjne, prawa jazdy, świadectwa kwal.itp.</t>
  </si>
  <si>
    <t>0420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</si>
  <si>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</si>
  <si>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</si>
  <si>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</si>
  <si>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wpływy z opłat za korzystanie z lodowiska</t>
  </si>
  <si>
    <t>pozostałe dochody</t>
  </si>
  <si>
    <t>grzywny i kary - Straż Miejska</t>
  </si>
  <si>
    <t>0570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</si>
  <si>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</si>
  <si>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</si>
  <si>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</si>
  <si>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</si>
  <si>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</si>
  <si>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>rozliczenia z lat ubiegłych</t>
  </si>
  <si>
    <t>Dotacje z jednostek samorządu terytorialnego na realizację zadań na podstawie porozumień</t>
  </si>
  <si>
    <t xml:space="preserve">zadania oświatowe </t>
  </si>
  <si>
    <t>2320</t>
  </si>
  <si>
    <t>Miejski Rzecznik Konsumentów</t>
  </si>
  <si>
    <t>obsługa mieszkańców Sopotu przez Powiatowy Urząd Pracy w Gdyni</t>
  </si>
  <si>
    <t xml:space="preserve">rodziny zastępcze </t>
  </si>
  <si>
    <t>środki dla Powiatowego Zespołu ds.. 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</si>
  <si>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</si>
  <si>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</si>
  <si>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</si>
  <si>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z WFOŚ na projekt "Urząd przyjazny środowisku"</t>
  </si>
  <si>
    <t>realizacja zadania inwestycyjnego "Rozbudowa poddasza w budynku Zespołu Opiekuńczego"</t>
  </si>
  <si>
    <t>z WFOŚ na wyposażenie laboratoriów badawczych w Pomorskim Parku Naukowo - Technologicznym</t>
  </si>
  <si>
    <t>schronisko dla zwierząt</t>
  </si>
  <si>
    <t>środki z PEFRON-u - rekompensata utraconych dochodów z tytułu zwolnień w podatkach</t>
  </si>
  <si>
    <t>wpłaty przychodni lekarskich na współfinansowanie realizacji inwestycji</t>
  </si>
  <si>
    <t>środki z wkładu UE na realizację projektów</t>
  </si>
  <si>
    <t>środki na rozbudowę ul. J.Wiśniewskiego (porozumienie z Zarządem Morskiego Portu Gdynia S.A.)</t>
  </si>
  <si>
    <t>wkład beneficjentów w realizację zadania: rozwój turystyki w rejonie Zatoki Gdańskiej</t>
  </si>
  <si>
    <t xml:space="preserve"> lokalne inicjatywy inwestycyjne</t>
  </si>
  <si>
    <t>dotacja z funduszu rozwoju kultury fizycznej na dofinansowanie budowy hali widowiskowo - sportowej</t>
  </si>
  <si>
    <t>Środki z UE na dofinansowanie zadań własnych</t>
  </si>
  <si>
    <t>środki na rozbudowę ul. J.Wiśniewskiego</t>
  </si>
  <si>
    <t>0010</t>
  </si>
  <si>
    <t>środki na realizację zadania: rozwój turystyki w rejonie Zatoki Gdańskiej współfinansowanego ze środków funduszu PHARE</t>
  </si>
  <si>
    <t>środki z wkładu UE na realizację projektu SEBTrans - Link - nowoczesny Terminal Promowy w Porcie Wschodnim w Gdyni</t>
  </si>
  <si>
    <t>środki na budowę Trasy Kwiatkowskigo</t>
  </si>
  <si>
    <t>0020</t>
  </si>
  <si>
    <t>środki na dofinansowanie projektów: ABC Alians Miast Bałtyckich, "Młodzież - Lepszy start", projekt "Fundusz stypendialny dla uczniów gdyńskich szkół ponadgimnazjalnych, "Otwarta platforma usług Urzedu udostępnionych drogą Telefonii Komórkowej"</t>
  </si>
  <si>
    <t>§ 270</t>
  </si>
  <si>
    <t>środki na realizację zadania "Promocja zatrudnienia i rozwój zasobów ludzkich województwa pomorskiego"</t>
  </si>
  <si>
    <t>środki na dofinansowanie projektu SOCRATES COMENIUS</t>
  </si>
  <si>
    <t>środki na dofinansowanie projektu "Pomorski Park Naukowo - Technologiczny"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</si>
  <si>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</si>
  <si>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</si>
  <si>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</si>
  <si>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</t>
  </si>
  <si>
    <t>część oświatowa</t>
  </si>
  <si>
    <t xml:space="preserve">uzupełnienie subwencji ogólnej </t>
  </si>
  <si>
    <t xml:space="preserve">część rekompensująca </t>
  </si>
  <si>
    <t>część równoważąca</t>
  </si>
  <si>
    <t>III.  DOTACJE CELOWE Z BUDŻETU PAŃSTWA</t>
  </si>
  <si>
    <t>NA ZADANIA ZLECONE</t>
  </si>
  <si>
    <t>Inspektorat Nadzoru Budowlanego</t>
  </si>
  <si>
    <t>Inspektorat Nadzoru Budowlanego - zakupy inwestycyjne</t>
  </si>
  <si>
    <t>Komenda Powiatowa Państwowej Straży Pożarnej (na zadania bieżące i inwestycyjne)</t>
  </si>
  <si>
    <t>oświetlenie ulic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</si>
  <si>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</si>
  <si>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</si>
  <si>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</si>
  <si>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</si>
  <si>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</si>
  <si>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>świadczenia rodzinne (zakupy inwestycyjne)</t>
  </si>
  <si>
    <t>zasiłki rodzinne, pielęgn.i wychow.</t>
  </si>
  <si>
    <t xml:space="preserve"> ośrodki pomocy społecznej</t>
  </si>
  <si>
    <t xml:space="preserve"> usługi opiekuńcze</t>
  </si>
  <si>
    <t>pomoc dla repatriantów</t>
  </si>
  <si>
    <t>zespół ds. orzekania o stopniu niepełnosprawn.</t>
  </si>
  <si>
    <t xml:space="preserve"> wyprawki szkolne</t>
  </si>
  <si>
    <t xml:space="preserve">składki na ubezpieczenia zdrowotne </t>
  </si>
  <si>
    <t>administracja państwowa</t>
  </si>
  <si>
    <t>wybory do Parlamentu Europejskiego</t>
  </si>
  <si>
    <t>wybory do Sejmu i Senatu</t>
  </si>
  <si>
    <t>wybory Prezydenta Rzeczypospolitej Polskiej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</si>
  <si>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</si>
  <si>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</si>
  <si>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</si>
  <si>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</si>
  <si>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</si>
  <si>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</si>
  <si>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</si>
  <si>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</si>
  <si>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zakup książek do biblioteki</t>
  </si>
  <si>
    <t>dotacja dla Teatru Miejskiego</t>
  </si>
  <si>
    <t>utrzymanie grobów wojennych</t>
  </si>
  <si>
    <t>NA FINANSOWANIE LUB DOFINANSOWANIE ZADAŃ WŁASNYCH</t>
  </si>
  <si>
    <t>pomoc materialna dla uczniów</t>
  </si>
  <si>
    <t>uczniowskie praktyki zawodowe</t>
  </si>
  <si>
    <t>stypendia oraz inne formy pomocy pomocy dla uczniów</t>
  </si>
  <si>
    <t>budowa Muzeum miasta Gdyni</t>
  </si>
  <si>
    <t>komisje kwalifikacyjne i egzaminacyjne</t>
  </si>
  <si>
    <t>zadania z zakresu opieki społecznej:</t>
  </si>
  <si>
    <t>dożywianie uczniów</t>
  </si>
  <si>
    <t>program "Posiłek dla potrzebujących"</t>
  </si>
  <si>
    <t>DPS Legionów</t>
  </si>
  <si>
    <t>opieka w domach o zasięgu ponadgminnym</t>
  </si>
  <si>
    <t>zasiłki i pomoc w naturze</t>
  </si>
  <si>
    <t>ośrodki pomocy społecznej</t>
  </si>
  <si>
    <t>PRZYCHODY, w tym:</t>
  </si>
  <si>
    <t>wolne środki</t>
  </si>
  <si>
    <t xml:space="preserve">kredyt </t>
  </si>
  <si>
    <t>pożyczka z WFOŚ</t>
  </si>
  <si>
    <t>pożyczka na prefinansowanie</t>
  </si>
  <si>
    <t xml:space="preserve">RAZEM DOCHODY I PRZYCHODY </t>
  </si>
  <si>
    <t>Wydatki</t>
  </si>
  <si>
    <t>Rozchody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</si>
  <si>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</si>
  <si>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r>
      <t xml:space="preserve">P </t>
    </r>
    <r>
      <rPr>
        <sz val="8"/>
        <rFont val="Arial CE"/>
        <family val="2"/>
      </rPr>
      <t xml:space="preserve">  420 000</t>
    </r>
  </si>
  <si>
    <r>
      <t>G</t>
    </r>
    <r>
      <rPr>
        <sz val="8"/>
        <rFont val="Arial CE"/>
        <family val="2"/>
      </rPr>
      <t xml:space="preserve">    9 000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</si>
</sst>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</numFmts>
  <fonts count="18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name val="MS Sans Serif"/>
      <family val="2"/>
    </font>
    <font>
      <i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" fontId="0" fillId="0" borderId="0" xfId="19" applyNumberFormat="1" applyFont="1" applyFill="1" applyAlignment="1">
      <alignment horizontal="center" vertical="center"/>
      <protection/>
    </xf>
    <xf numFmtId="4" fontId="0" fillId="0" borderId="0" xfId="19" applyNumberFormat="1" applyFont="1" applyFill="1" applyAlignment="1">
      <alignment vertical="center" wrapText="1"/>
      <protection/>
    </xf>
    <xf numFmtId="4" fontId="0" fillId="0" borderId="0" xfId="19" applyNumberFormat="1" applyFont="1" applyFill="1" applyAlignment="1">
      <alignment vertical="center"/>
      <protection/>
    </xf>
    <xf numFmtId="14" fontId="0" fillId="0" borderId="0" xfId="19" applyNumberFormat="1" applyFont="1" applyFill="1" applyAlignment="1">
      <alignment vertical="center"/>
      <protection/>
    </xf>
    <xf numFmtId="19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 applyAlignment="1">
      <alignment horizontal="center" vertical="center"/>
      <protection/>
    </xf>
    <xf numFmtId="4" fontId="0" fillId="0" borderId="0" xfId="19" applyNumberFormat="1" applyFont="1" applyFill="1" applyAlignment="1">
      <alignment horizontal="center"/>
      <protection/>
    </xf>
    <xf numFmtId="4" fontId="0" fillId="0" borderId="0" xfId="19" applyNumberFormat="1" applyFont="1" applyFill="1">
      <alignment/>
      <protection/>
    </xf>
    <xf numFmtId="3" fontId="0" fillId="0" borderId="0" xfId="19" applyNumberFormat="1" applyFont="1" applyFill="1" applyAlignment="1">
      <alignment wrapText="1"/>
      <protection/>
    </xf>
    <xf numFmtId="4" fontId="5" fillId="0" borderId="0" xfId="19" applyNumberFormat="1" applyFont="1" applyFill="1" applyBorder="1" applyAlignment="1">
      <alignment horizontal="center" vertical="center" wrapText="1"/>
      <protection/>
    </xf>
    <xf numFmtId="4" fontId="0" fillId="0" borderId="0" xfId="19" applyNumberFormat="1" applyFont="1" applyFill="1" applyBorder="1" applyAlignment="1">
      <alignment vertical="center"/>
      <protection/>
    </xf>
    <xf numFmtId="4" fontId="0" fillId="0" borderId="0" xfId="19" applyNumberFormat="1" applyFont="1" applyFill="1" applyBorder="1" applyAlignment="1">
      <alignment horizontal="center" vertical="center"/>
      <protection/>
    </xf>
    <xf numFmtId="3" fontId="0" fillId="0" borderId="0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2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7" fillId="0" borderId="3" xfId="19" applyNumberFormat="1" applyFont="1" applyFill="1" applyBorder="1" applyAlignment="1">
      <alignment horizontal="center" vertical="center" wrapText="1"/>
      <protection/>
    </xf>
    <xf numFmtId="1" fontId="7" fillId="0" borderId="4" xfId="19" applyNumberFormat="1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 wrapText="1"/>
      <protection/>
    </xf>
    <xf numFmtId="1" fontId="7" fillId="0" borderId="1" xfId="19" applyNumberFormat="1" applyFont="1" applyFill="1" applyBorder="1" applyAlignment="1">
      <alignment horizontal="center" vertical="center" wrapText="1"/>
      <protection/>
    </xf>
    <xf numFmtId="1" fontId="7" fillId="0" borderId="0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 applyAlignment="1">
      <alignment horizontal="center" vertical="center"/>
      <protection/>
    </xf>
    <xf numFmtId="1" fontId="6" fillId="0" borderId="0" xfId="19" applyNumberFormat="1" applyFont="1" applyFill="1" applyAlignment="1">
      <alignment vertical="center"/>
      <protection/>
    </xf>
    <xf numFmtId="1" fontId="6" fillId="0" borderId="0" xfId="19" applyNumberFormat="1" applyFont="1" applyFill="1" applyAlignment="1">
      <alignment horizontal="center"/>
      <protection/>
    </xf>
    <xf numFmtId="1" fontId="6" fillId="0" borderId="0" xfId="19" applyNumberFormat="1" applyFont="1" applyFill="1">
      <alignment/>
      <protection/>
    </xf>
    <xf numFmtId="1" fontId="6" fillId="0" borderId="5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6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 applyBorder="1" applyAlignment="1">
      <alignment horizontal="center" vertical="center" wrapText="1"/>
      <protection/>
    </xf>
    <xf numFmtId="3" fontId="6" fillId="0" borderId="1" xfId="19" applyNumberFormat="1" applyFont="1" applyFill="1" applyBorder="1" applyAlignment="1">
      <alignment vertical="center"/>
      <protection/>
    </xf>
    <xf numFmtId="164" fontId="6" fillId="0" borderId="7" xfId="19" applyNumberFormat="1" applyFont="1" applyFill="1" applyBorder="1" applyAlignment="1">
      <alignment horizontal="center" vertical="center" wrapText="1"/>
      <protection/>
    </xf>
    <xf numFmtId="1" fontId="6" fillId="0" borderId="8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3" fontId="6" fillId="0" borderId="8" xfId="19" applyNumberFormat="1" applyFont="1" applyFill="1" applyBorder="1" applyAlignment="1">
      <alignment horizontal="center" vertical="center" wrapText="1"/>
      <protection/>
    </xf>
    <xf numFmtId="3" fontId="6" fillId="0" borderId="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Fill="1" applyBorder="1" applyAlignment="1">
      <alignment horizontal="center" vertical="center" wrapText="1"/>
      <protection/>
    </xf>
    <xf numFmtId="4" fontId="8" fillId="0" borderId="0" xfId="19" applyNumberFormat="1" applyFont="1" applyFill="1">
      <alignment/>
      <protection/>
    </xf>
    <xf numFmtId="4" fontId="9" fillId="0" borderId="1" xfId="19" applyNumberFormat="1" applyFont="1" applyFill="1" applyBorder="1" applyAlignment="1">
      <alignment horizontal="center" vertical="center" wrapText="1"/>
      <protection/>
    </xf>
    <xf numFmtId="3" fontId="7" fillId="0" borderId="5" xfId="19" applyNumberFormat="1" applyFont="1" applyFill="1" applyBorder="1" applyAlignment="1">
      <alignment horizontal="right" vertical="center" wrapText="1"/>
      <protection/>
    </xf>
    <xf numFmtId="164" fontId="6" fillId="0" borderId="1" xfId="19" applyNumberFormat="1" applyFont="1" applyFill="1" applyBorder="1" applyAlignment="1">
      <alignment horizontal="center" vertical="center" wrapText="1"/>
      <protection/>
    </xf>
    <xf numFmtId="164" fontId="6" fillId="0" borderId="0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Alignment="1">
      <alignment horizontal="center" vertical="center" wrapText="1"/>
      <protection/>
    </xf>
    <xf numFmtId="3" fontId="11" fillId="0" borderId="0" xfId="19" applyNumberFormat="1" applyFont="1" applyFill="1" applyAlignment="1">
      <alignment horizontal="center" vertical="center" wrapText="1"/>
      <protection/>
    </xf>
    <xf numFmtId="4" fontId="13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3" fontId="12" fillId="0" borderId="5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Alignment="1">
      <alignment horizontal="center" vertical="center"/>
      <protection/>
    </xf>
    <xf numFmtId="4" fontId="6" fillId="0" borderId="0" xfId="19" applyNumberFormat="1" applyFont="1" applyFill="1" applyAlignment="1">
      <alignment vertical="center"/>
      <protection/>
    </xf>
    <xf numFmtId="3" fontId="0" fillId="0" borderId="0" xfId="19" applyNumberFormat="1" applyFont="1" applyFill="1" applyAlignment="1">
      <alignment vertical="center" wrapText="1"/>
      <protection/>
    </xf>
    <xf numFmtId="1" fontId="7" fillId="0" borderId="7" xfId="19" applyNumberFormat="1" applyFont="1" applyFill="1" applyBorder="1" applyAlignment="1">
      <alignment horizontal="center" vertical="center"/>
      <protection/>
    </xf>
    <xf numFmtId="4" fontId="7" fillId="0" borderId="7" xfId="19" applyNumberFormat="1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vertical="center"/>
      <protection/>
    </xf>
    <xf numFmtId="4" fontId="10" fillId="0" borderId="0" xfId="19" applyNumberFormat="1" applyFont="1" applyFill="1" applyAlignment="1">
      <alignment horizontal="center" vertical="center"/>
      <protection/>
    </xf>
    <xf numFmtId="4" fontId="10" fillId="0" borderId="0" xfId="19" applyNumberFormat="1" applyFont="1" applyFill="1" applyAlignment="1">
      <alignment vertical="center"/>
      <protection/>
    </xf>
    <xf numFmtId="4" fontId="11" fillId="0" borderId="0" xfId="19" applyNumberFormat="1" applyFont="1" applyFill="1" applyAlignment="1">
      <alignment vertical="center"/>
      <protection/>
    </xf>
    <xf numFmtId="3" fontId="10" fillId="2" borderId="0" xfId="19" applyNumberFormat="1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 applyAlignment="1">
      <alignment horizontal="center" vertical="center"/>
      <protection/>
    </xf>
    <xf numFmtId="0" fontId="0" fillId="0" borderId="0" xfId="18" applyFont="1" applyFill="1" applyAlignment="1" quotePrefix="1">
      <alignment horizontal="center" vertical="center"/>
      <protection/>
    </xf>
    <xf numFmtId="3" fontId="0" fillId="3" borderId="0" xfId="18" applyNumberFormat="1" applyFont="1" applyFill="1" applyAlignment="1">
      <alignment vertical="center"/>
      <protection/>
    </xf>
    <xf numFmtId="3" fontId="6" fillId="0" borderId="0" xfId="18" applyNumberFormat="1" applyFont="1" applyFill="1" applyAlignment="1">
      <alignment vertical="center"/>
      <protection/>
    </xf>
    <xf numFmtId="0" fontId="0" fillId="0" borderId="0" xfId="18" applyFont="1" applyFill="1" applyAlignment="1">
      <alignment horizontal="center"/>
      <protection/>
    </xf>
    <xf numFmtId="0" fontId="0" fillId="0" borderId="0" xfId="18" applyFont="1" applyFill="1">
      <alignment/>
      <protection/>
    </xf>
    <xf numFmtId="3" fontId="0" fillId="3" borderId="0" xfId="18" applyNumberFormat="1" applyFont="1" applyFill="1" applyAlignment="1">
      <alignment wrapText="1"/>
      <protection/>
    </xf>
    <xf numFmtId="3" fontId="0" fillId="4" borderId="0" xfId="18" applyNumberFormat="1" applyFont="1" applyFill="1" applyAlignment="1">
      <alignment vertical="center"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vertical="center" wrapText="1"/>
      <protection/>
    </xf>
    <xf numFmtId="3" fontId="0" fillId="0" borderId="0" xfId="18" applyNumberFormat="1" applyFont="1" applyFill="1" applyAlignment="1">
      <alignment vertical="center"/>
      <protection/>
    </xf>
    <xf numFmtId="0" fontId="14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14" fillId="0" borderId="1" xfId="19" applyNumberFormat="1" applyFont="1" applyFill="1" applyBorder="1" applyAlignment="1">
      <alignment horizontal="right" vertical="center" wrapText="1"/>
      <protection/>
    </xf>
    <xf numFmtId="3" fontId="8" fillId="0" borderId="1" xfId="19" applyNumberFormat="1" applyFont="1" applyFill="1" applyBorder="1" applyAlignment="1">
      <alignment horizontal="right" vertical="center" wrapText="1"/>
      <protection/>
    </xf>
    <xf numFmtId="164" fontId="14" fillId="0" borderId="7" xfId="19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>
      <alignment/>
      <protection/>
    </xf>
    <xf numFmtId="0" fontId="8" fillId="0" borderId="1" xfId="18" applyFont="1" applyFill="1" applyBorder="1" applyAlignment="1">
      <alignment horizontal="left" vertical="center" wrapText="1"/>
      <protection/>
    </xf>
    <xf numFmtId="0" fontId="8" fillId="0" borderId="0" xfId="18" applyFont="1" applyFill="1" applyAlignment="1">
      <alignment vertical="center"/>
      <protection/>
    </xf>
    <xf numFmtId="1" fontId="8" fillId="0" borderId="1" xfId="19" applyNumberFormat="1" applyFont="1" applyFill="1" applyBorder="1" applyAlignment="1">
      <alignment horizontal="center" vertical="center"/>
      <protection/>
    </xf>
    <xf numFmtId="4" fontId="8" fillId="0" borderId="1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 applyAlignment="1" quotePrefix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4" fontId="7" fillId="0" borderId="1" xfId="19" applyNumberFormat="1" applyFont="1" applyFill="1" applyBorder="1" applyAlignment="1">
      <alignment horizontal="left" vertical="center" wrapText="1"/>
      <protection/>
    </xf>
    <xf numFmtId="3" fontId="15" fillId="0" borderId="1" xfId="19" applyNumberFormat="1" applyFont="1" applyFill="1" applyBorder="1" applyAlignment="1">
      <alignment vertical="center"/>
      <protection/>
    </xf>
    <xf numFmtId="3" fontId="10" fillId="3" borderId="0" xfId="19" applyNumberFormat="1" applyFont="1" applyFill="1" applyAlignment="1">
      <alignment vertical="center" wrapText="1"/>
      <protection/>
    </xf>
    <xf numFmtId="4" fontId="7" fillId="0" borderId="1" xfId="19" applyNumberFormat="1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8" fillId="0" borderId="1" xfId="18" applyFont="1" applyFill="1" applyBorder="1" applyAlignment="1">
      <alignment horizontal="center" vertical="center"/>
      <protection/>
    </xf>
    <xf numFmtId="3" fontId="0" fillId="3" borderId="0" xfId="18" applyNumberFormat="1" applyFont="1" applyFill="1" applyAlignment="1">
      <alignment vertical="center" wrapText="1"/>
      <protection/>
    </xf>
    <xf numFmtId="164" fontId="14" fillId="0" borderId="1" xfId="19" applyNumberFormat="1" applyFont="1" applyFill="1" applyBorder="1" applyAlignment="1">
      <alignment horizontal="center" vertical="center" wrapText="1"/>
      <protection/>
    </xf>
    <xf numFmtId="164" fontId="14" fillId="0" borderId="0" xfId="19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 applyAlignment="1">
      <alignment horizontal="center" vertical="center"/>
      <protection/>
    </xf>
    <xf numFmtId="0" fontId="8" fillId="0" borderId="0" xfId="18" applyFont="1" applyFill="1" applyAlignment="1" quotePrefix="1">
      <alignment horizontal="center" vertical="center"/>
      <protection/>
    </xf>
    <xf numFmtId="3" fontId="8" fillId="3" borderId="0" xfId="18" applyNumberFormat="1" applyFont="1" applyFill="1" applyAlignment="1">
      <alignment vertical="center"/>
      <protection/>
    </xf>
    <xf numFmtId="3" fontId="8" fillId="0" borderId="0" xfId="18" applyNumberFormat="1" applyFont="1" applyFill="1" applyAlignment="1">
      <alignment vertical="center"/>
      <protection/>
    </xf>
    <xf numFmtId="0" fontId="8" fillId="0" borderId="0" xfId="18" applyFont="1" applyFill="1" applyAlignment="1">
      <alignment horizontal="center"/>
      <protection/>
    </xf>
    <xf numFmtId="3" fontId="8" fillId="3" borderId="0" xfId="18" applyNumberFormat="1" applyFont="1" applyFill="1" applyAlignment="1">
      <alignment wrapText="1"/>
      <protection/>
    </xf>
    <xf numFmtId="3" fontId="14" fillId="0" borderId="0" xfId="18" applyNumberFormat="1" applyFont="1" applyFill="1" applyAlignment="1">
      <alignment vertical="center"/>
      <protection/>
    </xf>
    <xf numFmtId="3" fontId="8" fillId="0" borderId="0" xfId="18" applyNumberFormat="1" applyFont="1" applyFill="1" applyAlignment="1">
      <alignment wrapText="1"/>
      <protection/>
    </xf>
    <xf numFmtId="0" fontId="8" fillId="3" borderId="0" xfId="18" applyFont="1" applyFill="1" applyAlignment="1">
      <alignment vertical="center"/>
      <protection/>
    </xf>
    <xf numFmtId="0" fontId="8" fillId="0" borderId="0" xfId="18" applyFont="1" applyFill="1" applyAlignment="1">
      <alignment horizontal="left" vertical="center"/>
      <protection/>
    </xf>
    <xf numFmtId="3" fontId="10" fillId="0" borderId="0" xfId="19" applyNumberFormat="1" applyFont="1" applyFill="1" applyAlignment="1">
      <alignment vertical="center" wrapText="1"/>
      <protection/>
    </xf>
    <xf numFmtId="3" fontId="0" fillId="0" borderId="0" xfId="18" applyNumberFormat="1" applyFont="1" applyFill="1" applyAlignment="1">
      <alignment wrapText="1"/>
      <protection/>
    </xf>
    <xf numFmtId="0" fontId="0" fillId="0" borderId="0" xfId="18" applyFont="1" applyFill="1" applyAlignment="1" quotePrefix="1">
      <alignment horizontal="center"/>
      <protection/>
    </xf>
    <xf numFmtId="3" fontId="0" fillId="0" borderId="0" xfId="18" applyNumberFormat="1" applyFont="1" applyFill="1">
      <alignment/>
      <protection/>
    </xf>
    <xf numFmtId="3" fontId="6" fillId="3" borderId="0" xfId="18" applyNumberFormat="1" applyFont="1" applyFill="1" applyAlignment="1">
      <alignment horizontal="center" vertical="center"/>
      <protection/>
    </xf>
    <xf numFmtId="0" fontId="6" fillId="0" borderId="0" xfId="18" applyFont="1" applyFill="1" applyAlignment="1">
      <alignment horizontal="center" vertical="center"/>
      <protection/>
    </xf>
    <xf numFmtId="3" fontId="6" fillId="0" borderId="0" xfId="18" applyNumberFormat="1" applyFont="1" applyFill="1" applyAlignment="1">
      <alignment horizontal="center" vertical="center"/>
      <protection/>
    </xf>
    <xf numFmtId="0" fontId="0" fillId="0" borderId="0" xfId="18" applyFont="1" applyFill="1" applyAlignment="1" quotePrefix="1">
      <alignment horizontal="center" vertical="center" wrapText="1"/>
      <protection/>
    </xf>
    <xf numFmtId="3" fontId="6" fillId="3" borderId="0" xfId="18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3" fontId="0" fillId="5" borderId="0" xfId="18" applyNumberFormat="1" applyFont="1" applyFill="1" applyAlignment="1">
      <alignment vertical="center"/>
      <protection/>
    </xf>
    <xf numFmtId="0" fontId="8" fillId="2" borderId="0" xfId="18" applyFont="1" applyFill="1" applyAlignment="1">
      <alignment horizontal="center" vertical="center"/>
      <protection/>
    </xf>
    <xf numFmtId="3" fontId="8" fillId="2" borderId="0" xfId="18" applyNumberFormat="1" applyFont="1" applyFill="1" applyAlignment="1">
      <alignment vertical="center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1" fontId="0" fillId="0" borderId="0" xfId="19" applyNumberFormat="1" applyFont="1" applyFill="1" applyAlignment="1" quotePrefix="1">
      <alignment horizontal="center" vertical="center"/>
      <protection/>
    </xf>
    <xf numFmtId="4" fontId="6" fillId="0" borderId="0" xfId="19" applyNumberFormat="1" applyFont="1" applyFill="1" applyAlignment="1">
      <alignment horizontal="center"/>
      <protection/>
    </xf>
    <xf numFmtId="4" fontId="6" fillId="0" borderId="0" xfId="19" applyNumberFormat="1" applyFont="1" applyFill="1">
      <alignment/>
      <protection/>
    </xf>
    <xf numFmtId="4" fontId="14" fillId="0" borderId="0" xfId="19" applyNumberFormat="1" applyFont="1" applyFill="1">
      <alignment/>
      <protection/>
    </xf>
    <xf numFmtId="0" fontId="16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3" fontId="0" fillId="0" borderId="0" xfId="19" applyNumberFormat="1" applyFont="1" applyFill="1" applyBorder="1" applyAlignment="1">
      <alignment horizontal="center" vertical="center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0" fillId="0" borderId="0" xfId="18" applyNumberFormat="1" applyFont="1" applyFill="1" applyBorder="1" applyAlignment="1">
      <alignment horizontal="center" vertical="center"/>
      <protection/>
    </xf>
    <xf numFmtId="3" fontId="0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4" fontId="8" fillId="0" borderId="0" xfId="19" applyNumberFormat="1" applyFont="1" applyFill="1" applyBorder="1">
      <alignment/>
      <protection/>
    </xf>
    <xf numFmtId="0" fontId="0" fillId="0" borderId="0" xfId="18" applyFont="1" applyFill="1" applyBorder="1" applyAlignment="1">
      <alignment horizontal="center" vertical="center"/>
      <protection/>
    </xf>
    <xf numFmtId="4" fontId="0" fillId="0" borderId="0" xfId="19" applyNumberFormat="1" applyFont="1" applyFill="1" applyBorder="1" applyAlignment="1" quotePrefix="1">
      <alignment horizontal="center" vertical="center"/>
      <protection/>
    </xf>
    <xf numFmtId="3" fontId="0" fillId="0" borderId="0" xfId="18" applyNumberFormat="1" applyFont="1" applyFill="1" applyBorder="1" applyAlignment="1">
      <alignment vertical="center"/>
      <protection/>
    </xf>
    <xf numFmtId="3" fontId="0" fillId="0" borderId="0" xfId="18" applyNumberFormat="1" applyFont="1" applyFill="1" applyBorder="1">
      <alignment/>
      <protection/>
    </xf>
    <xf numFmtId="0" fontId="0" fillId="0" borderId="0" xfId="18" applyFont="1" applyFill="1" applyBorder="1">
      <alignment/>
      <protection/>
    </xf>
    <xf numFmtId="1" fontId="14" fillId="0" borderId="1" xfId="19" applyNumberFormat="1" applyFont="1" applyFill="1" applyBorder="1" applyAlignment="1">
      <alignment horizontal="center" vertical="center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4" fontId="14" fillId="0" borderId="0" xfId="19" applyNumberFormat="1" applyFont="1" applyFill="1" applyAlignment="1">
      <alignment vertical="center"/>
      <protection/>
    </xf>
    <xf numFmtId="3" fontId="0" fillId="3" borderId="0" xfId="19" applyNumberFormat="1" applyFont="1" applyFill="1" applyBorder="1" applyAlignment="1">
      <alignment horizontal="right" vertical="center" wrapText="1"/>
      <protection/>
    </xf>
    <xf numFmtId="3" fontId="0" fillId="0" borderId="0" xfId="18" applyNumberFormat="1" applyFont="1" applyFill="1" applyAlignment="1">
      <alignment horizontal="center" vertical="center"/>
      <protection/>
    </xf>
    <xf numFmtId="3" fontId="12" fillId="0" borderId="1" xfId="19" applyNumberFormat="1" applyFont="1" applyFill="1" applyBorder="1" applyAlignment="1">
      <alignment vertical="center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3" fontId="0" fillId="3" borderId="1" xfId="19" applyNumberFormat="1" applyFont="1" applyFill="1" applyBorder="1" applyAlignment="1">
      <alignment horizontal="right" vertical="center" wrapText="1"/>
      <protection/>
    </xf>
    <xf numFmtId="1" fontId="13" fillId="0" borderId="1" xfId="19" applyNumberFormat="1" applyFont="1" applyFill="1" applyBorder="1" applyAlignment="1">
      <alignment horizontal="left" vertical="center" wrapText="1"/>
      <protection/>
    </xf>
    <xf numFmtId="4" fontId="8" fillId="0" borderId="0" xfId="19" applyNumberFormat="1" applyFont="1" applyFill="1" applyAlignment="1">
      <alignment vertical="center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3" fontId="7" fillId="0" borderId="1" xfId="19" applyNumberFormat="1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Alignment="1">
      <alignment horizontal="center" vertical="center"/>
      <protection/>
    </xf>
    <xf numFmtId="3" fontId="6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8" fillId="0" borderId="1" xfId="19" applyNumberFormat="1" applyFont="1" applyFill="1" applyBorder="1" applyAlignment="1">
      <alignment horizontal="right" vertical="center" wrapText="1"/>
      <protection/>
    </xf>
    <xf numFmtId="4" fontId="8" fillId="0" borderId="0" xfId="19" applyNumberFormat="1" applyFont="1" applyFill="1" applyAlignment="1">
      <alignment horizontal="center" vertical="center"/>
      <protection/>
    </xf>
    <xf numFmtId="4" fontId="8" fillId="0" borderId="0" xfId="19" applyNumberFormat="1" applyFont="1" applyFill="1" applyAlignment="1">
      <alignment horizontal="center"/>
      <protection/>
    </xf>
    <xf numFmtId="3" fontId="8" fillId="0" borderId="0" xfId="19" applyNumberFormat="1" applyFont="1" applyFill="1" applyAlignment="1">
      <alignment wrapText="1"/>
      <protection/>
    </xf>
    <xf numFmtId="3" fontId="8" fillId="3" borderId="0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 applyBorder="1" applyAlignment="1" quotePrefix="1">
      <alignment horizontal="center" vertical="center"/>
      <protection/>
    </xf>
    <xf numFmtId="4" fontId="0" fillId="0" borderId="0" xfId="19" applyNumberFormat="1" applyFont="1" applyFill="1" applyBorder="1" applyAlignment="1">
      <alignment horizontal="center"/>
      <protection/>
    </xf>
    <xf numFmtId="3" fontId="0" fillId="0" borderId="0" xfId="19" applyNumberFormat="1" applyFont="1" applyFill="1" applyBorder="1" applyAlignment="1">
      <alignment wrapText="1"/>
      <protection/>
    </xf>
    <xf numFmtId="3" fontId="7" fillId="0" borderId="1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right" vertical="center" wrapText="1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4" fontId="14" fillId="0" borderId="0" xfId="19" applyNumberFormat="1" applyFont="1" applyFill="1" applyAlignment="1">
      <alignment horizontal="center" vertical="center"/>
      <protection/>
    </xf>
    <xf numFmtId="4" fontId="14" fillId="0" borderId="0" xfId="19" applyNumberFormat="1" applyFont="1" applyFill="1" applyAlignment="1">
      <alignment horizontal="center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3" fontId="12" fillId="0" borderId="1" xfId="19" applyNumberFormat="1" applyFont="1" applyFill="1" applyBorder="1" applyAlignment="1">
      <alignment horizontal="right" vertical="center"/>
      <protection/>
    </xf>
    <xf numFmtId="3" fontId="0" fillId="0" borderId="0" xfId="18" applyNumberFormat="1" applyFont="1" applyFill="1" applyAlignment="1">
      <alignment vertical="center" wrapText="1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vertical="center"/>
      <protection/>
    </xf>
    <xf numFmtId="3" fontId="14" fillId="0" borderId="1" xfId="19" applyNumberFormat="1" applyFont="1" applyFill="1" applyBorder="1" applyAlignment="1">
      <alignment horizontal="center" vertical="center"/>
      <protection/>
    </xf>
    <xf numFmtId="3" fontId="15" fillId="0" borderId="1" xfId="19" applyNumberFormat="1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Alignment="1">
      <alignment horizontal="center"/>
      <protection/>
    </xf>
    <xf numFmtId="3" fontId="6" fillId="0" borderId="0" xfId="19" applyNumberFormat="1" applyFont="1" applyFill="1">
      <alignment/>
      <protection/>
    </xf>
    <xf numFmtId="3" fontId="14" fillId="0" borderId="0" xfId="19" applyNumberFormat="1" applyFont="1" applyFill="1">
      <alignment/>
      <protection/>
    </xf>
    <xf numFmtId="10" fontId="6" fillId="0" borderId="0" xfId="19" applyNumberFormat="1" applyFont="1" applyFill="1" applyBorder="1" applyAlignment="1">
      <alignment horizontal="center" vertical="center" wrapText="1"/>
      <protection/>
    </xf>
    <xf numFmtId="3" fontId="0" fillId="0" borderId="0" xfId="19" applyNumberFormat="1" applyFont="1" applyFill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87"/>
  <sheetViews>
    <sheetView tabSelected="1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14" sqref="D14"/>
    </sheetView>
  </sheetViews>
  <sheetFormatPr defaultColWidth="9.140625" defaultRowHeight="12"/>
  <cols>
    <col min="1" max="1" width="3.00390625" style="1" customWidth="1"/>
    <col min="2" max="2" width="32.8515625" style="2" customWidth="1"/>
    <col min="3" max="3" width="15.28125" style="3" customWidth="1"/>
    <col min="4" max="4" width="15.00390625" style="3" customWidth="1"/>
    <col min="5" max="5" width="14.421875" style="3" customWidth="1"/>
    <col min="6" max="6" width="15.28125" style="3" customWidth="1"/>
    <col min="7" max="7" width="15.00390625" style="3" customWidth="1"/>
    <col min="8" max="8" width="13.7109375" style="3" customWidth="1"/>
    <col min="9" max="9" width="14.8515625" style="3" customWidth="1"/>
    <col min="10" max="10" width="13.28125" style="3" customWidth="1"/>
    <col min="11" max="11" width="13.7109375" style="3" customWidth="1"/>
    <col min="12" max="12" width="9.8515625" style="3" customWidth="1"/>
    <col min="13" max="13" width="7.28125" style="3" customWidth="1"/>
    <col min="14" max="14" width="15.28125" style="3" bestFit="1" customWidth="1"/>
    <col min="15" max="15" width="11.140625" style="6" customWidth="1"/>
    <col min="16" max="16" width="10.00390625" style="6" customWidth="1"/>
    <col min="17" max="17" width="14.00390625" style="3" customWidth="1"/>
    <col min="18" max="18" width="9.8515625" style="6" customWidth="1"/>
    <col min="19" max="19" width="7.421875" style="6" customWidth="1"/>
    <col min="20" max="21" width="10.7109375" style="3" customWidth="1"/>
    <col min="22" max="22" width="10.7109375" style="7" customWidth="1"/>
    <col min="23" max="24" width="10.7109375" style="8" customWidth="1"/>
    <col min="25" max="25" width="11.8515625" style="8" customWidth="1"/>
    <col min="26" max="31" width="10.7109375" style="8" customWidth="1"/>
    <col min="32" max="32" width="13.8515625" style="9" bestFit="1" customWidth="1"/>
    <col min="33" max="16384" width="10.7109375" style="8" customWidth="1"/>
  </cols>
  <sheetData>
    <row r="1" spans="10:11" ht="11.25">
      <c r="J1" s="4"/>
      <c r="K1" s="5"/>
    </row>
    <row r="2" spans="1:32" s="11" customFormat="1" ht="29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12"/>
      <c r="S2" s="12"/>
      <c r="V2" s="12"/>
      <c r="AF2" s="13"/>
    </row>
    <row r="3" spans="1:32" s="26" customFormat="1" ht="25.5" customHeight="1">
      <c r="A3" s="14" t="s">
        <v>1</v>
      </c>
      <c r="B3" s="15" t="s">
        <v>2</v>
      </c>
      <c r="C3" s="16" t="s">
        <v>3</v>
      </c>
      <c r="D3" s="16"/>
      <c r="E3" s="16"/>
      <c r="F3" s="17" t="s">
        <v>4</v>
      </c>
      <c r="G3" s="17"/>
      <c r="H3" s="17"/>
      <c r="I3" s="18" t="s">
        <v>5</v>
      </c>
      <c r="J3" s="19"/>
      <c r="K3" s="19"/>
      <c r="L3" s="20"/>
      <c r="M3" s="21"/>
      <c r="N3" s="22"/>
      <c r="O3" s="23" t="s">
        <v>6</v>
      </c>
      <c r="P3" s="23"/>
      <c r="Q3" s="24"/>
      <c r="R3" s="23"/>
      <c r="S3" s="23"/>
      <c r="T3" s="24"/>
      <c r="U3" s="24"/>
      <c r="V3" s="25"/>
      <c r="AF3" s="9"/>
    </row>
    <row r="4" spans="1:32" s="26" customFormat="1" ht="33.75" customHeight="1">
      <c r="A4" s="14"/>
      <c r="B4" s="15"/>
      <c r="C4" s="27" t="s">
        <v>7</v>
      </c>
      <c r="D4" s="28" t="s">
        <v>8</v>
      </c>
      <c r="E4" s="29" t="s">
        <v>9</v>
      </c>
      <c r="F4" s="28" t="s">
        <v>7</v>
      </c>
      <c r="G4" s="28" t="s">
        <v>8</v>
      </c>
      <c r="H4" s="28" t="s">
        <v>9</v>
      </c>
      <c r="I4" s="28" t="s">
        <v>7</v>
      </c>
      <c r="J4" s="28" t="s">
        <v>8</v>
      </c>
      <c r="K4" s="28" t="s">
        <v>9</v>
      </c>
      <c r="L4" s="28" t="s">
        <v>10</v>
      </c>
      <c r="M4" s="28"/>
      <c r="N4" s="30"/>
      <c r="O4" s="31">
        <v>1200000</v>
      </c>
      <c r="P4" s="31">
        <v>1300000</v>
      </c>
      <c r="Q4" s="32">
        <f>P4/O4</f>
        <v>1.0833333333333333</v>
      </c>
      <c r="R4" s="23"/>
      <c r="S4" s="23"/>
      <c r="T4" s="24"/>
      <c r="U4" s="24"/>
      <c r="V4" s="25"/>
      <c r="AF4" s="9"/>
    </row>
    <row r="5" spans="1:32" s="40" customFormat="1" ht="12.75" customHeight="1">
      <c r="A5" s="33">
        <v>1</v>
      </c>
      <c r="B5" s="34">
        <v>2</v>
      </c>
      <c r="C5" s="35">
        <v>3</v>
      </c>
      <c r="D5" s="36">
        <v>4</v>
      </c>
      <c r="E5" s="37">
        <v>5</v>
      </c>
      <c r="F5" s="35">
        <v>6</v>
      </c>
      <c r="G5" s="36">
        <v>7</v>
      </c>
      <c r="H5" s="37">
        <v>8</v>
      </c>
      <c r="I5" s="38">
        <v>9</v>
      </c>
      <c r="J5" s="38">
        <v>10</v>
      </c>
      <c r="K5" s="38">
        <v>11</v>
      </c>
      <c r="L5" s="38">
        <v>12</v>
      </c>
      <c r="M5" s="38"/>
      <c r="N5" s="39"/>
      <c r="O5" s="6"/>
      <c r="P5" s="6"/>
      <c r="Q5" s="3"/>
      <c r="R5" s="6"/>
      <c r="S5" s="6"/>
      <c r="T5" s="3"/>
      <c r="U5" s="3"/>
      <c r="V5" s="7"/>
      <c r="W5" s="8"/>
      <c r="X5" s="8"/>
      <c r="Y5" s="8"/>
      <c r="Z5" s="8"/>
      <c r="AF5" s="9"/>
    </row>
    <row r="6" spans="1:32" s="46" customFormat="1" ht="16.5" customHeight="1">
      <c r="A6" s="41" t="s">
        <v>11</v>
      </c>
      <c r="B6" s="41"/>
      <c r="C6" s="42">
        <f>SUM(C7,C94,C99)</f>
        <v>524730887</v>
      </c>
      <c r="D6" s="42">
        <f>SUM(D7,D94,D99)</f>
        <v>167142956</v>
      </c>
      <c r="E6" s="42">
        <f>SUM(E7,E94,E99,)</f>
        <v>691873843</v>
      </c>
      <c r="F6" s="42">
        <f>SUM(F7,F94,F99)</f>
        <v>529691982</v>
      </c>
      <c r="G6" s="42">
        <f>SUM(G7,G94,G99)</f>
        <v>151556214</v>
      </c>
      <c r="H6" s="42">
        <f>SUM(H7,H94,H99,)</f>
        <v>681248196</v>
      </c>
      <c r="I6" s="42">
        <f>SUM(I7,I94,I99)</f>
        <v>547085818</v>
      </c>
      <c r="J6" s="42">
        <f>SUM(J7,J94,J99)</f>
        <v>213171326</v>
      </c>
      <c r="K6" s="42">
        <f>SUM(I6:J6)</f>
        <v>760257144</v>
      </c>
      <c r="L6" s="32">
        <f aca="true" t="shared" si="0" ref="L6:L29">K6/H6</f>
        <v>1.1159767445461242</v>
      </c>
      <c r="M6" s="43">
        <f>K6/K6</f>
        <v>1</v>
      </c>
      <c r="N6" s="44"/>
      <c r="O6" s="45"/>
      <c r="P6" s="45"/>
      <c r="Q6" s="45">
        <v>-775834544</v>
      </c>
      <c r="R6" s="45"/>
      <c r="S6" s="45"/>
      <c r="T6" s="45"/>
      <c r="U6" s="45"/>
      <c r="V6" s="45"/>
      <c r="W6" s="45"/>
      <c r="X6" s="45"/>
      <c r="Y6" s="45"/>
      <c r="Z6" s="45"/>
      <c r="AF6" s="45"/>
    </row>
    <row r="7" spans="1:32" s="51" customFormat="1" ht="18" customHeight="1">
      <c r="A7" s="47" t="s">
        <v>191</v>
      </c>
      <c r="B7" s="48"/>
      <c r="C7" s="49">
        <f>SUM(C8,C20,C25,C36,C61,C70,C82,C91)</f>
        <v>412720575</v>
      </c>
      <c r="D7" s="49">
        <f>SUM(D8,D20,D25,D36,D61,D70,D82,D91)</f>
        <v>86036013</v>
      </c>
      <c r="E7" s="49">
        <f>SUM(C7:D7)</f>
        <v>498756588</v>
      </c>
      <c r="F7" s="49">
        <f>SUM(F8,F20,F25,F36,F70,F82,F61,F91)</f>
        <v>417681670</v>
      </c>
      <c r="G7" s="49">
        <f>SUM(G8,G20,G25,G36,G70,G82,G61,G91)</f>
        <v>70449271</v>
      </c>
      <c r="H7" s="49">
        <f>SUM(F7:G7)</f>
        <v>488130941</v>
      </c>
      <c r="I7" s="49">
        <f>SUM(I8,I20,I25,I36,I70,I82,I61,I91)</f>
        <v>429889054</v>
      </c>
      <c r="J7" s="49">
        <f>SUM(J8,J20,J25,J36,J70,J82,J61,J91)</f>
        <v>135968421</v>
      </c>
      <c r="K7" s="49">
        <f>SUM(I7:J7)</f>
        <v>565857475</v>
      </c>
      <c r="L7" s="32">
        <f t="shared" si="0"/>
        <v>1.1592329587646442</v>
      </c>
      <c r="M7" s="43">
        <f>K7/K6</f>
        <v>0.7442974781174828</v>
      </c>
      <c r="N7" s="44"/>
      <c r="O7" s="50"/>
      <c r="P7" s="50"/>
      <c r="Q7" s="51">
        <f>SUM(K6,Q6)</f>
        <v>-15577400</v>
      </c>
      <c r="R7" s="50"/>
      <c r="S7" s="50"/>
      <c r="V7" s="50"/>
      <c r="AF7" s="52"/>
    </row>
    <row r="8" spans="1:32" s="58" customFormat="1" ht="24">
      <c r="A8" s="53">
        <v>1</v>
      </c>
      <c r="B8" s="54" t="s">
        <v>12</v>
      </c>
      <c r="C8" s="55">
        <f aca="true" t="shared" si="1" ref="C8:K8">SUM(C9:C13)</f>
        <v>100037200</v>
      </c>
      <c r="D8" s="55">
        <f t="shared" si="1"/>
        <v>0</v>
      </c>
      <c r="E8" s="55">
        <f t="shared" si="1"/>
        <v>100037200</v>
      </c>
      <c r="F8" s="55">
        <f t="shared" si="1"/>
        <v>101357500</v>
      </c>
      <c r="G8" s="55">
        <f t="shared" si="1"/>
        <v>0</v>
      </c>
      <c r="H8" s="55">
        <f t="shared" si="1"/>
        <v>101357500</v>
      </c>
      <c r="I8" s="55">
        <f t="shared" si="1"/>
        <v>109715600</v>
      </c>
      <c r="J8" s="55">
        <f t="shared" si="1"/>
        <v>0</v>
      </c>
      <c r="K8" s="55">
        <f t="shared" si="1"/>
        <v>109715600</v>
      </c>
      <c r="L8" s="32">
        <f t="shared" si="0"/>
        <v>1.0824615839972376</v>
      </c>
      <c r="M8" s="43">
        <f>K9/$K$7</f>
        <v>0.17044928142020216</v>
      </c>
      <c r="N8" s="44">
        <f>K8/K6</f>
        <v>0.1443138033833458</v>
      </c>
      <c r="O8" s="56"/>
      <c r="P8" s="56"/>
      <c r="Q8" s="57"/>
      <c r="R8" s="56"/>
      <c r="S8" s="56"/>
      <c r="T8" s="57"/>
      <c r="U8" s="57"/>
      <c r="V8" s="56"/>
      <c r="W8" s="57"/>
      <c r="X8" s="57"/>
      <c r="Y8" s="57"/>
      <c r="Z8" s="57"/>
      <c r="AF8" s="59" t="e">
        <f>K8-#REF!</f>
        <v>#REF!</v>
      </c>
    </row>
    <row r="9" spans="1:32" s="70" customFormat="1" ht="15" customHeight="1">
      <c r="A9" s="60"/>
      <c r="B9" s="61" t="s">
        <v>13</v>
      </c>
      <c r="C9" s="62">
        <v>87500000</v>
      </c>
      <c r="D9" s="62"/>
      <c r="E9" s="63">
        <f>SUM(C9:D9)</f>
        <v>87500000</v>
      </c>
      <c r="F9" s="62">
        <f>75600000+12500000</f>
        <v>88100000</v>
      </c>
      <c r="G9" s="62"/>
      <c r="H9" s="63">
        <f>SUM(F9:G9)</f>
        <v>88100000</v>
      </c>
      <c r="I9" s="64">
        <f>83100000+13350000</f>
        <v>96450000</v>
      </c>
      <c r="J9" s="64">
        <v>0</v>
      </c>
      <c r="K9" s="63">
        <f aca="true" t="shared" si="2" ref="K9:K40">SUM(I9:J9)</f>
        <v>96450000</v>
      </c>
      <c r="L9" s="32">
        <f t="shared" si="0"/>
        <v>1.09477866061294</v>
      </c>
      <c r="M9" s="43">
        <f aca="true" t="shared" si="3" ref="M9:M19">K10/$K$8</f>
        <v>0.051041055237359134</v>
      </c>
      <c r="N9" s="44"/>
      <c r="O9" s="65">
        <v>75615</v>
      </c>
      <c r="P9" s="66" t="s">
        <v>14</v>
      </c>
      <c r="Q9" s="67">
        <v>83100000</v>
      </c>
      <c r="R9" s="65">
        <v>75616</v>
      </c>
      <c r="S9" s="66" t="s">
        <v>14</v>
      </c>
      <c r="T9" s="67">
        <v>13350000</v>
      </c>
      <c r="U9" s="68">
        <f>SUM(Q9,T9)</f>
        <v>96450000</v>
      </c>
      <c r="V9" s="69"/>
      <c r="AF9" s="71" t="e">
        <f>K9-#REF!</f>
        <v>#REF!</v>
      </c>
    </row>
    <row r="10" spans="1:32" s="70" customFormat="1" ht="15" customHeight="1">
      <c r="A10" s="60"/>
      <c r="B10" s="61" t="s">
        <v>15</v>
      </c>
      <c r="C10" s="62">
        <v>4500000</v>
      </c>
      <c r="D10" s="62"/>
      <c r="E10" s="63">
        <f>SUM(C10:D10)</f>
        <v>4500000</v>
      </c>
      <c r="F10" s="62">
        <f>3550000+1850000</f>
        <v>5400000</v>
      </c>
      <c r="G10" s="62"/>
      <c r="H10" s="63">
        <f>SUM(F10:G10)</f>
        <v>5400000</v>
      </c>
      <c r="I10" s="64">
        <f>2000000+3600000</f>
        <v>5600000</v>
      </c>
      <c r="J10" s="64">
        <v>0</v>
      </c>
      <c r="K10" s="63">
        <f t="shared" si="2"/>
        <v>5600000</v>
      </c>
      <c r="L10" s="32">
        <f t="shared" si="0"/>
        <v>1.037037037037037</v>
      </c>
      <c r="M10" s="43">
        <f t="shared" si="3"/>
        <v>0.04318437852046564</v>
      </c>
      <c r="N10" s="44">
        <f>F10/C10</f>
        <v>1.2</v>
      </c>
      <c r="O10" s="65">
        <v>75615</v>
      </c>
      <c r="P10" s="66" t="s">
        <v>16</v>
      </c>
      <c r="Q10" s="72">
        <v>3600000</v>
      </c>
      <c r="R10" s="65">
        <v>75616</v>
      </c>
      <c r="S10" s="66" t="s">
        <v>16</v>
      </c>
      <c r="T10" s="67">
        <v>2000000</v>
      </c>
      <c r="U10" s="68">
        <f>SUM(T10,Q10)</f>
        <v>5600000</v>
      </c>
      <c r="V10" s="69"/>
      <c r="AF10" s="71" t="e">
        <f>K10-#REF!</f>
        <v>#REF!</v>
      </c>
    </row>
    <row r="11" spans="1:32" s="70" customFormat="1" ht="12" customHeight="1">
      <c r="A11" s="60"/>
      <c r="B11" s="61" t="s">
        <v>17</v>
      </c>
      <c r="C11" s="62">
        <v>4738000</v>
      </c>
      <c r="D11" s="62"/>
      <c r="E11" s="63">
        <f>SUM(C11:D11)</f>
        <v>4738000</v>
      </c>
      <c r="F11" s="62">
        <v>4738000</v>
      </c>
      <c r="G11" s="62"/>
      <c r="H11" s="63">
        <f>SUM(F11:G11)</f>
        <v>4738000</v>
      </c>
      <c r="I11" s="64">
        <v>4738000</v>
      </c>
      <c r="J11" s="64">
        <v>0</v>
      </c>
      <c r="K11" s="63">
        <f t="shared" si="2"/>
        <v>4738000</v>
      </c>
      <c r="L11" s="32">
        <f t="shared" si="0"/>
        <v>1</v>
      </c>
      <c r="M11" s="43">
        <f t="shared" si="3"/>
        <v>0.013854000707283194</v>
      </c>
      <c r="N11" s="44"/>
      <c r="O11" s="65">
        <v>75618</v>
      </c>
      <c r="P11" s="66" t="s">
        <v>18</v>
      </c>
      <c r="Q11" s="67">
        <v>4738000</v>
      </c>
      <c r="R11" s="65"/>
      <c r="S11" s="65"/>
      <c r="T11" s="73"/>
      <c r="U11" s="73"/>
      <c r="V11" s="69"/>
      <c r="AF11" s="71" t="e">
        <f>K11-#REF!</f>
        <v>#REF!</v>
      </c>
    </row>
    <row r="12" spans="1:32" s="70" customFormat="1" ht="12.75" customHeight="1">
      <c r="A12" s="60"/>
      <c r="B12" s="74" t="s">
        <v>19</v>
      </c>
      <c r="C12" s="62">
        <f>125200+1450000+20000</f>
        <v>1595200</v>
      </c>
      <c r="D12" s="62"/>
      <c r="E12" s="63">
        <f>SUM(C12:D12)</f>
        <v>1595200</v>
      </c>
      <c r="F12" s="62">
        <f>1200000+210000</f>
        <v>1410000</v>
      </c>
      <c r="G12" s="62"/>
      <c r="H12" s="63">
        <f>SUM(F12:G12)</f>
        <v>1410000</v>
      </c>
      <c r="I12" s="64">
        <f>1300000+220000</f>
        <v>1520000</v>
      </c>
      <c r="J12" s="64">
        <v>0</v>
      </c>
      <c r="K12" s="63">
        <f t="shared" si="2"/>
        <v>1520000</v>
      </c>
      <c r="L12" s="32">
        <f t="shared" si="0"/>
        <v>1.0780141843971631</v>
      </c>
      <c r="M12" s="43">
        <f t="shared" si="3"/>
        <v>0.0128295338128762</v>
      </c>
      <c r="N12" s="44"/>
      <c r="O12" s="65">
        <v>75616</v>
      </c>
      <c r="P12" s="66" t="s">
        <v>20</v>
      </c>
      <c r="Q12" s="67">
        <v>1300000</v>
      </c>
      <c r="R12" s="65">
        <v>75616</v>
      </c>
      <c r="S12" s="66" t="s">
        <v>21</v>
      </c>
      <c r="T12" s="72">
        <v>220000</v>
      </c>
      <c r="U12" s="68">
        <f>SUM(Q12,T12)</f>
        <v>1520000</v>
      </c>
      <c r="V12" s="69"/>
      <c r="AF12" s="71" t="e">
        <f>K12-#REF!</f>
        <v>#REF!</v>
      </c>
    </row>
    <row r="13" spans="1:32" s="70" customFormat="1" ht="12" customHeight="1">
      <c r="A13" s="60"/>
      <c r="B13" s="74" t="s">
        <v>22</v>
      </c>
      <c r="C13" s="62">
        <f aca="true" t="shared" si="4" ref="C13:J13">SUM(C14:C19)</f>
        <v>1704000</v>
      </c>
      <c r="D13" s="62">
        <f t="shared" si="4"/>
        <v>0</v>
      </c>
      <c r="E13" s="63">
        <f t="shared" si="4"/>
        <v>1704000</v>
      </c>
      <c r="F13" s="62">
        <f t="shared" si="4"/>
        <v>1709500</v>
      </c>
      <c r="G13" s="62">
        <f t="shared" si="4"/>
        <v>0</v>
      </c>
      <c r="H13" s="63">
        <f t="shared" si="4"/>
        <v>1709500</v>
      </c>
      <c r="I13" s="64">
        <f t="shared" si="4"/>
        <v>1407600</v>
      </c>
      <c r="J13" s="64">
        <f t="shared" si="4"/>
        <v>0</v>
      </c>
      <c r="K13" s="63">
        <f t="shared" si="2"/>
        <v>1407600</v>
      </c>
      <c r="L13" s="32">
        <f t="shared" si="0"/>
        <v>0.8233986545773618</v>
      </c>
      <c r="M13" s="43">
        <f t="shared" si="3"/>
        <v>0.0002679655399961355</v>
      </c>
      <c r="N13" s="44"/>
      <c r="O13" s="65"/>
      <c r="P13" s="65"/>
      <c r="Q13" s="75"/>
      <c r="R13" s="65"/>
      <c r="S13" s="65"/>
      <c r="T13" s="73"/>
      <c r="U13" s="73"/>
      <c r="V13" s="69"/>
      <c r="AF13" s="71"/>
    </row>
    <row r="14" spans="1:32" s="82" customFormat="1" ht="12" customHeight="1">
      <c r="A14" s="76"/>
      <c r="B14" s="77" t="s">
        <v>23</v>
      </c>
      <c r="C14" s="78">
        <v>28000</v>
      </c>
      <c r="D14" s="78"/>
      <c r="E14" s="79">
        <f aca="true" t="shared" si="5" ref="E14:E19">SUM(C14:D14)</f>
        <v>28000</v>
      </c>
      <c r="F14" s="78">
        <f>400+29000</f>
        <v>29400</v>
      </c>
      <c r="G14" s="78"/>
      <c r="H14" s="79">
        <f aca="true" t="shared" si="6" ref="H14:H19">SUM(F14:G14)</f>
        <v>29400</v>
      </c>
      <c r="I14" s="80">
        <f>400+29000</f>
        <v>29400</v>
      </c>
      <c r="J14" s="80">
        <v>0</v>
      </c>
      <c r="K14" s="79">
        <f t="shared" si="2"/>
        <v>29400</v>
      </c>
      <c r="L14" s="81">
        <f t="shared" si="0"/>
        <v>1</v>
      </c>
      <c r="M14" s="43">
        <f t="shared" si="3"/>
        <v>0.0006398360852968948</v>
      </c>
      <c r="N14" s="44"/>
      <c r="O14" s="65">
        <v>75615</v>
      </c>
      <c r="P14" s="66" t="s">
        <v>24</v>
      </c>
      <c r="Q14" s="67">
        <v>400</v>
      </c>
      <c r="R14" s="65">
        <v>75616</v>
      </c>
      <c r="S14" s="66" t="s">
        <v>24</v>
      </c>
      <c r="T14" s="72">
        <v>29000</v>
      </c>
      <c r="U14" s="68">
        <f>SUM(Q14,T14)</f>
        <v>29400</v>
      </c>
      <c r="V14" s="69"/>
      <c r="W14" s="70"/>
      <c r="X14" s="70"/>
      <c r="Y14" s="70"/>
      <c r="Z14" s="70"/>
      <c r="AF14" s="71" t="e">
        <f>K14-#REF!</f>
        <v>#REF!</v>
      </c>
    </row>
    <row r="15" spans="1:32" s="82" customFormat="1" ht="11.25" customHeight="1">
      <c r="A15" s="76"/>
      <c r="B15" s="83" t="s">
        <v>25</v>
      </c>
      <c r="C15" s="78">
        <v>68000</v>
      </c>
      <c r="D15" s="78"/>
      <c r="E15" s="79">
        <f t="shared" si="5"/>
        <v>68000</v>
      </c>
      <c r="F15" s="78">
        <f>67400+3200</f>
        <v>70600</v>
      </c>
      <c r="G15" s="78"/>
      <c r="H15" s="79">
        <f t="shared" si="6"/>
        <v>70600</v>
      </c>
      <c r="I15" s="80">
        <f>3200+67000</f>
        <v>70200</v>
      </c>
      <c r="J15" s="80">
        <v>0</v>
      </c>
      <c r="K15" s="79">
        <f t="shared" si="2"/>
        <v>70200</v>
      </c>
      <c r="L15" s="81">
        <f t="shared" si="0"/>
        <v>0.9943342776203966</v>
      </c>
      <c r="M15" s="43">
        <f t="shared" si="3"/>
        <v>1.8228948299056833E-05</v>
      </c>
      <c r="N15" s="44"/>
      <c r="O15" s="65">
        <v>75615</v>
      </c>
      <c r="P15" s="66" t="s">
        <v>26</v>
      </c>
      <c r="Q15" s="72">
        <v>67000</v>
      </c>
      <c r="R15" s="65">
        <v>75616</v>
      </c>
      <c r="S15" s="66" t="s">
        <v>26</v>
      </c>
      <c r="T15" s="67">
        <v>3200</v>
      </c>
      <c r="U15" s="68">
        <f>SUM(Q15,T15)</f>
        <v>70200</v>
      </c>
      <c r="V15" s="69"/>
      <c r="W15" s="70"/>
      <c r="X15" s="70"/>
      <c r="Y15" s="70"/>
      <c r="Z15" s="70"/>
      <c r="AF15" s="71" t="e">
        <f>K15-#REF!</f>
        <v>#REF!</v>
      </c>
    </row>
    <row r="16" spans="1:32" s="84" customFormat="1" ht="12.75" customHeight="1">
      <c r="A16" s="76"/>
      <c r="B16" s="77" t="s">
        <v>27</v>
      </c>
      <c r="C16" s="78">
        <v>2000</v>
      </c>
      <c r="D16" s="78"/>
      <c r="E16" s="79">
        <f t="shared" si="5"/>
        <v>2000</v>
      </c>
      <c r="F16" s="78">
        <v>3500</v>
      </c>
      <c r="G16" s="78"/>
      <c r="H16" s="79">
        <f t="shared" si="6"/>
        <v>3500</v>
      </c>
      <c r="I16" s="80">
        <v>2000</v>
      </c>
      <c r="J16" s="80">
        <v>0</v>
      </c>
      <c r="K16" s="79">
        <f t="shared" si="2"/>
        <v>2000</v>
      </c>
      <c r="L16" s="81">
        <f t="shared" si="0"/>
        <v>0.5714285714285714</v>
      </c>
      <c r="M16" s="43">
        <f t="shared" si="3"/>
        <v>5.46868448971705E-05</v>
      </c>
      <c r="N16" s="44"/>
      <c r="O16" s="65">
        <v>75616</v>
      </c>
      <c r="P16" s="66" t="s">
        <v>28</v>
      </c>
      <c r="Q16" s="67">
        <v>2000</v>
      </c>
      <c r="R16" s="65"/>
      <c r="S16" s="65"/>
      <c r="T16" s="73"/>
      <c r="U16" s="73"/>
      <c r="V16" s="65"/>
      <c r="W16" s="73"/>
      <c r="X16" s="73"/>
      <c r="Y16" s="73"/>
      <c r="Z16" s="73"/>
      <c r="AF16" s="71" t="e">
        <f>K16-#REF!</f>
        <v>#REF!</v>
      </c>
    </row>
    <row r="17" spans="1:32" s="82" customFormat="1" ht="12.75" customHeight="1">
      <c r="A17" s="76"/>
      <c r="B17" s="77" t="s">
        <v>29</v>
      </c>
      <c r="C17" s="78">
        <v>6000</v>
      </c>
      <c r="D17" s="78"/>
      <c r="E17" s="79">
        <f t="shared" si="5"/>
        <v>6000</v>
      </c>
      <c r="F17" s="78">
        <v>6000</v>
      </c>
      <c r="G17" s="78"/>
      <c r="H17" s="79">
        <f t="shared" si="6"/>
        <v>6000</v>
      </c>
      <c r="I17" s="80">
        <v>6000</v>
      </c>
      <c r="J17" s="80">
        <v>0</v>
      </c>
      <c r="K17" s="79">
        <f t="shared" si="2"/>
        <v>6000</v>
      </c>
      <c r="L17" s="81">
        <f t="shared" si="0"/>
        <v>1</v>
      </c>
      <c r="M17" s="43">
        <f t="shared" si="3"/>
        <v>0.0009114474149528417</v>
      </c>
      <c r="N17" s="44"/>
      <c r="O17" s="65">
        <v>75616</v>
      </c>
      <c r="P17" s="66" t="s">
        <v>30</v>
      </c>
      <c r="Q17" s="67">
        <v>6000</v>
      </c>
      <c r="R17" s="65"/>
      <c r="S17" s="65"/>
      <c r="T17" s="73"/>
      <c r="U17" s="73"/>
      <c r="V17" s="69"/>
      <c r="W17" s="70"/>
      <c r="X17" s="70"/>
      <c r="Y17" s="70"/>
      <c r="Z17" s="70"/>
      <c r="AF17" s="71" t="e">
        <f>K17-#REF!</f>
        <v>#REF!</v>
      </c>
    </row>
    <row r="18" spans="1:32" s="82" customFormat="1" ht="12.75" customHeight="1">
      <c r="A18" s="76"/>
      <c r="B18" s="77" t="s">
        <v>31</v>
      </c>
      <c r="C18" s="78">
        <v>100000</v>
      </c>
      <c r="D18" s="78"/>
      <c r="E18" s="79">
        <f t="shared" si="5"/>
        <v>100000</v>
      </c>
      <c r="F18" s="78">
        <v>100000</v>
      </c>
      <c r="G18" s="78"/>
      <c r="H18" s="79">
        <f t="shared" si="6"/>
        <v>100000</v>
      </c>
      <c r="I18" s="80">
        <v>100000</v>
      </c>
      <c r="J18" s="80">
        <v>0</v>
      </c>
      <c r="K18" s="79">
        <f t="shared" si="2"/>
        <v>100000</v>
      </c>
      <c r="L18" s="81">
        <f t="shared" si="0"/>
        <v>1</v>
      </c>
      <c r="M18" s="43">
        <f t="shared" si="3"/>
        <v>0.010937368979434101</v>
      </c>
      <c r="N18" s="44"/>
      <c r="O18" s="65">
        <v>75616</v>
      </c>
      <c r="P18" s="66" t="s">
        <v>32</v>
      </c>
      <c r="Q18" s="67">
        <v>100000</v>
      </c>
      <c r="R18" s="65"/>
      <c r="S18" s="65"/>
      <c r="T18" s="73"/>
      <c r="U18" s="73"/>
      <c r="V18" s="69"/>
      <c r="W18" s="70"/>
      <c r="X18" s="70"/>
      <c r="Y18" s="70"/>
      <c r="Z18" s="70"/>
      <c r="AF18" s="71" t="e">
        <f>K18-#REF!</f>
        <v>#REF!</v>
      </c>
    </row>
    <row r="19" spans="1:32" s="40" customFormat="1" ht="12" customHeight="1">
      <c r="A19" s="85"/>
      <c r="B19" s="86" t="s">
        <v>33</v>
      </c>
      <c r="C19" s="78">
        <v>1500000</v>
      </c>
      <c r="D19" s="78"/>
      <c r="E19" s="79">
        <f t="shared" si="5"/>
        <v>1500000</v>
      </c>
      <c r="F19" s="78">
        <v>1500000</v>
      </c>
      <c r="G19" s="78"/>
      <c r="H19" s="79">
        <f t="shared" si="6"/>
        <v>1500000</v>
      </c>
      <c r="I19" s="80">
        <f>1200000</f>
        <v>1200000</v>
      </c>
      <c r="J19" s="80">
        <v>0</v>
      </c>
      <c r="K19" s="79">
        <f t="shared" si="2"/>
        <v>1200000</v>
      </c>
      <c r="L19" s="81">
        <f t="shared" si="0"/>
        <v>0.8</v>
      </c>
      <c r="M19" s="43">
        <f t="shared" si="3"/>
        <v>0.1968726416298138</v>
      </c>
      <c r="N19" s="44"/>
      <c r="O19" s="65">
        <v>75615</v>
      </c>
      <c r="P19" s="87" t="s">
        <v>34</v>
      </c>
      <c r="Q19" s="67">
        <v>900000</v>
      </c>
      <c r="R19" s="65">
        <v>75616</v>
      </c>
      <c r="S19" s="87" t="s">
        <v>34</v>
      </c>
      <c r="T19" s="67">
        <f>K19-Q19</f>
        <v>300000</v>
      </c>
      <c r="U19" s="68">
        <f>SUM(T19,Q19)</f>
        <v>1200000</v>
      </c>
      <c r="V19" s="7"/>
      <c r="W19" s="8"/>
      <c r="X19" s="8"/>
      <c r="Y19" s="8"/>
      <c r="Z19" s="8"/>
      <c r="AF19" s="71" t="e">
        <f>K19-#REF!</f>
        <v>#REF!</v>
      </c>
    </row>
    <row r="20" spans="1:32" s="57" customFormat="1" ht="25.5" customHeight="1">
      <c r="A20" s="88">
        <v>2</v>
      </c>
      <c r="B20" s="89" t="s">
        <v>35</v>
      </c>
      <c r="C20" s="90">
        <f aca="true" t="shared" si="7" ref="C20:J20">SUM(C21:C24)</f>
        <v>18500000</v>
      </c>
      <c r="D20" s="55">
        <f t="shared" si="7"/>
        <v>0</v>
      </c>
      <c r="E20" s="55">
        <f t="shared" si="7"/>
        <v>18500000</v>
      </c>
      <c r="F20" s="55">
        <f t="shared" si="7"/>
        <v>20500000</v>
      </c>
      <c r="G20" s="55">
        <f t="shared" si="7"/>
        <v>0</v>
      </c>
      <c r="H20" s="55">
        <f t="shared" si="7"/>
        <v>20500000</v>
      </c>
      <c r="I20" s="55">
        <f t="shared" si="7"/>
        <v>21600000</v>
      </c>
      <c r="J20" s="55">
        <f t="shared" si="7"/>
        <v>0</v>
      </c>
      <c r="K20" s="55">
        <f t="shared" si="2"/>
        <v>21600000</v>
      </c>
      <c r="L20" s="32">
        <f t="shared" si="0"/>
        <v>1.053658536585366</v>
      </c>
      <c r="M20" s="43">
        <f>K20/K7</f>
        <v>0.03817215633671712</v>
      </c>
      <c r="N20" s="44"/>
      <c r="O20" s="56"/>
      <c r="P20" s="56"/>
      <c r="Q20" s="75"/>
      <c r="R20" s="56"/>
      <c r="S20" s="56"/>
      <c r="U20" s="75"/>
      <c r="V20" s="56"/>
      <c r="AF20" s="91"/>
    </row>
    <row r="21" spans="1:32" s="70" customFormat="1" ht="12" customHeight="1">
      <c r="A21" s="60"/>
      <c r="B21" s="74" t="s">
        <v>36</v>
      </c>
      <c r="C21" s="62">
        <v>1000000</v>
      </c>
      <c r="D21" s="62"/>
      <c r="E21" s="63">
        <f aca="true" t="shared" si="8" ref="E21:E68">SUM(C21:D21)</f>
        <v>1000000</v>
      </c>
      <c r="F21" s="62">
        <v>1000000</v>
      </c>
      <c r="G21" s="62"/>
      <c r="H21" s="63">
        <f aca="true" t="shared" si="9" ref="H21:H68">SUM(F21:G21)</f>
        <v>1000000</v>
      </c>
      <c r="I21" s="64">
        <f>900000+100000</f>
        <v>1000000</v>
      </c>
      <c r="J21" s="64"/>
      <c r="K21" s="63">
        <f t="shared" si="2"/>
        <v>1000000</v>
      </c>
      <c r="L21" s="32">
        <f t="shared" si="0"/>
        <v>1</v>
      </c>
      <c r="M21" s="43">
        <f>K21/$K$20</f>
        <v>0.046296296296296294</v>
      </c>
      <c r="N21" s="44"/>
      <c r="O21" s="65">
        <v>75601</v>
      </c>
      <c r="P21" s="66" t="s">
        <v>37</v>
      </c>
      <c r="Q21" s="72">
        <v>1000000</v>
      </c>
      <c r="R21" s="65"/>
      <c r="S21" s="65"/>
      <c r="T21" s="73"/>
      <c r="U21" s="75"/>
      <c r="V21" s="69"/>
      <c r="AF21" s="71" t="e">
        <f>K21-#REF!</f>
        <v>#REF!</v>
      </c>
    </row>
    <row r="22" spans="1:32" s="70" customFormat="1" ht="14.25" customHeight="1">
      <c r="A22" s="60"/>
      <c r="B22" s="74" t="s">
        <v>38</v>
      </c>
      <c r="C22" s="62">
        <v>3400000</v>
      </c>
      <c r="D22" s="62"/>
      <c r="E22" s="63">
        <f t="shared" si="8"/>
        <v>3400000</v>
      </c>
      <c r="F22" s="62">
        <v>3400000</v>
      </c>
      <c r="G22" s="62"/>
      <c r="H22" s="63">
        <f t="shared" si="9"/>
        <v>3400000</v>
      </c>
      <c r="I22" s="64">
        <f>3200000+200000+100000</f>
        <v>3500000</v>
      </c>
      <c r="J22" s="64"/>
      <c r="K22" s="63">
        <f t="shared" si="2"/>
        <v>3500000</v>
      </c>
      <c r="L22" s="32">
        <f t="shared" si="0"/>
        <v>1.0294117647058822</v>
      </c>
      <c r="M22" s="43">
        <f>K22/$K$20</f>
        <v>0.16203703703703703</v>
      </c>
      <c r="N22" s="44"/>
      <c r="O22" s="65">
        <v>75616</v>
      </c>
      <c r="P22" s="66" t="s">
        <v>39</v>
      </c>
      <c r="Q22" s="72">
        <v>3500000</v>
      </c>
      <c r="R22" s="65"/>
      <c r="S22" s="65"/>
      <c r="T22" s="73"/>
      <c r="U22" s="75"/>
      <c r="V22" s="69"/>
      <c r="AF22" s="71" t="e">
        <f>K22-#REF!</f>
        <v>#REF!</v>
      </c>
    </row>
    <row r="23" spans="1:32" s="70" customFormat="1" ht="21.75" customHeight="1">
      <c r="A23" s="60"/>
      <c r="B23" s="74" t="s">
        <v>40</v>
      </c>
      <c r="C23" s="62">
        <f>3100000+10900000</f>
        <v>14000000</v>
      </c>
      <c r="D23" s="62"/>
      <c r="E23" s="63">
        <f t="shared" si="8"/>
        <v>14000000</v>
      </c>
      <c r="F23" s="62">
        <v>16000000</v>
      </c>
      <c r="G23" s="62"/>
      <c r="H23" s="63">
        <f t="shared" si="9"/>
        <v>16000000</v>
      </c>
      <c r="I23" s="64">
        <v>17000000</v>
      </c>
      <c r="J23" s="64"/>
      <c r="K23" s="63">
        <f t="shared" si="2"/>
        <v>17000000</v>
      </c>
      <c r="L23" s="32">
        <f t="shared" si="0"/>
        <v>1.0625</v>
      </c>
      <c r="M23" s="43">
        <f>K23/$K$20</f>
        <v>0.7870370370370371</v>
      </c>
      <c r="N23" s="44"/>
      <c r="O23" s="65">
        <v>75615</v>
      </c>
      <c r="P23" s="66" t="s">
        <v>41</v>
      </c>
      <c r="Q23" s="67">
        <v>3000000</v>
      </c>
      <c r="R23" s="65">
        <v>75616</v>
      </c>
      <c r="S23" s="66" t="s">
        <v>41</v>
      </c>
      <c r="T23" s="67">
        <v>14000000</v>
      </c>
      <c r="U23" s="68">
        <f>SUM(T23,Q23)</f>
        <v>17000000</v>
      </c>
      <c r="V23" s="69"/>
      <c r="AF23" s="71" t="e">
        <f>K23-#REF!</f>
        <v>#REF!</v>
      </c>
    </row>
    <row r="24" spans="1:32" s="70" customFormat="1" ht="23.25" customHeight="1">
      <c r="A24" s="60"/>
      <c r="B24" s="74" t="s">
        <v>42</v>
      </c>
      <c r="C24" s="62">
        <v>100000</v>
      </c>
      <c r="D24" s="62"/>
      <c r="E24" s="63">
        <f t="shared" si="8"/>
        <v>100000</v>
      </c>
      <c r="F24" s="62">
        <v>100000</v>
      </c>
      <c r="G24" s="62"/>
      <c r="H24" s="63">
        <f t="shared" si="9"/>
        <v>100000</v>
      </c>
      <c r="I24" s="64">
        <v>100000</v>
      </c>
      <c r="J24" s="64"/>
      <c r="K24" s="63">
        <f t="shared" si="2"/>
        <v>100000</v>
      </c>
      <c r="L24" s="32">
        <f t="shared" si="0"/>
        <v>1</v>
      </c>
      <c r="M24" s="43">
        <f>K24/$K$20</f>
        <v>0.004629629629629629</v>
      </c>
      <c r="N24" s="44" t="s">
        <v>43</v>
      </c>
      <c r="O24" s="65">
        <v>75601</v>
      </c>
      <c r="P24" s="66" t="s">
        <v>34</v>
      </c>
      <c r="Q24" s="67">
        <v>60000</v>
      </c>
      <c r="R24" s="65">
        <v>75618</v>
      </c>
      <c r="S24" s="66" t="s">
        <v>34</v>
      </c>
      <c r="T24" s="67">
        <v>40000</v>
      </c>
      <c r="U24" s="73"/>
      <c r="V24" s="69"/>
      <c r="AF24" s="71" t="e">
        <f>K24-#REF!</f>
        <v>#REF!</v>
      </c>
    </row>
    <row r="25" spans="1:32" s="58" customFormat="1" ht="14.25" customHeight="1">
      <c r="A25" s="88">
        <v>3</v>
      </c>
      <c r="B25" s="92" t="s">
        <v>44</v>
      </c>
      <c r="C25" s="55">
        <f>SUM(C26:C31)</f>
        <v>38384644</v>
      </c>
      <c r="D25" s="55">
        <f>SUM(D26:D31)</f>
        <v>679691</v>
      </c>
      <c r="E25" s="93">
        <f t="shared" si="8"/>
        <v>39064335</v>
      </c>
      <c r="F25" s="55">
        <f>SUM(F26:F31)</f>
        <v>38464644</v>
      </c>
      <c r="G25" s="55">
        <f>SUM(G26:G31)</f>
        <v>679691</v>
      </c>
      <c r="H25" s="93">
        <f t="shared" si="9"/>
        <v>39144335</v>
      </c>
      <c r="I25" s="55">
        <f>SUM(I26:I31)</f>
        <v>40816923</v>
      </c>
      <c r="J25" s="55">
        <f>SUM(J26:J31)</f>
        <v>627576</v>
      </c>
      <c r="K25" s="93">
        <f t="shared" si="2"/>
        <v>41444499</v>
      </c>
      <c r="L25" s="32">
        <f t="shared" si="0"/>
        <v>1.0587610953155802</v>
      </c>
      <c r="M25" s="43">
        <f>K25/K7</f>
        <v>0.0732419395891165</v>
      </c>
      <c r="N25" s="44">
        <f>K25/K6</f>
        <v>0.054513790928612436</v>
      </c>
      <c r="O25" s="56"/>
      <c r="P25" s="56"/>
      <c r="Q25" s="75"/>
      <c r="R25" s="56"/>
      <c r="S25" s="56"/>
      <c r="T25" s="75"/>
      <c r="U25" s="57"/>
      <c r="V25" s="56"/>
      <c r="W25" s="57"/>
      <c r="X25" s="57"/>
      <c r="Y25" s="57"/>
      <c r="Z25" s="57"/>
      <c r="AF25" s="91"/>
    </row>
    <row r="26" spans="1:32" s="70" customFormat="1" ht="23.25" customHeight="1">
      <c r="A26" s="60"/>
      <c r="B26" s="74" t="s">
        <v>45</v>
      </c>
      <c r="C26" s="62">
        <f>19760000+150000+1500000</f>
        <v>21410000</v>
      </c>
      <c r="D26" s="62"/>
      <c r="E26" s="63">
        <f t="shared" si="8"/>
        <v>21410000</v>
      </c>
      <c r="F26" s="62">
        <f>19760000+150000+1500000</f>
        <v>21410000</v>
      </c>
      <c r="G26" s="62"/>
      <c r="H26" s="63">
        <f t="shared" si="9"/>
        <v>21410000</v>
      </c>
      <c r="I26" s="64">
        <v>23410000</v>
      </c>
      <c r="J26" s="64"/>
      <c r="K26" s="63">
        <f t="shared" si="2"/>
        <v>23410000</v>
      </c>
      <c r="L26" s="32">
        <f t="shared" si="0"/>
        <v>1.0934142923867352</v>
      </c>
      <c r="M26" s="43">
        <f aca="true" t="shared" si="10" ref="M26:M35">K26/$K$25</f>
        <v>0.5648518033720229</v>
      </c>
      <c r="N26" s="44"/>
      <c r="O26" s="65">
        <v>70005</v>
      </c>
      <c r="P26" s="66" t="s">
        <v>46</v>
      </c>
      <c r="Q26" s="67">
        <v>830000</v>
      </c>
      <c r="R26" s="65">
        <v>70005</v>
      </c>
      <c r="S26" s="66" t="s">
        <v>47</v>
      </c>
      <c r="T26" s="67">
        <v>22580000</v>
      </c>
      <c r="U26" s="68">
        <f>SUM(Q26,T26)</f>
        <v>23410000</v>
      </c>
      <c r="V26" s="69"/>
      <c r="AF26" s="71" t="e">
        <f>K26-#REF!</f>
        <v>#REF!</v>
      </c>
    </row>
    <row r="27" spans="1:32" s="70" customFormat="1" ht="12" customHeight="1">
      <c r="A27" s="60"/>
      <c r="B27" s="74" t="s">
        <v>48</v>
      </c>
      <c r="C27" s="62">
        <f>6800000</f>
        <v>6800000</v>
      </c>
      <c r="D27" s="62"/>
      <c r="E27" s="63">
        <f t="shared" si="8"/>
        <v>6800000</v>
      </c>
      <c r="F27" s="62">
        <f>6600000</f>
        <v>6600000</v>
      </c>
      <c r="G27" s="62"/>
      <c r="H27" s="63">
        <f t="shared" si="9"/>
        <v>6600000</v>
      </c>
      <c r="I27" s="64">
        <v>6800000</v>
      </c>
      <c r="J27" s="64"/>
      <c r="K27" s="63">
        <f t="shared" si="2"/>
        <v>6800000</v>
      </c>
      <c r="L27" s="32">
        <f t="shared" si="0"/>
        <v>1.0303030303030303</v>
      </c>
      <c r="M27" s="43">
        <f t="shared" si="10"/>
        <v>0.1640748510435607</v>
      </c>
      <c r="N27" s="44"/>
      <c r="O27" s="65">
        <v>70005</v>
      </c>
      <c r="P27" s="66" t="s">
        <v>49</v>
      </c>
      <c r="Q27" s="67">
        <v>6800000</v>
      </c>
      <c r="R27" s="65"/>
      <c r="S27" s="65"/>
      <c r="T27" s="75"/>
      <c r="U27" s="73"/>
      <c r="V27" s="69"/>
      <c r="AF27" s="71" t="e">
        <f>K27-#REF!</f>
        <v>#REF!</v>
      </c>
    </row>
    <row r="28" spans="1:32" s="70" customFormat="1" ht="16.5" customHeight="1">
      <c r="A28" s="60"/>
      <c r="B28" s="74" t="s">
        <v>50</v>
      </c>
      <c r="C28" s="62">
        <v>5500000</v>
      </c>
      <c r="D28" s="62"/>
      <c r="E28" s="63">
        <f t="shared" si="8"/>
        <v>5500000</v>
      </c>
      <c r="F28" s="62">
        <v>5550000</v>
      </c>
      <c r="G28" s="62"/>
      <c r="H28" s="63">
        <f t="shared" si="9"/>
        <v>5550000</v>
      </c>
      <c r="I28" s="64">
        <v>5550000</v>
      </c>
      <c r="J28" s="64"/>
      <c r="K28" s="63">
        <f t="shared" si="2"/>
        <v>5550000</v>
      </c>
      <c r="L28" s="32">
        <f t="shared" si="0"/>
        <v>1</v>
      </c>
      <c r="M28" s="43">
        <f t="shared" si="10"/>
        <v>0.1339140328370238</v>
      </c>
      <c r="N28" s="44"/>
      <c r="O28" s="65">
        <v>70095</v>
      </c>
      <c r="P28" s="66" t="s">
        <v>49</v>
      </c>
      <c r="Q28" s="67">
        <v>5550000</v>
      </c>
      <c r="R28" s="65"/>
      <c r="S28" s="65"/>
      <c r="T28" s="75"/>
      <c r="U28" s="73"/>
      <c r="V28" s="69"/>
      <c r="AF28" s="71" t="e">
        <f>K28-#REF!</f>
        <v>#REF!</v>
      </c>
    </row>
    <row r="29" spans="1:32" s="70" customFormat="1" ht="12.75" customHeight="1">
      <c r="A29" s="60"/>
      <c r="B29" s="74" t="s">
        <v>51</v>
      </c>
      <c r="C29" s="62">
        <v>2200000</v>
      </c>
      <c r="D29" s="62"/>
      <c r="E29" s="63">
        <f t="shared" si="8"/>
        <v>2200000</v>
      </c>
      <c r="F29" s="62">
        <v>2200000</v>
      </c>
      <c r="G29" s="62"/>
      <c r="H29" s="63">
        <f t="shared" si="9"/>
        <v>2200000</v>
      </c>
      <c r="I29" s="64">
        <v>2200000</v>
      </c>
      <c r="J29" s="64"/>
      <c r="K29" s="63">
        <f t="shared" si="2"/>
        <v>2200000</v>
      </c>
      <c r="L29" s="32">
        <f t="shared" si="0"/>
        <v>1</v>
      </c>
      <c r="M29" s="43">
        <f t="shared" si="10"/>
        <v>0.05308304004350493</v>
      </c>
      <c r="N29" s="44"/>
      <c r="O29" s="65">
        <v>70005</v>
      </c>
      <c r="P29" s="66" t="s">
        <v>52</v>
      </c>
      <c r="Q29" s="67">
        <v>2200000</v>
      </c>
      <c r="R29" s="65"/>
      <c r="S29" s="65"/>
      <c r="T29" s="75"/>
      <c r="U29" s="73"/>
      <c r="V29" s="69"/>
      <c r="AF29" s="71" t="e">
        <f>K29-#REF!</f>
        <v>#REF!</v>
      </c>
    </row>
    <row r="30" spans="1:32" s="84" customFormat="1" ht="15" customHeight="1">
      <c r="A30" s="94"/>
      <c r="B30" s="61" t="s">
        <v>53</v>
      </c>
      <c r="C30" s="62"/>
      <c r="D30" s="62"/>
      <c r="E30" s="63">
        <f t="shared" si="8"/>
        <v>0</v>
      </c>
      <c r="F30" s="62"/>
      <c r="G30" s="62"/>
      <c r="H30" s="63">
        <f t="shared" si="9"/>
        <v>0</v>
      </c>
      <c r="I30" s="64">
        <v>250000</v>
      </c>
      <c r="J30" s="64"/>
      <c r="K30" s="63">
        <f t="shared" si="2"/>
        <v>250000</v>
      </c>
      <c r="L30" s="32"/>
      <c r="M30" s="43">
        <f t="shared" si="10"/>
        <v>0.006032163641307378</v>
      </c>
      <c r="N30" s="44"/>
      <c r="O30" s="65"/>
      <c r="P30" s="65"/>
      <c r="Q30" s="75"/>
      <c r="R30" s="65"/>
      <c r="S30" s="65"/>
      <c r="T30" s="75"/>
      <c r="U30" s="73"/>
      <c r="V30" s="65"/>
      <c r="W30" s="73"/>
      <c r="X30" s="73"/>
      <c r="Y30" s="73"/>
      <c r="Z30" s="73"/>
      <c r="AF30" s="95"/>
    </row>
    <row r="31" spans="1:32" s="70" customFormat="1" ht="14.25" customHeight="1">
      <c r="A31" s="60"/>
      <c r="B31" s="74" t="s">
        <v>22</v>
      </c>
      <c r="C31" s="62">
        <f>SUM(C32:C35)</f>
        <v>2474644</v>
      </c>
      <c r="D31" s="62">
        <f>SUM(D32:D35)</f>
        <v>679691</v>
      </c>
      <c r="E31" s="63">
        <f t="shared" si="8"/>
        <v>3154335</v>
      </c>
      <c r="F31" s="62">
        <f>SUM(F32:F35)</f>
        <v>2704644</v>
      </c>
      <c r="G31" s="62">
        <f>SUM(G32:G35)</f>
        <v>679691</v>
      </c>
      <c r="H31" s="63">
        <f t="shared" si="9"/>
        <v>3384335</v>
      </c>
      <c r="I31" s="64">
        <f>SUM(I32:I35)</f>
        <v>2606923</v>
      </c>
      <c r="J31" s="64">
        <f>SUM(J32:J35)</f>
        <v>627576</v>
      </c>
      <c r="K31" s="63">
        <f t="shared" si="2"/>
        <v>3234499</v>
      </c>
      <c r="L31" s="32">
        <f aca="true" t="shared" si="11" ref="L31:L68">K31/H31</f>
        <v>0.9557266050789889</v>
      </c>
      <c r="M31" s="43">
        <f t="shared" si="10"/>
        <v>0.0780441090625803</v>
      </c>
      <c r="N31" s="44"/>
      <c r="O31" s="65"/>
      <c r="P31" s="65"/>
      <c r="Q31" s="75"/>
      <c r="R31" s="65"/>
      <c r="S31" s="65"/>
      <c r="T31" s="75"/>
      <c r="U31" s="73"/>
      <c r="V31" s="69"/>
      <c r="AF31" s="71"/>
    </row>
    <row r="32" spans="1:32" s="82" customFormat="1" ht="13.5" customHeight="1">
      <c r="A32" s="94"/>
      <c r="B32" s="77" t="s">
        <v>54</v>
      </c>
      <c r="C32" s="78">
        <v>230000</v>
      </c>
      <c r="D32" s="78"/>
      <c r="E32" s="79">
        <f t="shared" si="8"/>
        <v>230000</v>
      </c>
      <c r="F32" s="80">
        <v>460000</v>
      </c>
      <c r="G32" s="78"/>
      <c r="H32" s="79">
        <f t="shared" si="9"/>
        <v>460000</v>
      </c>
      <c r="I32" s="80">
        <v>460000</v>
      </c>
      <c r="J32" s="80"/>
      <c r="K32" s="79">
        <f t="shared" si="2"/>
        <v>460000</v>
      </c>
      <c r="L32" s="81">
        <f t="shared" si="11"/>
        <v>1</v>
      </c>
      <c r="M32" s="96">
        <f t="shared" si="10"/>
        <v>0.011099181100005576</v>
      </c>
      <c r="N32" s="97"/>
      <c r="O32" s="98">
        <v>85121</v>
      </c>
      <c r="P32" s="99" t="s">
        <v>55</v>
      </c>
      <c r="Q32" s="100">
        <v>460000</v>
      </c>
      <c r="R32" s="98"/>
      <c r="S32" s="98"/>
      <c r="T32" s="101"/>
      <c r="U32" s="84"/>
      <c r="V32" s="102"/>
      <c r="AF32" s="103" t="e">
        <f>K32-#REF!</f>
        <v>#REF!</v>
      </c>
    </row>
    <row r="33" spans="1:32" s="84" customFormat="1" ht="45" customHeight="1">
      <c r="A33" s="94"/>
      <c r="B33" s="77" t="s">
        <v>56</v>
      </c>
      <c r="C33" s="78">
        <f>26220+290000+385000+36690+119000</f>
        <v>856910</v>
      </c>
      <c r="D33" s="78">
        <v>80000</v>
      </c>
      <c r="E33" s="79">
        <f t="shared" si="8"/>
        <v>936910</v>
      </c>
      <c r="F33" s="78">
        <f>26220+290000+385000+36690+119000</f>
        <v>856910</v>
      </c>
      <c r="G33" s="78">
        <v>80000</v>
      </c>
      <c r="H33" s="79">
        <f t="shared" si="9"/>
        <v>936910</v>
      </c>
      <c r="I33" s="80">
        <f>31200+26620+290000+510000</f>
        <v>857820</v>
      </c>
      <c r="J33" s="80">
        <v>82000</v>
      </c>
      <c r="K33" s="79">
        <f t="shared" si="2"/>
        <v>939820</v>
      </c>
      <c r="L33" s="81">
        <f t="shared" si="11"/>
        <v>1.0031059546808125</v>
      </c>
      <c r="M33" s="96">
        <f t="shared" si="10"/>
        <v>0.022676592133494003</v>
      </c>
      <c r="N33" s="97"/>
      <c r="O33" s="98">
        <v>90017</v>
      </c>
      <c r="P33" s="99" t="s">
        <v>49</v>
      </c>
      <c r="Q33" s="100">
        <v>31200</v>
      </c>
      <c r="R33" s="98">
        <v>60004</v>
      </c>
      <c r="S33" s="99" t="s">
        <v>49</v>
      </c>
      <c r="T33" s="100">
        <v>26620</v>
      </c>
      <c r="U33" s="84">
        <v>92605</v>
      </c>
      <c r="V33" s="99" t="s">
        <v>49</v>
      </c>
      <c r="W33" s="100">
        <v>290000</v>
      </c>
      <c r="X33" s="104">
        <f>SUM(W33,T33,Q33)</f>
        <v>347820</v>
      </c>
      <c r="Y33" s="101"/>
      <c r="AF33" s="105" t="e">
        <f>K33-#REF!</f>
        <v>#REF!</v>
      </c>
    </row>
    <row r="34" spans="1:32" s="84" customFormat="1" ht="21.75" customHeight="1">
      <c r="A34" s="94"/>
      <c r="B34" s="77" t="s">
        <v>57</v>
      </c>
      <c r="C34" s="78">
        <f>94911+8095</f>
        <v>103006</v>
      </c>
      <c r="D34" s="78">
        <v>47761</v>
      </c>
      <c r="E34" s="79">
        <f t="shared" si="8"/>
        <v>150767</v>
      </c>
      <c r="F34" s="78">
        <f>94911+8095</f>
        <v>103006</v>
      </c>
      <c r="G34" s="78">
        <v>47761</v>
      </c>
      <c r="H34" s="79">
        <f t="shared" si="9"/>
        <v>150767</v>
      </c>
      <c r="I34" s="80">
        <f>96488+8095</f>
        <v>104583</v>
      </c>
      <c r="J34" s="80">
        <f>11700+4661</f>
        <v>16361</v>
      </c>
      <c r="K34" s="79">
        <f t="shared" si="2"/>
        <v>120944</v>
      </c>
      <c r="L34" s="81">
        <f t="shared" si="11"/>
        <v>0.8021914609961066</v>
      </c>
      <c r="M34" s="96">
        <f t="shared" si="10"/>
        <v>0.0029182159977371182</v>
      </c>
      <c r="N34" s="97"/>
      <c r="O34" s="100">
        <f>96488+8095+16361</f>
        <v>120944</v>
      </c>
      <c r="P34" s="106" t="s">
        <v>58</v>
      </c>
      <c r="Q34" s="101"/>
      <c r="R34" s="98"/>
      <c r="S34" s="99"/>
      <c r="T34" s="101"/>
      <c r="V34" s="99"/>
      <c r="W34" s="101"/>
      <c r="X34" s="104"/>
      <c r="AF34" s="105" t="e">
        <f>K34-#REF!</f>
        <v>#REF!</v>
      </c>
    </row>
    <row r="35" spans="1:32" s="84" customFormat="1" ht="39.75" customHeight="1">
      <c r="A35" s="94"/>
      <c r="B35" s="83" t="s">
        <v>59</v>
      </c>
      <c r="C35" s="78">
        <f>1436259-103006-65000+16475</f>
        <v>1284728</v>
      </c>
      <c r="D35" s="78">
        <f>686701+32990-120000-47761</f>
        <v>551930</v>
      </c>
      <c r="E35" s="79">
        <f t="shared" si="8"/>
        <v>1836658</v>
      </c>
      <c r="F35" s="78">
        <f>1436259-103006-65000+16475</f>
        <v>1284728</v>
      </c>
      <c r="G35" s="78">
        <f>686701+32990-120000-47761</f>
        <v>551930</v>
      </c>
      <c r="H35" s="79">
        <f t="shared" si="9"/>
        <v>1836658</v>
      </c>
      <c r="I35" s="80">
        <f>876730+307790</f>
        <v>1184520</v>
      </c>
      <c r="J35" s="80">
        <v>529215</v>
      </c>
      <c r="K35" s="79">
        <f t="shared" si="2"/>
        <v>1713735</v>
      </c>
      <c r="L35" s="81">
        <f t="shared" si="11"/>
        <v>0.9330724609589809</v>
      </c>
      <c r="M35" s="96">
        <f t="shared" si="10"/>
        <v>0.0413501198313436</v>
      </c>
      <c r="N35" s="97"/>
      <c r="O35" s="107" t="s">
        <v>60</v>
      </c>
      <c r="P35" s="98"/>
      <c r="Q35" s="101"/>
      <c r="R35" s="98"/>
      <c r="S35" s="98"/>
      <c r="T35" s="101"/>
      <c r="V35" s="98"/>
      <c r="AF35" s="105" t="e">
        <f>K35-#REF!</f>
        <v>#REF!</v>
      </c>
    </row>
    <row r="36" spans="1:32" s="58" customFormat="1" ht="13.5" customHeight="1">
      <c r="A36" s="88">
        <v>4</v>
      </c>
      <c r="B36" s="92" t="s">
        <v>61</v>
      </c>
      <c r="C36" s="55">
        <f>SUM(C37:C52)</f>
        <v>74830306</v>
      </c>
      <c r="D36" s="55">
        <f>SUM(D37:D52)</f>
        <v>9791297</v>
      </c>
      <c r="E36" s="93">
        <f t="shared" si="8"/>
        <v>84621603</v>
      </c>
      <c r="F36" s="55">
        <f>SUM(F37:F52)</f>
        <v>76391351</v>
      </c>
      <c r="G36" s="55">
        <f>SUM(G37:G52)</f>
        <v>11249354</v>
      </c>
      <c r="H36" s="93">
        <f t="shared" si="9"/>
        <v>87640705</v>
      </c>
      <c r="I36" s="55">
        <f>SUM(I37:I52)</f>
        <v>71057097</v>
      </c>
      <c r="J36" s="55">
        <f>SUM(J37:J52)</f>
        <v>7935350</v>
      </c>
      <c r="K36" s="93">
        <f t="shared" si="2"/>
        <v>78992447</v>
      </c>
      <c r="L36" s="32">
        <f t="shared" si="11"/>
        <v>0.9013214464671411</v>
      </c>
      <c r="M36" s="43">
        <f>K36/K7</f>
        <v>0.13959777945851118</v>
      </c>
      <c r="N36" s="44"/>
      <c r="O36" s="56"/>
      <c r="P36" s="56"/>
      <c r="Q36" s="75"/>
      <c r="R36" s="56"/>
      <c r="S36" s="56"/>
      <c r="T36" s="75"/>
      <c r="U36" s="57"/>
      <c r="V36" s="56"/>
      <c r="W36" s="57"/>
      <c r="X36" s="57"/>
      <c r="Y36" s="57"/>
      <c r="Z36" s="57"/>
      <c r="AF36" s="108"/>
    </row>
    <row r="37" spans="1:32" s="70" customFormat="1" ht="22.5" hidden="1">
      <c r="A37" s="60"/>
      <c r="B37" s="74" t="s">
        <v>62</v>
      </c>
      <c r="C37" s="62"/>
      <c r="D37" s="62"/>
      <c r="E37" s="63">
        <f t="shared" si="8"/>
        <v>0</v>
      </c>
      <c r="F37" s="62"/>
      <c r="G37" s="62"/>
      <c r="H37" s="63">
        <f t="shared" si="9"/>
        <v>0</v>
      </c>
      <c r="I37" s="63"/>
      <c r="J37" s="63"/>
      <c r="K37" s="63">
        <f t="shared" si="2"/>
        <v>0</v>
      </c>
      <c r="L37" s="32" t="e">
        <f t="shared" si="11"/>
        <v>#DIV/0!</v>
      </c>
      <c r="M37" s="43"/>
      <c r="N37" s="44"/>
      <c r="O37" s="65"/>
      <c r="P37" s="65"/>
      <c r="Q37" s="75"/>
      <c r="R37" s="65"/>
      <c r="S37" s="65"/>
      <c r="T37" s="75"/>
      <c r="U37" s="73"/>
      <c r="V37" s="69"/>
      <c r="AF37" s="109"/>
    </row>
    <row r="38" spans="1:32" s="70" customFormat="1" ht="11.25" customHeight="1">
      <c r="A38" s="60"/>
      <c r="B38" s="74" t="s">
        <v>63</v>
      </c>
      <c r="C38" s="62">
        <f>66502430+131350</f>
        <v>66633780</v>
      </c>
      <c r="D38" s="62"/>
      <c r="E38" s="63">
        <f t="shared" si="8"/>
        <v>66633780</v>
      </c>
      <c r="F38" s="62">
        <f>63950000</f>
        <v>63950000</v>
      </c>
      <c r="G38" s="62"/>
      <c r="H38" s="63">
        <f t="shared" si="9"/>
        <v>63950000</v>
      </c>
      <c r="I38" s="64">
        <f>64092607-26620</f>
        <v>64065987</v>
      </c>
      <c r="J38" s="64"/>
      <c r="K38" s="63">
        <f t="shared" si="2"/>
        <v>64065987</v>
      </c>
      <c r="L38" s="32">
        <f t="shared" si="11"/>
        <v>1.0018137138389367</v>
      </c>
      <c r="M38" s="43">
        <f aca="true" t="shared" si="12" ref="M38:M60">K38/$K$36</f>
        <v>0.8110394022861451</v>
      </c>
      <c r="N38" s="44"/>
      <c r="O38" s="65">
        <v>60004</v>
      </c>
      <c r="P38" s="66" t="s">
        <v>64</v>
      </c>
      <c r="Q38" s="67">
        <v>63741987</v>
      </c>
      <c r="S38" s="66" t="s">
        <v>65</v>
      </c>
      <c r="T38" s="67">
        <v>74000</v>
      </c>
      <c r="U38" s="73"/>
      <c r="V38" s="110" t="s">
        <v>66</v>
      </c>
      <c r="W38" s="67">
        <v>250000</v>
      </c>
      <c r="X38" s="68">
        <f>SUM(W38,T38,Q38)</f>
        <v>64065987</v>
      </c>
      <c r="AF38" s="109" t="e">
        <f>K38-#REF!</f>
        <v>#REF!</v>
      </c>
    </row>
    <row r="39" spans="1:32" s="70" customFormat="1" ht="21" customHeight="1">
      <c r="A39" s="60"/>
      <c r="B39" s="74" t="s">
        <v>67</v>
      </c>
      <c r="C39" s="62">
        <v>165000</v>
      </c>
      <c r="D39" s="62"/>
      <c r="E39" s="63">
        <f t="shared" si="8"/>
        <v>165000</v>
      </c>
      <c r="F39" s="62">
        <v>179000</v>
      </c>
      <c r="G39" s="62"/>
      <c r="H39" s="63">
        <f t="shared" si="9"/>
        <v>179000</v>
      </c>
      <c r="I39" s="64">
        <v>184000</v>
      </c>
      <c r="J39" s="64"/>
      <c r="K39" s="63">
        <f t="shared" si="2"/>
        <v>184000</v>
      </c>
      <c r="L39" s="32">
        <f t="shared" si="11"/>
        <v>1.0279329608938548</v>
      </c>
      <c r="M39" s="43">
        <f t="shared" si="12"/>
        <v>0.0023293366263232736</v>
      </c>
      <c r="N39" s="44"/>
      <c r="O39" s="65">
        <v>85305</v>
      </c>
      <c r="P39" s="66" t="s">
        <v>64</v>
      </c>
      <c r="Q39" s="67">
        <v>184000</v>
      </c>
      <c r="R39" s="65"/>
      <c r="S39" s="65"/>
      <c r="T39" s="75"/>
      <c r="U39" s="73"/>
      <c r="V39" s="69"/>
      <c r="AF39" s="71" t="e">
        <f>K39-#REF!</f>
        <v>#REF!</v>
      </c>
    </row>
    <row r="40" spans="1:32" s="70" customFormat="1" ht="21.75" customHeight="1">
      <c r="A40" s="60"/>
      <c r="B40" s="74" t="s">
        <v>68</v>
      </c>
      <c r="C40" s="62">
        <v>715000</v>
      </c>
      <c r="D40" s="62"/>
      <c r="E40" s="63">
        <f t="shared" si="8"/>
        <v>715000</v>
      </c>
      <c r="F40" s="62">
        <v>690000</v>
      </c>
      <c r="G40" s="62"/>
      <c r="H40" s="63">
        <f t="shared" si="9"/>
        <v>690000</v>
      </c>
      <c r="I40" s="64">
        <v>700000</v>
      </c>
      <c r="J40" s="64"/>
      <c r="K40" s="63">
        <f t="shared" si="2"/>
        <v>700000</v>
      </c>
      <c r="L40" s="32">
        <f t="shared" si="11"/>
        <v>1.0144927536231885</v>
      </c>
      <c r="M40" s="43">
        <f t="shared" si="12"/>
        <v>0.008861606730577672</v>
      </c>
      <c r="N40" s="44"/>
      <c r="O40" s="65">
        <v>85203</v>
      </c>
      <c r="P40" s="66" t="s">
        <v>64</v>
      </c>
      <c r="Q40" s="67">
        <v>350000</v>
      </c>
      <c r="R40" s="65">
        <v>85228</v>
      </c>
      <c r="S40" s="66" t="s">
        <v>64</v>
      </c>
      <c r="T40" s="67">
        <v>350000</v>
      </c>
      <c r="U40" s="68">
        <f>SUM(T40,Q40)</f>
        <v>700000</v>
      </c>
      <c r="V40" s="69"/>
      <c r="X40" s="111"/>
      <c r="AF40" s="71" t="e">
        <f>K40-#REF!</f>
        <v>#REF!</v>
      </c>
    </row>
    <row r="41" spans="1:32" s="70" customFormat="1" ht="23.25" customHeight="1">
      <c r="A41" s="60"/>
      <c r="B41" s="74" t="s">
        <v>69</v>
      </c>
      <c r="C41" s="62">
        <f>48000+62000+266500</f>
        <v>376500</v>
      </c>
      <c r="D41" s="62"/>
      <c r="E41" s="63">
        <f t="shared" si="8"/>
        <v>376500</v>
      </c>
      <c r="F41" s="62">
        <f>48000+62000+266500</f>
        <v>376500</v>
      </c>
      <c r="G41" s="62"/>
      <c r="H41" s="63">
        <f t="shared" si="9"/>
        <v>376500</v>
      </c>
      <c r="I41" s="64">
        <f>990000-510000</f>
        <v>480000</v>
      </c>
      <c r="J41" s="64"/>
      <c r="K41" s="63">
        <f aca="true" t="shared" si="13" ref="K41:K72">SUM(I41:J41)</f>
        <v>480000</v>
      </c>
      <c r="L41" s="32">
        <f t="shared" si="11"/>
        <v>1.2749003984063745</v>
      </c>
      <c r="M41" s="43">
        <f t="shared" si="12"/>
        <v>0.006076530329538974</v>
      </c>
      <c r="N41" s="44"/>
      <c r="O41" s="65">
        <v>71095</v>
      </c>
      <c r="P41" s="66" t="s">
        <v>49</v>
      </c>
      <c r="Q41" s="67">
        <v>510000</v>
      </c>
      <c r="R41" s="65"/>
      <c r="S41" s="66" t="s">
        <v>64</v>
      </c>
      <c r="T41" s="67">
        <v>480000</v>
      </c>
      <c r="U41" s="68">
        <f>SUM(T41,Q41)</f>
        <v>990000</v>
      </c>
      <c r="V41" s="69"/>
      <c r="AF41" s="109" t="e">
        <f>K41-#REF!</f>
        <v>#REF!</v>
      </c>
    </row>
    <row r="42" spans="1:32" s="70" customFormat="1" ht="21" customHeight="1">
      <c r="A42" s="60"/>
      <c r="B42" s="74" t="s">
        <v>70</v>
      </c>
      <c r="C42" s="62"/>
      <c r="D42" s="62">
        <v>420000</v>
      </c>
      <c r="E42" s="63">
        <f t="shared" si="8"/>
        <v>420000</v>
      </c>
      <c r="F42" s="62"/>
      <c r="G42" s="62">
        <v>420000</v>
      </c>
      <c r="H42" s="63">
        <f t="shared" si="9"/>
        <v>420000</v>
      </c>
      <c r="I42" s="64"/>
      <c r="J42" s="64">
        <v>420000</v>
      </c>
      <c r="K42" s="63">
        <f t="shared" si="13"/>
        <v>420000</v>
      </c>
      <c r="L42" s="32">
        <f t="shared" si="11"/>
        <v>1</v>
      </c>
      <c r="M42" s="43">
        <f t="shared" si="12"/>
        <v>0.005316964038346603</v>
      </c>
      <c r="N42" s="44"/>
      <c r="O42" s="65">
        <v>85202</v>
      </c>
      <c r="P42" s="66" t="s">
        <v>64</v>
      </c>
      <c r="Q42" s="112" t="s">
        <v>192</v>
      </c>
      <c r="R42" s="65"/>
      <c r="T42" s="113" t="s">
        <v>71</v>
      </c>
      <c r="U42" s="114" t="s">
        <v>72</v>
      </c>
      <c r="V42" s="69"/>
      <c r="W42" s="113" t="s">
        <v>71</v>
      </c>
      <c r="X42" s="114" t="s">
        <v>72</v>
      </c>
      <c r="AF42" s="71" t="e">
        <f>K42-#REF!</f>
        <v>#REF!</v>
      </c>
    </row>
    <row r="43" spans="1:32" s="70" customFormat="1" ht="60.75" customHeight="1">
      <c r="A43" s="60"/>
      <c r="B43" s="74" t="s">
        <v>73</v>
      </c>
      <c r="C43" s="62">
        <f>390000+20600</f>
        <v>410600</v>
      </c>
      <c r="D43" s="62">
        <f>29400+10000</f>
        <v>39400</v>
      </c>
      <c r="E43" s="63">
        <f t="shared" si="8"/>
        <v>450000</v>
      </c>
      <c r="F43" s="62">
        <f>390000+15850</f>
        <v>405850</v>
      </c>
      <c r="G43" s="62">
        <v>69850</v>
      </c>
      <c r="H43" s="63">
        <f t="shared" si="9"/>
        <v>475700</v>
      </c>
      <c r="I43" s="64">
        <f>9000+26000+420000</f>
        <v>455000</v>
      </c>
      <c r="J43" s="64">
        <f>33000+2000+23000</f>
        <v>58000</v>
      </c>
      <c r="K43" s="63">
        <f t="shared" si="13"/>
        <v>513000</v>
      </c>
      <c r="L43" s="32">
        <f t="shared" si="11"/>
        <v>1.0784107630859785</v>
      </c>
      <c r="M43" s="43">
        <f t="shared" si="12"/>
        <v>0.006494291789694779</v>
      </c>
      <c r="N43" s="44"/>
      <c r="O43" s="65">
        <v>60004</v>
      </c>
      <c r="P43" s="115" t="s">
        <v>74</v>
      </c>
      <c r="Q43" s="116" t="s">
        <v>193</v>
      </c>
      <c r="R43" s="65">
        <v>75023</v>
      </c>
      <c r="S43" s="66" t="s">
        <v>75</v>
      </c>
      <c r="T43" s="67">
        <f>3000+10000+13000</f>
        <v>26000</v>
      </c>
      <c r="U43" s="67">
        <f>33000+2000</f>
        <v>35000</v>
      </c>
      <c r="V43" s="66" t="s">
        <v>74</v>
      </c>
      <c r="W43" s="67">
        <f>420000</f>
        <v>420000</v>
      </c>
      <c r="X43" s="67">
        <f>15000+8000</f>
        <v>23000</v>
      </c>
      <c r="Y43" s="68">
        <f>SUM(X43,W43,U43,T43,Q43)+9000</f>
        <v>513000</v>
      </c>
      <c r="AF43" s="71" t="e">
        <f>K43-#REF!</f>
        <v>#REF!</v>
      </c>
    </row>
    <row r="44" spans="1:32" s="70" customFormat="1" ht="21" customHeight="1">
      <c r="A44" s="117"/>
      <c r="B44" s="61" t="s">
        <v>76</v>
      </c>
      <c r="C44" s="62"/>
      <c r="D44" s="62">
        <v>2285000</v>
      </c>
      <c r="E44" s="63">
        <f t="shared" si="8"/>
        <v>2285000</v>
      </c>
      <c r="F44" s="62"/>
      <c r="G44" s="62">
        <v>1800000</v>
      </c>
      <c r="H44" s="63">
        <f t="shared" si="9"/>
        <v>1800000</v>
      </c>
      <c r="I44" s="64"/>
      <c r="J44" s="64">
        <v>2125000</v>
      </c>
      <c r="K44" s="63">
        <f t="shared" si="13"/>
        <v>2125000</v>
      </c>
      <c r="L44" s="32">
        <f t="shared" si="11"/>
        <v>1.1805555555555556</v>
      </c>
      <c r="M44" s="43">
        <f t="shared" si="12"/>
        <v>0.026901306146396502</v>
      </c>
      <c r="N44" s="44"/>
      <c r="O44" s="65">
        <v>70005</v>
      </c>
      <c r="P44" s="65">
        <v>2360</v>
      </c>
      <c r="Q44" s="67">
        <v>1800000</v>
      </c>
      <c r="R44" s="65"/>
      <c r="S44" s="65"/>
      <c r="T44" s="75"/>
      <c r="U44" s="73"/>
      <c r="V44" s="69"/>
      <c r="AF44" s="71" t="e">
        <f>K44-#REF!</f>
        <v>#REF!</v>
      </c>
    </row>
    <row r="45" spans="1:32" s="70" customFormat="1" ht="21.75" customHeight="1">
      <c r="A45" s="117"/>
      <c r="B45" s="74" t="s">
        <v>77</v>
      </c>
      <c r="C45" s="62">
        <f>81000+350+750-11765</f>
        <v>70335</v>
      </c>
      <c r="D45" s="62">
        <f>1250+1100+250</f>
        <v>2600</v>
      </c>
      <c r="E45" s="63">
        <f t="shared" si="8"/>
        <v>72935</v>
      </c>
      <c r="F45" s="62">
        <f>81000+350+750-11765</f>
        <v>70335</v>
      </c>
      <c r="G45" s="62">
        <f>1250+1100+250</f>
        <v>2600</v>
      </c>
      <c r="H45" s="63">
        <f t="shared" si="9"/>
        <v>72935</v>
      </c>
      <c r="I45" s="64">
        <f>61325+325+460</f>
        <v>62110</v>
      </c>
      <c r="J45" s="64">
        <v>850</v>
      </c>
      <c r="K45" s="63">
        <f t="shared" si="13"/>
        <v>62960</v>
      </c>
      <c r="L45" s="32">
        <f t="shared" si="11"/>
        <v>0.8632343867827518</v>
      </c>
      <c r="M45" s="43">
        <f t="shared" si="12"/>
        <v>0.0007970382282245288</v>
      </c>
      <c r="N45" s="44"/>
      <c r="O45" s="66">
        <v>2360</v>
      </c>
      <c r="P45" s="65">
        <v>75011</v>
      </c>
      <c r="Q45" s="113" t="s">
        <v>71</v>
      </c>
      <c r="R45" s="67">
        <v>70270</v>
      </c>
      <c r="S45" s="65">
        <v>85203</v>
      </c>
      <c r="T45" s="67">
        <v>350</v>
      </c>
      <c r="U45" s="65">
        <v>85228</v>
      </c>
      <c r="V45" s="67">
        <v>760</v>
      </c>
      <c r="W45" s="114" t="s">
        <v>72</v>
      </c>
      <c r="X45" s="65">
        <v>75011</v>
      </c>
      <c r="Y45" s="67">
        <v>1270</v>
      </c>
      <c r="Z45" s="65">
        <v>71015</v>
      </c>
      <c r="AA45" s="67">
        <v>250</v>
      </c>
      <c r="AB45" s="65">
        <v>75411</v>
      </c>
      <c r="AC45" s="67">
        <v>1100</v>
      </c>
      <c r="AD45" s="68">
        <f>SUM(AC45,AA45,Y45,V45,T45,R45)</f>
        <v>74000</v>
      </c>
      <c r="AF45" s="109" t="e">
        <f>K45-#REF!</f>
        <v>#REF!</v>
      </c>
    </row>
    <row r="46" spans="1:32" s="70" customFormat="1" ht="21" customHeight="1">
      <c r="A46" s="60"/>
      <c r="B46" s="61" t="s">
        <v>78</v>
      </c>
      <c r="C46" s="62">
        <f>3300000+500000+100000</f>
        <v>3900000</v>
      </c>
      <c r="D46" s="62"/>
      <c r="E46" s="63">
        <f t="shared" si="8"/>
        <v>3900000</v>
      </c>
      <c r="F46" s="62">
        <v>4100000</v>
      </c>
      <c r="G46" s="62"/>
      <c r="H46" s="63">
        <f t="shared" si="9"/>
        <v>4100000</v>
      </c>
      <c r="I46" s="64">
        <v>4180000</v>
      </c>
      <c r="J46" s="64"/>
      <c r="K46" s="63">
        <f t="shared" si="13"/>
        <v>4180000</v>
      </c>
      <c r="L46" s="32">
        <f t="shared" si="11"/>
        <v>1.0195121951219512</v>
      </c>
      <c r="M46" s="43">
        <f t="shared" si="12"/>
        <v>0.05291645161973524</v>
      </c>
      <c r="N46" s="44"/>
      <c r="O46" s="65">
        <v>75618</v>
      </c>
      <c r="P46" s="66" t="s">
        <v>79</v>
      </c>
      <c r="Q46" s="72">
        <v>4100000</v>
      </c>
      <c r="R46" s="65"/>
      <c r="S46" s="65"/>
      <c r="T46" s="75"/>
      <c r="U46" s="73"/>
      <c r="V46" s="69"/>
      <c r="AF46" s="109" t="e">
        <f>K46-#REF!</f>
        <v>#REF!</v>
      </c>
    </row>
    <row r="47" spans="1:32" s="70" customFormat="1" ht="24.75" customHeight="1">
      <c r="A47" s="118"/>
      <c r="B47" s="119" t="s">
        <v>80</v>
      </c>
      <c r="C47" s="62"/>
      <c r="D47" s="62">
        <v>4510000</v>
      </c>
      <c r="E47" s="63">
        <f t="shared" si="8"/>
        <v>4510000</v>
      </c>
      <c r="F47" s="32"/>
      <c r="G47" s="62">
        <v>4510000</v>
      </c>
      <c r="H47" s="63">
        <f t="shared" si="9"/>
        <v>4510000</v>
      </c>
      <c r="I47" s="64"/>
      <c r="J47" s="64">
        <v>4500000</v>
      </c>
      <c r="K47" s="63">
        <f t="shared" si="13"/>
        <v>4500000</v>
      </c>
      <c r="L47" s="32">
        <f t="shared" si="11"/>
        <v>0.9977827050997783</v>
      </c>
      <c r="M47" s="43">
        <f t="shared" si="12"/>
        <v>0.05696747183942789</v>
      </c>
      <c r="N47" s="44"/>
      <c r="O47" s="65">
        <v>75618</v>
      </c>
      <c r="P47" s="65" t="s">
        <v>81</v>
      </c>
      <c r="Q47" s="67">
        <v>4500000</v>
      </c>
      <c r="R47" s="65"/>
      <c r="S47" s="65"/>
      <c r="T47" s="75"/>
      <c r="U47" s="73"/>
      <c r="V47" s="69"/>
      <c r="AF47" s="71" t="e">
        <f>K47-#REF!</f>
        <v>#REF!</v>
      </c>
    </row>
    <row r="48" spans="1:32" s="70" customFormat="1" ht="20.25" customHeight="1">
      <c r="A48" s="60"/>
      <c r="B48" s="74" t="s">
        <v>82</v>
      </c>
      <c r="C48" s="62">
        <v>100000</v>
      </c>
      <c r="D48" s="62"/>
      <c r="E48" s="63">
        <f t="shared" si="8"/>
        <v>100000</v>
      </c>
      <c r="F48" s="62">
        <v>70000</v>
      </c>
      <c r="G48" s="62"/>
      <c r="H48" s="63">
        <f t="shared" si="9"/>
        <v>70000</v>
      </c>
      <c r="I48" s="64">
        <v>70000</v>
      </c>
      <c r="J48" s="64"/>
      <c r="K48" s="63">
        <f t="shared" si="13"/>
        <v>70000</v>
      </c>
      <c r="L48" s="32">
        <f t="shared" si="11"/>
        <v>1</v>
      </c>
      <c r="M48" s="43">
        <f t="shared" si="12"/>
        <v>0.0008861606730577672</v>
      </c>
      <c r="N48" s="44"/>
      <c r="O48" s="65">
        <v>60095</v>
      </c>
      <c r="P48" s="66" t="s">
        <v>74</v>
      </c>
      <c r="Q48" s="67">
        <v>70000</v>
      </c>
      <c r="R48" s="65"/>
      <c r="S48" s="65"/>
      <c r="T48" s="75"/>
      <c r="U48" s="73"/>
      <c r="V48" s="69"/>
      <c r="AF48" s="71" t="e">
        <f>K48-#REF!</f>
        <v>#REF!</v>
      </c>
    </row>
    <row r="49" spans="1:32" s="73" customFormat="1" ht="36.75" customHeight="1">
      <c r="A49" s="117"/>
      <c r="B49" s="74" t="s">
        <v>83</v>
      </c>
      <c r="C49" s="62"/>
      <c r="D49" s="62">
        <f>780000+40000</f>
        <v>820000</v>
      </c>
      <c r="E49" s="63">
        <f t="shared" si="8"/>
        <v>820000</v>
      </c>
      <c r="F49" s="62"/>
      <c r="G49" s="62">
        <f>900000-80000</f>
        <v>820000</v>
      </c>
      <c r="H49" s="63">
        <f t="shared" si="9"/>
        <v>820000</v>
      </c>
      <c r="I49" s="64"/>
      <c r="J49" s="64">
        <f>913500-82000</f>
        <v>831500</v>
      </c>
      <c r="K49" s="63">
        <f t="shared" si="13"/>
        <v>831500</v>
      </c>
      <c r="L49" s="32">
        <f t="shared" si="11"/>
        <v>1.0140243902439023</v>
      </c>
      <c r="M49" s="43">
        <f t="shared" si="12"/>
        <v>0.01052632285210762</v>
      </c>
      <c r="N49" s="44"/>
      <c r="O49" s="65">
        <v>60015</v>
      </c>
      <c r="P49" s="66" t="s">
        <v>74</v>
      </c>
      <c r="Q49" s="120">
        <v>790000</v>
      </c>
      <c r="R49" s="65"/>
      <c r="S49" s="66" t="s">
        <v>49</v>
      </c>
      <c r="T49" s="120">
        <v>82000</v>
      </c>
      <c r="V49" s="66" t="s">
        <v>66</v>
      </c>
      <c r="W49" s="120">
        <v>41500</v>
      </c>
      <c r="X49" s="68">
        <f>SUM(W49,T49,Q49)</f>
        <v>913500</v>
      </c>
      <c r="AF49" s="109" t="e">
        <f>K49-#REF!</f>
        <v>#REF!</v>
      </c>
    </row>
    <row r="50" spans="1:32" s="3" customFormat="1" ht="21.75" customHeight="1">
      <c r="A50" s="118"/>
      <c r="B50" s="119" t="s">
        <v>84</v>
      </c>
      <c r="C50" s="62">
        <v>700000</v>
      </c>
      <c r="D50" s="62"/>
      <c r="E50" s="63">
        <f t="shared" si="8"/>
        <v>700000</v>
      </c>
      <c r="F50" s="62">
        <v>700000</v>
      </c>
      <c r="G50" s="62"/>
      <c r="H50" s="63">
        <f t="shared" si="9"/>
        <v>700000</v>
      </c>
      <c r="I50" s="64">
        <v>700000</v>
      </c>
      <c r="J50" s="64"/>
      <c r="K50" s="63">
        <f t="shared" si="13"/>
        <v>700000</v>
      </c>
      <c r="L50" s="32">
        <f t="shared" si="11"/>
        <v>1</v>
      </c>
      <c r="M50" s="43">
        <f t="shared" si="12"/>
        <v>0.008861606730577672</v>
      </c>
      <c r="N50" s="44"/>
      <c r="O50" s="65">
        <v>75814</v>
      </c>
      <c r="P50" s="87" t="s">
        <v>65</v>
      </c>
      <c r="Q50" s="67">
        <v>700000</v>
      </c>
      <c r="R50" s="6"/>
      <c r="S50" s="6"/>
      <c r="T50" s="75"/>
      <c r="V50" s="6"/>
      <c r="AF50" s="109" t="e">
        <f>K50-#REF!</f>
        <v>#REF!</v>
      </c>
    </row>
    <row r="51" spans="1:32" s="70" customFormat="1" ht="22.5" customHeight="1">
      <c r="A51" s="60"/>
      <c r="B51" s="74" t="s">
        <v>85</v>
      </c>
      <c r="C51" s="62">
        <v>100000</v>
      </c>
      <c r="D51" s="62"/>
      <c r="E51" s="63">
        <f t="shared" si="8"/>
        <v>100000</v>
      </c>
      <c r="F51" s="62">
        <v>100000</v>
      </c>
      <c r="G51" s="62"/>
      <c r="H51" s="63">
        <f t="shared" si="9"/>
        <v>100000</v>
      </c>
      <c r="I51" s="64">
        <v>110000</v>
      </c>
      <c r="J51" s="64"/>
      <c r="K51" s="63">
        <f t="shared" si="13"/>
        <v>110000</v>
      </c>
      <c r="L51" s="32">
        <f t="shared" si="11"/>
        <v>1.1</v>
      </c>
      <c r="M51" s="43">
        <f t="shared" si="12"/>
        <v>0.0013925382005193483</v>
      </c>
      <c r="N51" s="44"/>
      <c r="O51" s="65">
        <v>92601</v>
      </c>
      <c r="P51" s="66" t="s">
        <v>74</v>
      </c>
      <c r="Q51" s="67">
        <v>110000</v>
      </c>
      <c r="R51" s="65"/>
      <c r="S51" s="65"/>
      <c r="T51" s="75"/>
      <c r="U51" s="73"/>
      <c r="V51" s="69"/>
      <c r="AF51" s="109" t="e">
        <f>K51-#REF!</f>
        <v>#REF!</v>
      </c>
    </row>
    <row r="52" spans="1:32" s="70" customFormat="1" ht="12" customHeight="1">
      <c r="A52" s="60"/>
      <c r="B52" s="74" t="s">
        <v>86</v>
      </c>
      <c r="C52" s="62">
        <f>SUM(C53:C60)</f>
        <v>1659091</v>
      </c>
      <c r="D52" s="62">
        <f>SUM(D53:D60)</f>
        <v>1714297</v>
      </c>
      <c r="E52" s="63">
        <f t="shared" si="8"/>
        <v>3373388</v>
      </c>
      <c r="F52" s="62">
        <f>SUM(F53:F60)</f>
        <v>5749666</v>
      </c>
      <c r="G52" s="62">
        <f>SUM(G53:G60)</f>
        <v>3626904</v>
      </c>
      <c r="H52" s="63">
        <f t="shared" si="9"/>
        <v>9376570</v>
      </c>
      <c r="I52" s="64">
        <f>SUM(I53:I59)</f>
        <v>50000</v>
      </c>
      <c r="J52" s="64">
        <f>SUM(J53:J59)</f>
        <v>0</v>
      </c>
      <c r="K52" s="63">
        <f t="shared" si="13"/>
        <v>50000</v>
      </c>
      <c r="L52" s="32">
        <f t="shared" si="11"/>
        <v>0.005332440327326517</v>
      </c>
      <c r="M52" s="43">
        <f t="shared" si="12"/>
        <v>0.0006329719093269765</v>
      </c>
      <c r="N52" s="44"/>
      <c r="O52" s="65"/>
      <c r="P52" s="65"/>
      <c r="Q52" s="75"/>
      <c r="R52" s="65"/>
      <c r="S52" s="65"/>
      <c r="T52" s="75"/>
      <c r="U52" s="73"/>
      <c r="V52" s="69"/>
      <c r="AF52" s="109"/>
    </row>
    <row r="53" spans="1:32" s="82" customFormat="1" ht="12.75" customHeight="1">
      <c r="A53" s="94"/>
      <c r="B53" s="77" t="s">
        <v>87</v>
      </c>
      <c r="C53" s="78">
        <v>50000</v>
      </c>
      <c r="D53" s="78"/>
      <c r="E53" s="79">
        <f t="shared" si="8"/>
        <v>50000</v>
      </c>
      <c r="F53" s="78">
        <v>50000</v>
      </c>
      <c r="G53" s="78"/>
      <c r="H53" s="79">
        <f t="shared" si="9"/>
        <v>50000</v>
      </c>
      <c r="I53" s="80">
        <v>50000</v>
      </c>
      <c r="J53" s="80"/>
      <c r="K53" s="79">
        <f t="shared" si="13"/>
        <v>50000</v>
      </c>
      <c r="L53" s="81">
        <f t="shared" si="11"/>
        <v>1</v>
      </c>
      <c r="M53" s="96">
        <f t="shared" si="12"/>
        <v>0.0006329719093269765</v>
      </c>
      <c r="N53" s="97"/>
      <c r="O53" s="98">
        <v>75416</v>
      </c>
      <c r="P53" s="99" t="s">
        <v>88</v>
      </c>
      <c r="Q53" s="100">
        <v>50000</v>
      </c>
      <c r="R53" s="98"/>
      <c r="S53" s="98"/>
      <c r="T53" s="101"/>
      <c r="U53" s="84"/>
      <c r="V53" s="102"/>
      <c r="AF53" s="103" t="e">
        <f>K53-#REF!</f>
        <v>#REF!</v>
      </c>
    </row>
    <row r="54" spans="1:32" s="82" customFormat="1" ht="33.75" hidden="1">
      <c r="A54" s="76"/>
      <c r="B54" s="77" t="s">
        <v>89</v>
      </c>
      <c r="C54" s="78"/>
      <c r="D54" s="78"/>
      <c r="E54" s="79">
        <f t="shared" si="8"/>
        <v>0</v>
      </c>
      <c r="F54" s="78"/>
      <c r="G54" s="78"/>
      <c r="H54" s="79">
        <f t="shared" si="9"/>
        <v>0</v>
      </c>
      <c r="I54" s="80"/>
      <c r="J54" s="80"/>
      <c r="K54" s="79">
        <f t="shared" si="13"/>
        <v>0</v>
      </c>
      <c r="L54" s="81" t="e">
        <f t="shared" si="11"/>
        <v>#DIV/0!</v>
      </c>
      <c r="M54" s="96">
        <f t="shared" si="12"/>
        <v>0</v>
      </c>
      <c r="N54" s="97"/>
      <c r="O54" s="98"/>
      <c r="P54" s="98"/>
      <c r="Q54" s="101"/>
      <c r="R54" s="98"/>
      <c r="S54" s="98"/>
      <c r="T54" s="101"/>
      <c r="U54" s="84"/>
      <c r="V54" s="102"/>
      <c r="AF54" s="105" t="e">
        <f>K54-#REF!</f>
        <v>#REF!</v>
      </c>
    </row>
    <row r="55" spans="1:32" s="82" customFormat="1" ht="22.5" hidden="1">
      <c r="A55" s="76"/>
      <c r="B55" s="77" t="s">
        <v>90</v>
      </c>
      <c r="C55" s="78"/>
      <c r="D55" s="78"/>
      <c r="E55" s="79">
        <f t="shared" si="8"/>
        <v>0</v>
      </c>
      <c r="F55" s="78"/>
      <c r="G55" s="78"/>
      <c r="H55" s="79">
        <f t="shared" si="9"/>
        <v>0</v>
      </c>
      <c r="I55" s="80"/>
      <c r="J55" s="80"/>
      <c r="K55" s="79">
        <f t="shared" si="13"/>
        <v>0</v>
      </c>
      <c r="L55" s="81" t="e">
        <f t="shared" si="11"/>
        <v>#DIV/0!</v>
      </c>
      <c r="M55" s="96">
        <f t="shared" si="12"/>
        <v>0</v>
      </c>
      <c r="N55" s="97"/>
      <c r="O55" s="98"/>
      <c r="P55" s="98"/>
      <c r="Q55" s="101"/>
      <c r="R55" s="98"/>
      <c r="S55" s="98"/>
      <c r="T55" s="101"/>
      <c r="U55" s="84"/>
      <c r="V55" s="102"/>
      <c r="AF55" s="105" t="e">
        <f>K55-#REF!</f>
        <v>#REF!</v>
      </c>
    </row>
    <row r="56" spans="1:32" s="82" customFormat="1" ht="12" customHeight="1" hidden="1">
      <c r="A56" s="76"/>
      <c r="B56" s="77" t="s">
        <v>91</v>
      </c>
      <c r="C56" s="78"/>
      <c r="D56" s="78"/>
      <c r="E56" s="79">
        <f t="shared" si="8"/>
        <v>0</v>
      </c>
      <c r="F56" s="78"/>
      <c r="G56" s="78"/>
      <c r="H56" s="79">
        <f t="shared" si="9"/>
        <v>0</v>
      </c>
      <c r="I56" s="80"/>
      <c r="J56" s="80"/>
      <c r="K56" s="79">
        <f t="shared" si="13"/>
        <v>0</v>
      </c>
      <c r="L56" s="81" t="e">
        <f t="shared" si="11"/>
        <v>#DIV/0!</v>
      </c>
      <c r="M56" s="96">
        <f t="shared" si="12"/>
        <v>0</v>
      </c>
      <c r="N56" s="97"/>
      <c r="O56" s="98"/>
      <c r="P56" s="98"/>
      <c r="Q56" s="101"/>
      <c r="R56" s="98"/>
      <c r="S56" s="98"/>
      <c r="T56" s="101"/>
      <c r="U56" s="84"/>
      <c r="V56" s="102"/>
      <c r="AF56" s="105" t="e">
        <f>K56-#REF!</f>
        <v>#REF!</v>
      </c>
    </row>
    <row r="57" spans="1:32" s="82" customFormat="1" ht="27" customHeight="1" hidden="1">
      <c r="A57" s="76"/>
      <c r="B57" s="77" t="s">
        <v>90</v>
      </c>
      <c r="C57" s="78"/>
      <c r="D57" s="78"/>
      <c r="E57" s="79">
        <f t="shared" si="8"/>
        <v>0</v>
      </c>
      <c r="F57" s="78"/>
      <c r="G57" s="78"/>
      <c r="H57" s="79">
        <f t="shared" si="9"/>
        <v>0</v>
      </c>
      <c r="I57" s="80"/>
      <c r="J57" s="80"/>
      <c r="K57" s="79">
        <f t="shared" si="13"/>
        <v>0</v>
      </c>
      <c r="L57" s="81" t="e">
        <f t="shared" si="11"/>
        <v>#DIV/0!</v>
      </c>
      <c r="M57" s="96">
        <f t="shared" si="12"/>
        <v>0</v>
      </c>
      <c r="N57" s="97"/>
      <c r="O57" s="98"/>
      <c r="P57" s="98"/>
      <c r="Q57" s="101"/>
      <c r="R57" s="98"/>
      <c r="S57" s="98"/>
      <c r="T57" s="101"/>
      <c r="U57" s="84"/>
      <c r="V57" s="102"/>
      <c r="AF57" s="105" t="e">
        <f>K57-#REF!</f>
        <v>#REF!</v>
      </c>
    </row>
    <row r="58" spans="1:32" s="82" customFormat="1" ht="13.5" customHeight="1">
      <c r="A58" s="76"/>
      <c r="B58" s="77" t="s">
        <v>92</v>
      </c>
      <c r="C58" s="78">
        <f>53180+18332+281204+58730+258037+3859+9</f>
        <v>673351</v>
      </c>
      <c r="D58" s="78">
        <f>417392+7062+406206+118914+38671+3581+66420+155789+151989</f>
        <v>1366024</v>
      </c>
      <c r="E58" s="79">
        <f t="shared" si="8"/>
        <v>2039375</v>
      </c>
      <c r="F58" s="78">
        <f>53180+18332+281204+58730+258037+3859+9</f>
        <v>673351</v>
      </c>
      <c r="G58" s="78">
        <f>417392+7062+406206+118914+38671+3581+66420+155789+151989</f>
        <v>1366024</v>
      </c>
      <c r="H58" s="79">
        <f t="shared" si="9"/>
        <v>2039375</v>
      </c>
      <c r="I58" s="80"/>
      <c r="J58" s="80"/>
      <c r="K58" s="79">
        <f t="shared" si="13"/>
        <v>0</v>
      </c>
      <c r="L58" s="81">
        <f t="shared" si="11"/>
        <v>0</v>
      </c>
      <c r="M58" s="96">
        <f t="shared" si="12"/>
        <v>0</v>
      </c>
      <c r="N58" s="97"/>
      <c r="O58" s="98"/>
      <c r="P58" s="98"/>
      <c r="Q58" s="101"/>
      <c r="R58" s="98"/>
      <c r="S58" s="98"/>
      <c r="T58" s="101"/>
      <c r="U58" s="84"/>
      <c r="V58" s="102"/>
      <c r="AF58" s="105" t="e">
        <f>K58-#REF!</f>
        <v>#REF!</v>
      </c>
    </row>
    <row r="59" spans="1:32" s="82" customFormat="1" ht="21" customHeight="1">
      <c r="A59" s="76"/>
      <c r="B59" s="77" t="s">
        <v>93</v>
      </c>
      <c r="C59" s="78">
        <v>935740</v>
      </c>
      <c r="D59" s="78">
        <v>348273</v>
      </c>
      <c r="E59" s="79">
        <f t="shared" si="8"/>
        <v>1284013</v>
      </c>
      <c r="F59" s="78">
        <v>935740</v>
      </c>
      <c r="G59" s="78">
        <v>348273</v>
      </c>
      <c r="H59" s="79">
        <f t="shared" si="9"/>
        <v>1284013</v>
      </c>
      <c r="I59" s="80"/>
      <c r="J59" s="80"/>
      <c r="K59" s="79">
        <f t="shared" si="13"/>
        <v>0</v>
      </c>
      <c r="L59" s="81">
        <f t="shared" si="11"/>
        <v>0</v>
      </c>
      <c r="M59" s="96">
        <f t="shared" si="12"/>
        <v>0</v>
      </c>
      <c r="N59" s="97" t="e">
        <f>H59/I59</f>
        <v>#DIV/0!</v>
      </c>
      <c r="O59" s="121"/>
      <c r="P59" s="121"/>
      <c r="Q59" s="122"/>
      <c r="R59" s="98"/>
      <c r="S59" s="98"/>
      <c r="T59" s="101"/>
      <c r="U59" s="84"/>
      <c r="V59" s="102"/>
      <c r="AF59" s="105" t="e">
        <f>K59-#REF!</f>
        <v>#REF!</v>
      </c>
    </row>
    <row r="60" spans="1:32" s="82" customFormat="1" ht="13.5" customHeight="1">
      <c r="A60" s="76"/>
      <c r="B60" s="77" t="s">
        <v>94</v>
      </c>
      <c r="C60" s="78"/>
      <c r="D60" s="78"/>
      <c r="E60" s="79">
        <f t="shared" si="8"/>
        <v>0</v>
      </c>
      <c r="F60" s="78">
        <f>2640244+2015+1194478+253838</f>
        <v>4090575</v>
      </c>
      <c r="G60" s="78">
        <v>1912607</v>
      </c>
      <c r="H60" s="79">
        <f t="shared" si="9"/>
        <v>6003182</v>
      </c>
      <c r="I60" s="80"/>
      <c r="J60" s="80"/>
      <c r="K60" s="79">
        <f t="shared" si="13"/>
        <v>0</v>
      </c>
      <c r="L60" s="81">
        <f t="shared" si="11"/>
        <v>0</v>
      </c>
      <c r="M60" s="96">
        <f t="shared" si="12"/>
        <v>0</v>
      </c>
      <c r="N60" s="97"/>
      <c r="O60" s="121"/>
      <c r="P60" s="121"/>
      <c r="Q60" s="122"/>
      <c r="R60" s="98"/>
      <c r="S60" s="98"/>
      <c r="T60" s="101"/>
      <c r="U60" s="84"/>
      <c r="V60" s="102"/>
      <c r="AF60" s="105"/>
    </row>
    <row r="61" spans="1:32" s="58" customFormat="1" ht="36" customHeight="1">
      <c r="A61" s="88">
        <v>5</v>
      </c>
      <c r="B61" s="92" t="s">
        <v>95</v>
      </c>
      <c r="C61" s="55">
        <f>SUM(C62:C69)</f>
        <v>3403217</v>
      </c>
      <c r="D61" s="55">
        <f>SUM(D62:D69)</f>
        <v>1136369</v>
      </c>
      <c r="E61" s="93">
        <f t="shared" si="8"/>
        <v>4539586</v>
      </c>
      <c r="F61" s="55">
        <f>SUM(F62:F69)</f>
        <v>3403217</v>
      </c>
      <c r="G61" s="55">
        <f>SUM(G62:G69)</f>
        <v>1136369</v>
      </c>
      <c r="H61" s="93">
        <f t="shared" si="9"/>
        <v>4539586</v>
      </c>
      <c r="I61" s="55">
        <f>SUM(I62:I69)</f>
        <v>3454264</v>
      </c>
      <c r="J61" s="55">
        <f>SUM(J62:J69)</f>
        <v>995180</v>
      </c>
      <c r="K61" s="93">
        <f t="shared" si="13"/>
        <v>4449444</v>
      </c>
      <c r="L61" s="32">
        <f t="shared" si="11"/>
        <v>0.9801431231834797</v>
      </c>
      <c r="M61" s="43">
        <f>K61/K6</f>
        <v>0.005852551383588182</v>
      </c>
      <c r="N61" s="44"/>
      <c r="O61" s="56"/>
      <c r="P61" s="56"/>
      <c r="Q61" s="75"/>
      <c r="R61" s="56"/>
      <c r="S61" s="56"/>
      <c r="T61" s="75"/>
      <c r="U61" s="57"/>
      <c r="V61" s="56"/>
      <c r="W61" s="57"/>
      <c r="X61" s="57"/>
      <c r="Y61" s="57"/>
      <c r="Z61" s="57"/>
      <c r="AF61" s="108"/>
    </row>
    <row r="62" spans="1:32" s="128" customFormat="1" ht="14.25" customHeight="1">
      <c r="A62" s="118"/>
      <c r="B62" s="123" t="s">
        <v>96</v>
      </c>
      <c r="C62" s="62"/>
      <c r="D62" s="124">
        <f>500000+150111</f>
        <v>650111</v>
      </c>
      <c r="E62" s="63">
        <f t="shared" si="8"/>
        <v>650111</v>
      </c>
      <c r="F62" s="62"/>
      <c r="G62" s="124">
        <f>500000+150111</f>
        <v>650111</v>
      </c>
      <c r="H62" s="63">
        <f t="shared" si="9"/>
        <v>650111</v>
      </c>
      <c r="I62" s="64"/>
      <c r="J62" s="64">
        <f>507500+78420</f>
        <v>585920</v>
      </c>
      <c r="K62" s="63">
        <f t="shared" si="13"/>
        <v>585920</v>
      </c>
      <c r="L62" s="32">
        <f t="shared" si="11"/>
        <v>0.9012614768862548</v>
      </c>
      <c r="M62" s="43">
        <f aca="true" t="shared" si="14" ref="M62:M68">K62/$K$61</f>
        <v>0.1316838688159689</v>
      </c>
      <c r="N62" s="44"/>
      <c r="O62" s="65">
        <v>80140</v>
      </c>
      <c r="P62" s="66" t="s">
        <v>97</v>
      </c>
      <c r="Q62" s="67">
        <v>507500</v>
      </c>
      <c r="R62" s="65">
        <v>80104</v>
      </c>
      <c r="S62" s="125">
        <v>2310</v>
      </c>
      <c r="T62" s="67">
        <v>78420</v>
      </c>
      <c r="U62" s="68">
        <f>SUM(T62,Q62)</f>
        <v>585920</v>
      </c>
      <c r="V62" s="126"/>
      <c r="W62" s="127"/>
      <c r="X62" s="127"/>
      <c r="Y62" s="127"/>
      <c r="Z62" s="127"/>
      <c r="AF62" s="9" t="e">
        <f>K62-#REF!</f>
        <v>#REF!</v>
      </c>
    </row>
    <row r="63" spans="1:32" ht="12" customHeight="1">
      <c r="A63" s="118"/>
      <c r="B63" s="129" t="s">
        <v>98</v>
      </c>
      <c r="C63" s="62"/>
      <c r="D63" s="62">
        <v>12300</v>
      </c>
      <c r="E63" s="63">
        <f t="shared" si="8"/>
        <v>12300</v>
      </c>
      <c r="F63" s="62"/>
      <c r="G63" s="62">
        <v>12300</v>
      </c>
      <c r="H63" s="63">
        <f t="shared" si="9"/>
        <v>12300</v>
      </c>
      <c r="I63" s="64"/>
      <c r="J63" s="64">
        <v>12500</v>
      </c>
      <c r="K63" s="63">
        <f t="shared" si="13"/>
        <v>12500</v>
      </c>
      <c r="L63" s="32">
        <f t="shared" si="11"/>
        <v>1.016260162601626</v>
      </c>
      <c r="M63" s="43">
        <f t="shared" si="14"/>
        <v>0.0028093397736885777</v>
      </c>
      <c r="N63" s="44"/>
      <c r="O63" s="65">
        <v>75023</v>
      </c>
      <c r="P63" s="66">
        <v>2320</v>
      </c>
      <c r="Q63" s="67">
        <v>12500</v>
      </c>
      <c r="T63" s="75"/>
      <c r="AF63" s="9" t="e">
        <f>K63-#REF!</f>
        <v>#REF!</v>
      </c>
    </row>
    <row r="64" spans="1:32" s="40" customFormat="1" ht="21.75" customHeight="1">
      <c r="A64" s="118"/>
      <c r="B64" s="130" t="s">
        <v>99</v>
      </c>
      <c r="C64" s="62"/>
      <c r="D64" s="124">
        <f>144478+3802</f>
        <v>148280</v>
      </c>
      <c r="E64" s="63">
        <f t="shared" si="8"/>
        <v>148280</v>
      </c>
      <c r="F64" s="62"/>
      <c r="G64" s="124">
        <f>144478+3802</f>
        <v>148280</v>
      </c>
      <c r="H64" s="63">
        <f t="shared" si="9"/>
        <v>148280</v>
      </c>
      <c r="I64" s="64"/>
      <c r="J64" s="64">
        <v>150000</v>
      </c>
      <c r="K64" s="63">
        <f t="shared" si="13"/>
        <v>150000</v>
      </c>
      <c r="L64" s="32">
        <f t="shared" si="11"/>
        <v>1.0115996762881037</v>
      </c>
      <c r="M64" s="43">
        <f t="shared" si="14"/>
        <v>0.03371207728426293</v>
      </c>
      <c r="N64" s="44"/>
      <c r="O64" s="65">
        <v>85333</v>
      </c>
      <c r="P64" s="66">
        <v>2320</v>
      </c>
      <c r="Q64" s="67">
        <v>150000</v>
      </c>
      <c r="R64" s="6"/>
      <c r="S64" s="6"/>
      <c r="T64" s="75"/>
      <c r="U64" s="3"/>
      <c r="V64" s="7"/>
      <c r="W64" s="8"/>
      <c r="X64" s="8"/>
      <c r="Y64" s="8"/>
      <c r="Z64" s="8"/>
      <c r="AF64" s="9" t="e">
        <f>K64-#REF!</f>
        <v>#REF!</v>
      </c>
    </row>
    <row r="65" spans="1:32" s="40" customFormat="1" ht="15" customHeight="1">
      <c r="A65" s="118"/>
      <c r="B65" s="130" t="s">
        <v>100</v>
      </c>
      <c r="C65" s="62"/>
      <c r="D65" s="124">
        <f>46700+30478</f>
        <v>77178</v>
      </c>
      <c r="E65" s="63">
        <f t="shared" si="8"/>
        <v>77178</v>
      </c>
      <c r="F65" s="62"/>
      <c r="G65" s="124">
        <f>46700+30478</f>
        <v>77178</v>
      </c>
      <c r="H65" s="63">
        <f t="shared" si="9"/>
        <v>77178</v>
      </c>
      <c r="I65" s="64"/>
      <c r="J65" s="64">
        <v>162560</v>
      </c>
      <c r="K65" s="63">
        <f t="shared" si="13"/>
        <v>162560</v>
      </c>
      <c r="L65" s="32">
        <f t="shared" si="11"/>
        <v>2.1062997227189095</v>
      </c>
      <c r="M65" s="43">
        <f t="shared" si="14"/>
        <v>0.03653490188886521</v>
      </c>
      <c r="N65" s="44"/>
      <c r="O65" s="65">
        <v>85204</v>
      </c>
      <c r="P65" s="66">
        <v>2320</v>
      </c>
      <c r="Q65" s="67">
        <v>162560</v>
      </c>
      <c r="R65" s="6"/>
      <c r="S65" s="6"/>
      <c r="T65" s="75"/>
      <c r="U65" s="3"/>
      <c r="V65" s="7"/>
      <c r="W65" s="8"/>
      <c r="X65" s="8"/>
      <c r="Y65" s="8"/>
      <c r="Z65" s="8"/>
      <c r="AF65" s="9" t="e">
        <f>K65-#REF!</f>
        <v>#REF!</v>
      </c>
    </row>
    <row r="66" spans="1:32" s="40" customFormat="1" ht="54.75" customHeight="1">
      <c r="A66" s="118"/>
      <c r="B66" s="130" t="s">
        <v>101</v>
      </c>
      <c r="C66" s="62"/>
      <c r="D66" s="124">
        <v>44840</v>
      </c>
      <c r="E66" s="63">
        <f t="shared" si="8"/>
        <v>44840</v>
      </c>
      <c r="F66" s="62"/>
      <c r="G66" s="124">
        <v>44840</v>
      </c>
      <c r="H66" s="63">
        <f t="shared" si="9"/>
        <v>44840</v>
      </c>
      <c r="I66" s="64"/>
      <c r="J66" s="64">
        <v>45000</v>
      </c>
      <c r="K66" s="63">
        <f t="shared" si="13"/>
        <v>45000</v>
      </c>
      <c r="L66" s="32">
        <f t="shared" si="11"/>
        <v>1.0035682426404995</v>
      </c>
      <c r="M66" s="43">
        <f t="shared" si="14"/>
        <v>0.01011362318527888</v>
      </c>
      <c r="N66" s="44"/>
      <c r="O66" s="65"/>
      <c r="P66" s="87"/>
      <c r="Q66" s="75"/>
      <c r="R66" s="6"/>
      <c r="S66" s="6"/>
      <c r="T66" s="75"/>
      <c r="U66" s="3"/>
      <c r="V66" s="7"/>
      <c r="W66" s="8"/>
      <c r="X66" s="8"/>
      <c r="Y66" s="8"/>
      <c r="Z66" s="8"/>
      <c r="AF66" s="9" t="e">
        <f>K66-#REF!</f>
        <v>#REF!</v>
      </c>
    </row>
    <row r="67" spans="1:32" s="40" customFormat="1" ht="13.5" customHeight="1">
      <c r="A67" s="118"/>
      <c r="B67" s="130" t="s">
        <v>102</v>
      </c>
      <c r="C67" s="62"/>
      <c r="D67" s="124">
        <f>100000+103660</f>
        <v>203660</v>
      </c>
      <c r="E67" s="63">
        <f t="shared" si="8"/>
        <v>203660</v>
      </c>
      <c r="F67" s="62"/>
      <c r="G67" s="124">
        <f>100000+103660</f>
        <v>203660</v>
      </c>
      <c r="H67" s="63">
        <f t="shared" si="9"/>
        <v>203660</v>
      </c>
      <c r="I67" s="64"/>
      <c r="J67" s="64">
        <v>39200</v>
      </c>
      <c r="K67" s="63">
        <f t="shared" si="13"/>
        <v>39200</v>
      </c>
      <c r="L67" s="32">
        <f t="shared" si="11"/>
        <v>0.19247765884317</v>
      </c>
      <c r="M67" s="43">
        <f t="shared" si="14"/>
        <v>0.00881008953028738</v>
      </c>
      <c r="N67" s="44"/>
      <c r="O67" s="65">
        <v>85201</v>
      </c>
      <c r="P67" s="66">
        <v>2320</v>
      </c>
      <c r="Q67" s="67">
        <v>39200</v>
      </c>
      <c r="R67" s="6"/>
      <c r="S67" s="6"/>
      <c r="T67" s="75"/>
      <c r="U67" s="3"/>
      <c r="V67" s="7"/>
      <c r="W67" s="8"/>
      <c r="X67" s="8"/>
      <c r="Y67" s="8"/>
      <c r="Z67" s="8"/>
      <c r="AF67" s="9" t="e">
        <f>K67-#REF!</f>
        <v>#REF!</v>
      </c>
    </row>
    <row r="68" spans="1:32" s="70" customFormat="1" ht="47.25" customHeight="1">
      <c r="A68" s="117"/>
      <c r="B68" s="61" t="s">
        <v>103</v>
      </c>
      <c r="C68" s="62">
        <v>3403217</v>
      </c>
      <c r="D68" s="62"/>
      <c r="E68" s="63">
        <f t="shared" si="8"/>
        <v>3403217</v>
      </c>
      <c r="F68" s="62">
        <v>3403217</v>
      </c>
      <c r="G68" s="62"/>
      <c r="H68" s="63">
        <f t="shared" si="9"/>
        <v>3403217</v>
      </c>
      <c r="I68" s="64">
        <v>3454264</v>
      </c>
      <c r="J68" s="64"/>
      <c r="K68" s="63">
        <f t="shared" si="13"/>
        <v>3454264</v>
      </c>
      <c r="L68" s="32">
        <f t="shared" si="11"/>
        <v>1.0149996312312732</v>
      </c>
      <c r="M68" s="43">
        <f t="shared" si="14"/>
        <v>0.7763360995216481</v>
      </c>
      <c r="N68" s="44"/>
      <c r="O68" s="65">
        <v>60004</v>
      </c>
      <c r="P68" s="66">
        <v>2310</v>
      </c>
      <c r="Q68" s="67">
        <v>3454264</v>
      </c>
      <c r="R68" s="65"/>
      <c r="S68" s="65"/>
      <c r="T68" s="75"/>
      <c r="U68" s="73"/>
      <c r="V68" s="69"/>
      <c r="AF68" s="9" t="e">
        <f>K68-#REF!</f>
        <v>#REF!</v>
      </c>
    </row>
    <row r="69" spans="1:32" s="58" customFormat="1" ht="33" customHeight="1" hidden="1">
      <c r="A69" s="88"/>
      <c r="B69" s="92"/>
      <c r="C69" s="55"/>
      <c r="D69" s="55"/>
      <c r="E69" s="93"/>
      <c r="F69" s="55"/>
      <c r="G69" s="55"/>
      <c r="H69" s="93"/>
      <c r="I69" s="55"/>
      <c r="J69" s="55"/>
      <c r="K69" s="93"/>
      <c r="L69" s="32"/>
      <c r="M69" s="43"/>
      <c r="N69" s="44"/>
      <c r="O69" s="56"/>
      <c r="P69" s="56"/>
      <c r="Q69" s="75"/>
      <c r="R69" s="56"/>
      <c r="S69" s="56"/>
      <c r="T69" s="75"/>
      <c r="U69" s="57"/>
      <c r="V69" s="56"/>
      <c r="W69" s="57"/>
      <c r="X69" s="57"/>
      <c r="Y69" s="57"/>
      <c r="Z69" s="57"/>
      <c r="AF69" s="108"/>
    </row>
    <row r="70" spans="1:32" s="58" customFormat="1" ht="36" customHeight="1">
      <c r="A70" s="88">
        <v>6</v>
      </c>
      <c r="B70" s="92" t="s">
        <v>104</v>
      </c>
      <c r="C70" s="55">
        <f>SUM(C71:C81)</f>
        <v>6699372</v>
      </c>
      <c r="D70" s="55">
        <f>SUM(D71:D81)</f>
        <v>21751125</v>
      </c>
      <c r="E70" s="93">
        <f aca="true" t="shared" si="15" ref="E70:E101">SUM(C70:D70)</f>
        <v>28450497</v>
      </c>
      <c r="F70" s="55">
        <f>SUM(F71:F81)</f>
        <v>6699122</v>
      </c>
      <c r="G70" s="55">
        <f>SUM(G71:G81)</f>
        <v>14350000</v>
      </c>
      <c r="H70" s="93">
        <f aca="true" t="shared" si="16" ref="H70:H101">SUM(F70:G70)</f>
        <v>21049122</v>
      </c>
      <c r="I70" s="55">
        <f>SUM(I71:I81)</f>
        <v>8000000</v>
      </c>
      <c r="J70" s="55">
        <f>SUM(J71:J81)</f>
        <v>2630000</v>
      </c>
      <c r="K70" s="93">
        <f aca="true" t="shared" si="17" ref="K70:K89">SUM(I70:J70)</f>
        <v>10630000</v>
      </c>
      <c r="L70" s="32">
        <f>K70/H70</f>
        <v>0.5050091875566116</v>
      </c>
      <c r="M70" s="43">
        <f>K70/K7</f>
        <v>0.018785649160152917</v>
      </c>
      <c r="N70" s="44"/>
      <c r="O70" s="56"/>
      <c r="P70" s="56"/>
      <c r="Q70" s="75"/>
      <c r="R70" s="56"/>
      <c r="S70" s="56"/>
      <c r="T70" s="75"/>
      <c r="U70" s="57"/>
      <c r="V70" s="56"/>
      <c r="W70" s="57"/>
      <c r="X70" s="57"/>
      <c r="Y70" s="57"/>
      <c r="Z70" s="57"/>
      <c r="AF70" s="108"/>
    </row>
    <row r="71" spans="1:32" s="40" customFormat="1" ht="21.75" customHeight="1">
      <c r="A71" s="118"/>
      <c r="B71" s="130" t="s">
        <v>105</v>
      </c>
      <c r="C71" s="62"/>
      <c r="D71" s="124"/>
      <c r="E71" s="63">
        <f t="shared" si="15"/>
        <v>0</v>
      </c>
      <c r="F71" s="62"/>
      <c r="G71" s="124"/>
      <c r="H71" s="63">
        <f t="shared" si="16"/>
        <v>0</v>
      </c>
      <c r="I71" s="64"/>
      <c r="J71" s="64"/>
      <c r="K71" s="63">
        <f t="shared" si="17"/>
        <v>0</v>
      </c>
      <c r="L71" s="32"/>
      <c r="M71" s="43">
        <f aca="true" t="shared" si="18" ref="M71:M79">K71/$K$70</f>
        <v>0</v>
      </c>
      <c r="N71" s="44"/>
      <c r="O71" s="65"/>
      <c r="P71" s="87"/>
      <c r="Q71" s="75"/>
      <c r="R71" s="6"/>
      <c r="S71" s="6"/>
      <c r="T71" s="75"/>
      <c r="U71" s="3"/>
      <c r="V71" s="7"/>
      <c r="W71" s="8"/>
      <c r="X71" s="8"/>
      <c r="Y71" s="8"/>
      <c r="Z71" s="8"/>
      <c r="AF71" s="9" t="e">
        <f>K71-#REF!</f>
        <v>#REF!</v>
      </c>
    </row>
    <row r="72" spans="1:100" s="40" customFormat="1" ht="39" customHeight="1">
      <c r="A72" s="118"/>
      <c r="B72" s="130" t="s">
        <v>106</v>
      </c>
      <c r="C72" s="62">
        <v>405300</v>
      </c>
      <c r="D72" s="124"/>
      <c r="E72" s="63">
        <f t="shared" si="15"/>
        <v>405300</v>
      </c>
      <c r="F72" s="62">
        <v>405300</v>
      </c>
      <c r="G72" s="124"/>
      <c r="H72" s="63">
        <f t="shared" si="16"/>
        <v>405300</v>
      </c>
      <c r="I72" s="124"/>
      <c r="J72" s="124"/>
      <c r="K72" s="63">
        <f t="shared" si="17"/>
        <v>0</v>
      </c>
      <c r="L72" s="32">
        <f aca="true" t="shared" si="19" ref="L72:L80">K72/H72</f>
        <v>0</v>
      </c>
      <c r="M72" s="43">
        <f t="shared" si="18"/>
        <v>0</v>
      </c>
      <c r="N72" s="44"/>
      <c r="O72" s="65"/>
      <c r="P72" s="87"/>
      <c r="Q72" s="75"/>
      <c r="R72" s="131"/>
      <c r="S72" s="131"/>
      <c r="T72" s="75"/>
      <c r="U72" s="132"/>
      <c r="V72" s="133"/>
      <c r="W72" s="134"/>
      <c r="X72" s="135"/>
      <c r="Y72" s="135"/>
      <c r="Z72" s="135"/>
      <c r="AA72" s="136"/>
      <c r="AB72" s="136"/>
      <c r="AC72" s="136"/>
      <c r="AD72" s="136"/>
      <c r="AE72" s="136"/>
      <c r="AF72" s="9" t="e">
        <f>K72-#REF!</f>
        <v>#REF!</v>
      </c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</row>
    <row r="73" spans="1:32" s="70" customFormat="1" ht="33.75" customHeight="1">
      <c r="A73" s="117"/>
      <c r="B73" s="61" t="s">
        <v>107</v>
      </c>
      <c r="C73" s="62">
        <f>1741588-300000</f>
        <v>1441588</v>
      </c>
      <c r="D73" s="62"/>
      <c r="E73" s="63">
        <f t="shared" si="15"/>
        <v>1441588</v>
      </c>
      <c r="F73" s="62">
        <f>1741588-300000</f>
        <v>1441588</v>
      </c>
      <c r="G73" s="62"/>
      <c r="H73" s="63">
        <f t="shared" si="16"/>
        <v>1441588</v>
      </c>
      <c r="I73" s="64"/>
      <c r="J73" s="64"/>
      <c r="K73" s="63">
        <f t="shared" si="17"/>
        <v>0</v>
      </c>
      <c r="L73" s="32">
        <f t="shared" si="19"/>
        <v>0</v>
      </c>
      <c r="M73" s="44">
        <f t="shared" si="18"/>
        <v>0</v>
      </c>
      <c r="N73" s="44"/>
      <c r="O73" s="65"/>
      <c r="P73" s="87"/>
      <c r="Q73" s="75"/>
      <c r="R73" s="65"/>
      <c r="S73" s="65"/>
      <c r="T73" s="75"/>
      <c r="U73" s="73"/>
      <c r="V73" s="69"/>
      <c r="AF73" s="9" t="e">
        <f>K73-#REF!</f>
        <v>#REF!</v>
      </c>
    </row>
    <row r="74" spans="1:32" s="70" customFormat="1" ht="14.25" customHeight="1" hidden="1">
      <c r="A74" s="117"/>
      <c r="B74" s="61" t="s">
        <v>108</v>
      </c>
      <c r="C74" s="62"/>
      <c r="D74" s="62"/>
      <c r="E74" s="63">
        <f t="shared" si="15"/>
        <v>0</v>
      </c>
      <c r="F74" s="62"/>
      <c r="G74" s="62"/>
      <c r="H74" s="63">
        <f t="shared" si="16"/>
        <v>0</v>
      </c>
      <c r="I74" s="64"/>
      <c r="J74" s="64"/>
      <c r="K74" s="63">
        <f t="shared" si="17"/>
        <v>0</v>
      </c>
      <c r="L74" s="32" t="e">
        <f t="shared" si="19"/>
        <v>#DIV/0!</v>
      </c>
      <c r="M74" s="44">
        <f t="shared" si="18"/>
        <v>0</v>
      </c>
      <c r="N74" s="44"/>
      <c r="O74" s="65"/>
      <c r="P74" s="87"/>
      <c r="Q74" s="75"/>
      <c r="R74" s="65"/>
      <c r="S74" s="65"/>
      <c r="T74" s="75"/>
      <c r="U74" s="73"/>
      <c r="V74" s="69"/>
      <c r="AF74" s="9" t="e">
        <f>K74-#REF!</f>
        <v>#REF!</v>
      </c>
    </row>
    <row r="75" spans="1:32" s="70" customFormat="1" ht="25.5" customHeight="1" hidden="1">
      <c r="A75" s="117"/>
      <c r="B75" s="130" t="s">
        <v>109</v>
      </c>
      <c r="C75" s="62"/>
      <c r="D75" s="62"/>
      <c r="E75" s="63">
        <f t="shared" si="15"/>
        <v>0</v>
      </c>
      <c r="F75" s="62"/>
      <c r="G75" s="62"/>
      <c r="H75" s="63">
        <f t="shared" si="16"/>
        <v>0</v>
      </c>
      <c r="I75" s="64"/>
      <c r="J75" s="64"/>
      <c r="K75" s="63">
        <f t="shared" si="17"/>
        <v>0</v>
      </c>
      <c r="L75" s="32" t="e">
        <f t="shared" si="19"/>
        <v>#DIV/0!</v>
      </c>
      <c r="M75" s="44">
        <f t="shared" si="18"/>
        <v>0</v>
      </c>
      <c r="N75" s="44"/>
      <c r="O75" s="65"/>
      <c r="P75" s="87"/>
      <c r="Q75" s="75"/>
      <c r="R75" s="65"/>
      <c r="S75" s="65"/>
      <c r="T75" s="75"/>
      <c r="U75" s="73"/>
      <c r="V75" s="69"/>
      <c r="AF75" s="9" t="e">
        <f>K75-#REF!</f>
        <v>#REF!</v>
      </c>
    </row>
    <row r="76" spans="1:32" s="70" customFormat="1" ht="23.25" customHeight="1" hidden="1">
      <c r="A76" s="117"/>
      <c r="B76" s="130" t="s">
        <v>110</v>
      </c>
      <c r="C76" s="62"/>
      <c r="D76" s="62"/>
      <c r="E76" s="63">
        <f t="shared" si="15"/>
        <v>0</v>
      </c>
      <c r="F76" s="62"/>
      <c r="G76" s="62"/>
      <c r="H76" s="63">
        <f t="shared" si="16"/>
        <v>0</v>
      </c>
      <c r="I76" s="64"/>
      <c r="J76" s="64"/>
      <c r="K76" s="63">
        <f t="shared" si="17"/>
        <v>0</v>
      </c>
      <c r="L76" s="32" t="e">
        <f t="shared" si="19"/>
        <v>#DIV/0!</v>
      </c>
      <c r="M76" s="44">
        <f t="shared" si="18"/>
        <v>0</v>
      </c>
      <c r="N76" s="44"/>
      <c r="O76" s="65"/>
      <c r="P76" s="87"/>
      <c r="Q76" s="75"/>
      <c r="R76" s="65"/>
      <c r="S76" s="65"/>
      <c r="T76" s="75"/>
      <c r="U76" s="73"/>
      <c r="V76" s="69"/>
      <c r="AF76" s="9" t="e">
        <f>K76-#REF!</f>
        <v>#REF!</v>
      </c>
    </row>
    <row r="77" spans="1:32" s="70" customFormat="1" ht="24" customHeight="1">
      <c r="A77" s="117"/>
      <c r="B77" s="130" t="s">
        <v>111</v>
      </c>
      <c r="C77" s="62">
        <f>13000+39484</f>
        <v>52484</v>
      </c>
      <c r="D77" s="62">
        <v>186234</v>
      </c>
      <c r="E77" s="63">
        <f t="shared" si="15"/>
        <v>238718</v>
      </c>
      <c r="F77" s="62">
        <f>12750+39484</f>
        <v>52234</v>
      </c>
      <c r="G77" s="62">
        <v>150000</v>
      </c>
      <c r="H77" s="63">
        <f t="shared" si="16"/>
        <v>202234</v>
      </c>
      <c r="I77" s="64"/>
      <c r="J77" s="64"/>
      <c r="K77" s="63">
        <f t="shared" si="17"/>
        <v>0</v>
      </c>
      <c r="L77" s="32">
        <f t="shared" si="19"/>
        <v>0</v>
      </c>
      <c r="M77" s="44">
        <f t="shared" si="18"/>
        <v>0</v>
      </c>
      <c r="N77" s="44"/>
      <c r="O77" s="65"/>
      <c r="P77" s="87"/>
      <c r="Q77" s="75"/>
      <c r="R77" s="65"/>
      <c r="S77" s="65"/>
      <c r="T77" s="75"/>
      <c r="U77" s="73"/>
      <c r="V77" s="69"/>
      <c r="AF77" s="9" t="e">
        <f>K77-#REF!</f>
        <v>#REF!</v>
      </c>
    </row>
    <row r="78" spans="1:32" s="70" customFormat="1" ht="45.75" customHeight="1">
      <c r="A78" s="117"/>
      <c r="B78" s="61" t="s">
        <v>112</v>
      </c>
      <c r="C78" s="62"/>
      <c r="D78" s="62">
        <v>21564891</v>
      </c>
      <c r="E78" s="63">
        <f t="shared" si="15"/>
        <v>21564891</v>
      </c>
      <c r="F78" s="62"/>
      <c r="G78" s="62">
        <v>14200000</v>
      </c>
      <c r="H78" s="63">
        <f t="shared" si="16"/>
        <v>14200000</v>
      </c>
      <c r="I78" s="64"/>
      <c r="J78" s="64">
        <v>2630000</v>
      </c>
      <c r="K78" s="63">
        <f t="shared" si="17"/>
        <v>2630000</v>
      </c>
      <c r="L78" s="32">
        <f t="shared" si="19"/>
        <v>0.1852112676056338</v>
      </c>
      <c r="M78" s="44">
        <f t="shared" si="18"/>
        <v>0.24741298212605833</v>
      </c>
      <c r="N78" s="44"/>
      <c r="O78" s="65">
        <v>60015</v>
      </c>
      <c r="P78" s="66">
        <v>6299</v>
      </c>
      <c r="Q78" s="67">
        <v>4830000</v>
      </c>
      <c r="R78" s="65"/>
      <c r="S78" s="65"/>
      <c r="T78" s="75"/>
      <c r="U78" s="73"/>
      <c r="V78" s="69"/>
      <c r="AF78" s="9" t="e">
        <f>K78-#REF!</f>
        <v>#REF!</v>
      </c>
    </row>
    <row r="79" spans="1:53" s="70" customFormat="1" ht="33.75" customHeight="1">
      <c r="A79" s="117"/>
      <c r="B79" s="61" t="s">
        <v>113</v>
      </c>
      <c r="C79" s="62">
        <v>4800000</v>
      </c>
      <c r="D79" s="62"/>
      <c r="E79" s="63">
        <f t="shared" si="15"/>
        <v>4800000</v>
      </c>
      <c r="F79" s="62">
        <v>4800000</v>
      </c>
      <c r="G79" s="62"/>
      <c r="H79" s="63">
        <f t="shared" si="16"/>
        <v>4800000</v>
      </c>
      <c r="I79" s="62"/>
      <c r="J79" s="62"/>
      <c r="K79" s="63">
        <f t="shared" si="17"/>
        <v>0</v>
      </c>
      <c r="L79" s="32">
        <f t="shared" si="19"/>
        <v>0</v>
      </c>
      <c r="M79" s="44">
        <f t="shared" si="18"/>
        <v>0</v>
      </c>
      <c r="N79" s="44"/>
      <c r="O79" s="137"/>
      <c r="P79" s="138"/>
      <c r="Q79" s="139"/>
      <c r="R79" s="133"/>
      <c r="S79" s="133"/>
      <c r="T79" s="139"/>
      <c r="U79" s="139"/>
      <c r="V79" s="133"/>
      <c r="W79" s="140"/>
      <c r="X79" s="141"/>
      <c r="Y79" s="141"/>
      <c r="Z79" s="141"/>
      <c r="AA79" s="141"/>
      <c r="AB79" s="141"/>
      <c r="AC79" s="141"/>
      <c r="AD79" s="141"/>
      <c r="AE79" s="141"/>
      <c r="AF79" s="9" t="e">
        <f>K79-#REF!</f>
        <v>#REF!</v>
      </c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</row>
    <row r="80" spans="1:32" s="70" customFormat="1" ht="13.5" customHeight="1" hidden="1">
      <c r="A80" s="117"/>
      <c r="B80" s="61" t="s">
        <v>114</v>
      </c>
      <c r="C80" s="62"/>
      <c r="D80" s="62"/>
      <c r="E80" s="63">
        <f t="shared" si="15"/>
        <v>0</v>
      </c>
      <c r="F80" s="62"/>
      <c r="G80" s="62"/>
      <c r="H80" s="63">
        <f t="shared" si="16"/>
        <v>0</v>
      </c>
      <c r="I80" s="64"/>
      <c r="J80" s="64"/>
      <c r="K80" s="63">
        <f t="shared" si="17"/>
        <v>0</v>
      </c>
      <c r="L80" s="32" t="e">
        <f t="shared" si="19"/>
        <v>#DIV/0!</v>
      </c>
      <c r="M80" s="44"/>
      <c r="N80" s="44"/>
      <c r="O80" s="65"/>
      <c r="P80" s="87"/>
      <c r="Q80" s="75"/>
      <c r="R80" s="65"/>
      <c r="S80" s="65"/>
      <c r="T80" s="75"/>
      <c r="U80" s="73"/>
      <c r="V80" s="69"/>
      <c r="AF80" s="9" t="e">
        <f>K80-#REF!</f>
        <v>#REF!</v>
      </c>
    </row>
    <row r="81" spans="1:32" s="144" customFormat="1" ht="36" customHeight="1">
      <c r="A81" s="142"/>
      <c r="B81" s="143" t="s">
        <v>115</v>
      </c>
      <c r="C81" s="62"/>
      <c r="D81" s="62"/>
      <c r="E81" s="63">
        <f t="shared" si="15"/>
        <v>0</v>
      </c>
      <c r="F81" s="62"/>
      <c r="G81" s="62"/>
      <c r="H81" s="63">
        <f t="shared" si="16"/>
        <v>0</v>
      </c>
      <c r="I81" s="64">
        <v>8000000</v>
      </c>
      <c r="J81" s="64">
        <f>D81*101.5%</f>
        <v>0</v>
      </c>
      <c r="K81" s="63">
        <f t="shared" si="17"/>
        <v>8000000</v>
      </c>
      <c r="L81" s="32"/>
      <c r="M81" s="44" t="e">
        <f>K81/$K$128</f>
        <v>#DIV/0!</v>
      </c>
      <c r="N81" s="44"/>
      <c r="O81" s="65"/>
      <c r="P81" s="66"/>
      <c r="Q81" s="51"/>
      <c r="R81" s="50"/>
      <c r="S81" s="50"/>
      <c r="T81" s="75"/>
      <c r="U81" s="51"/>
      <c r="V81" s="50"/>
      <c r="W81" s="51"/>
      <c r="X81" s="51"/>
      <c r="Y81" s="51"/>
      <c r="Z81" s="51"/>
      <c r="AF81" s="52"/>
    </row>
    <row r="82" spans="1:32" s="58" customFormat="1" ht="24" customHeight="1">
      <c r="A82" s="88">
        <v>7</v>
      </c>
      <c r="B82" s="92" t="s">
        <v>116</v>
      </c>
      <c r="C82" s="55">
        <f>SUM(C83:C90)</f>
        <v>21327024</v>
      </c>
      <c r="D82" s="55">
        <f>SUM(D83:D90)</f>
        <v>10104305</v>
      </c>
      <c r="E82" s="93">
        <f t="shared" si="15"/>
        <v>31431329</v>
      </c>
      <c r="F82" s="55">
        <f>SUM(F83:F90)</f>
        <v>21327024</v>
      </c>
      <c r="G82" s="55">
        <f>SUM(G83:G90)</f>
        <v>460631</v>
      </c>
      <c r="H82" s="93">
        <f t="shared" si="16"/>
        <v>21787655</v>
      </c>
      <c r="I82" s="93">
        <f>SUM(I83:I90)</f>
        <v>5420000</v>
      </c>
      <c r="J82" s="93">
        <f>SUM(J83:J90)</f>
        <v>75806407</v>
      </c>
      <c r="K82" s="93">
        <f t="shared" si="17"/>
        <v>81226407</v>
      </c>
      <c r="L82" s="32">
        <f>K82/H82</f>
        <v>3.728093133473979</v>
      </c>
      <c r="M82" s="44">
        <f>K82/K7</f>
        <v>0.14354569938304695</v>
      </c>
      <c r="N82" s="44">
        <f>K82/K6</f>
        <v>0.10684070204541216</v>
      </c>
      <c r="O82" s="65"/>
      <c r="P82" s="87"/>
      <c r="Q82" s="75"/>
      <c r="R82" s="56"/>
      <c r="S82" s="56"/>
      <c r="T82" s="75"/>
      <c r="U82" s="57"/>
      <c r="V82" s="56"/>
      <c r="W82" s="57"/>
      <c r="X82" s="57"/>
      <c r="Y82" s="57"/>
      <c r="Z82" s="57"/>
      <c r="AF82" s="108"/>
    </row>
    <row r="83" spans="1:32" ht="22.5" customHeight="1">
      <c r="A83" s="118"/>
      <c r="B83" s="119" t="s">
        <v>117</v>
      </c>
      <c r="C83" s="62"/>
      <c r="D83" s="62">
        <v>9643674</v>
      </c>
      <c r="E83" s="63">
        <f t="shared" si="15"/>
        <v>9643674</v>
      </c>
      <c r="F83" s="62"/>
      <c r="G83" s="62">
        <v>0</v>
      </c>
      <c r="H83" s="63">
        <f t="shared" si="16"/>
        <v>0</v>
      </c>
      <c r="I83" s="64"/>
      <c r="J83" s="64">
        <f>22053605+4751702</f>
        <v>26805307</v>
      </c>
      <c r="K83" s="63">
        <f t="shared" si="17"/>
        <v>26805307</v>
      </c>
      <c r="L83" s="32"/>
      <c r="M83" s="44">
        <f aca="true" t="shared" si="20" ref="M83:M90">K83/$K$82</f>
        <v>0.33000729676495477</v>
      </c>
      <c r="N83" s="44"/>
      <c r="O83" s="65">
        <v>75621</v>
      </c>
      <c r="P83" s="87" t="s">
        <v>118</v>
      </c>
      <c r="Q83" s="67">
        <v>145880000</v>
      </c>
      <c r="R83" s="65">
        <v>75622</v>
      </c>
      <c r="S83" s="87" t="s">
        <v>118</v>
      </c>
      <c r="T83" s="145">
        <f>41100000+700000</f>
        <v>41800000</v>
      </c>
      <c r="AF83" s="9">
        <f>K83</f>
        <v>26805307</v>
      </c>
    </row>
    <row r="84" spans="1:20" ht="32.25" customHeight="1">
      <c r="A84" s="118"/>
      <c r="B84" s="119" t="s">
        <v>119</v>
      </c>
      <c r="C84" s="62">
        <v>15170000</v>
      </c>
      <c r="D84" s="62"/>
      <c r="E84" s="63">
        <f t="shared" si="15"/>
        <v>15170000</v>
      </c>
      <c r="F84" s="62">
        <v>15170000</v>
      </c>
      <c r="G84" s="62"/>
      <c r="H84" s="63">
        <f t="shared" si="16"/>
        <v>15170000</v>
      </c>
      <c r="I84" s="64"/>
      <c r="J84" s="64"/>
      <c r="K84" s="63">
        <f t="shared" si="17"/>
        <v>0</v>
      </c>
      <c r="L84" s="32">
        <f>K84/H84</f>
        <v>0</v>
      </c>
      <c r="M84" s="44">
        <f t="shared" si="20"/>
        <v>0</v>
      </c>
      <c r="N84" s="44"/>
      <c r="O84" s="65"/>
      <c r="P84" s="87"/>
      <c r="Q84" s="67"/>
      <c r="R84" s="65"/>
      <c r="S84" s="87"/>
      <c r="T84" s="145"/>
    </row>
    <row r="85" spans="1:20" ht="33.75" customHeight="1">
      <c r="A85" s="118"/>
      <c r="B85" s="119" t="s">
        <v>120</v>
      </c>
      <c r="C85" s="62">
        <v>161709</v>
      </c>
      <c r="D85" s="62"/>
      <c r="E85" s="63">
        <f t="shared" si="15"/>
        <v>161709</v>
      </c>
      <c r="F85" s="62">
        <v>161709</v>
      </c>
      <c r="G85" s="62"/>
      <c r="H85" s="63">
        <f t="shared" si="16"/>
        <v>161709</v>
      </c>
      <c r="I85" s="64"/>
      <c r="J85" s="64"/>
      <c r="K85" s="63">
        <f t="shared" si="17"/>
        <v>0</v>
      </c>
      <c r="L85" s="32">
        <f>K85/H85</f>
        <v>0</v>
      </c>
      <c r="M85" s="44">
        <f t="shared" si="20"/>
        <v>0</v>
      </c>
      <c r="N85" s="44"/>
      <c r="O85" s="65"/>
      <c r="P85" s="87"/>
      <c r="Q85" s="67"/>
      <c r="R85" s="65"/>
      <c r="S85" s="87"/>
      <c r="T85" s="145"/>
    </row>
    <row r="86" spans="1:32" ht="21.75" customHeight="1">
      <c r="A86" s="118"/>
      <c r="B86" s="119" t="s">
        <v>121</v>
      </c>
      <c r="C86" s="62"/>
      <c r="D86" s="62"/>
      <c r="E86" s="63">
        <f t="shared" si="15"/>
        <v>0</v>
      </c>
      <c r="F86" s="62"/>
      <c r="G86" s="62"/>
      <c r="H86" s="63">
        <f t="shared" si="16"/>
        <v>0</v>
      </c>
      <c r="I86" s="64"/>
      <c r="J86" s="64">
        <f>33939900+15000000</f>
        <v>48939900</v>
      </c>
      <c r="K86" s="63">
        <f t="shared" si="17"/>
        <v>48939900</v>
      </c>
      <c r="L86" s="32"/>
      <c r="M86" s="44">
        <f t="shared" si="20"/>
        <v>0.6025121854768241</v>
      </c>
      <c r="N86" s="44"/>
      <c r="O86" s="65">
        <v>75621</v>
      </c>
      <c r="P86" s="87" t="s">
        <v>122</v>
      </c>
      <c r="Q86" s="67">
        <v>10930000</v>
      </c>
      <c r="R86" s="65">
        <v>75622</v>
      </c>
      <c r="S86" s="87" t="s">
        <v>122</v>
      </c>
      <c r="T86" s="145">
        <v>2670000</v>
      </c>
      <c r="AF86" s="9">
        <f>K86</f>
        <v>48939900</v>
      </c>
    </row>
    <row r="87" spans="1:32" ht="81" customHeight="1">
      <c r="A87" s="118"/>
      <c r="B87" s="61" t="s">
        <v>123</v>
      </c>
      <c r="C87" s="62">
        <v>216536</v>
      </c>
      <c r="D87" s="62">
        <v>319345</v>
      </c>
      <c r="E87" s="63">
        <f t="shared" si="15"/>
        <v>535881</v>
      </c>
      <c r="F87" s="62">
        <v>216536</v>
      </c>
      <c r="G87" s="62">
        <v>319345</v>
      </c>
      <c r="H87" s="63">
        <f t="shared" si="16"/>
        <v>535881</v>
      </c>
      <c r="I87" s="64">
        <f>10000</f>
        <v>10000</v>
      </c>
      <c r="J87" s="64">
        <f>61200</f>
        <v>61200</v>
      </c>
      <c r="K87" s="63">
        <f t="shared" si="17"/>
        <v>71200</v>
      </c>
      <c r="L87" s="32">
        <f aca="true" t="shared" si="21" ref="L87:L128">K87/H87</f>
        <v>0.13286531897940027</v>
      </c>
      <c r="M87" s="44">
        <f t="shared" si="20"/>
        <v>0.000876562224400742</v>
      </c>
      <c r="N87" s="44"/>
      <c r="O87" s="113" t="s">
        <v>71</v>
      </c>
      <c r="P87" s="125">
        <v>75095</v>
      </c>
      <c r="Q87" s="146" t="s">
        <v>124</v>
      </c>
      <c r="R87" s="67">
        <v>10000</v>
      </c>
      <c r="S87" s="50" t="s">
        <v>72</v>
      </c>
      <c r="T87" s="125">
        <v>60015</v>
      </c>
      <c r="U87" s="146" t="s">
        <v>124</v>
      </c>
      <c r="V87" s="67">
        <v>61200</v>
      </c>
      <c r="AF87" s="9" t="e">
        <f>K87-#REF!</f>
        <v>#REF!</v>
      </c>
    </row>
    <row r="88" spans="1:53" s="70" customFormat="1" ht="33" customHeight="1">
      <c r="A88" s="117"/>
      <c r="B88" s="61" t="s">
        <v>125</v>
      </c>
      <c r="C88" s="62"/>
      <c r="D88" s="62">
        <v>80526</v>
      </c>
      <c r="E88" s="63">
        <f t="shared" si="15"/>
        <v>80526</v>
      </c>
      <c r="F88" s="62"/>
      <c r="G88" s="62">
        <v>80526</v>
      </c>
      <c r="H88" s="63">
        <f t="shared" si="16"/>
        <v>80526</v>
      </c>
      <c r="I88" s="62"/>
      <c r="J88" s="62"/>
      <c r="K88" s="63">
        <f t="shared" si="17"/>
        <v>0</v>
      </c>
      <c r="L88" s="32">
        <f t="shared" si="21"/>
        <v>0</v>
      </c>
      <c r="M88" s="44">
        <f t="shared" si="20"/>
        <v>0</v>
      </c>
      <c r="N88" s="44"/>
      <c r="O88" s="137"/>
      <c r="P88" s="138"/>
      <c r="Q88" s="139"/>
      <c r="R88" s="133"/>
      <c r="S88" s="133"/>
      <c r="T88" s="139"/>
      <c r="U88" s="139"/>
      <c r="V88" s="133"/>
      <c r="W88" s="140"/>
      <c r="X88" s="141"/>
      <c r="Y88" s="141"/>
      <c r="Z88" s="141"/>
      <c r="AA88" s="141"/>
      <c r="AB88" s="141"/>
      <c r="AC88" s="141"/>
      <c r="AD88" s="141"/>
      <c r="AE88" s="141"/>
      <c r="AF88" s="9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</row>
    <row r="89" spans="1:53" s="70" customFormat="1" ht="24" customHeight="1">
      <c r="A89" s="117"/>
      <c r="B89" s="61" t="s">
        <v>126</v>
      </c>
      <c r="C89" s="62">
        <v>38779</v>
      </c>
      <c r="D89" s="62">
        <v>60760</v>
      </c>
      <c r="E89" s="63">
        <f t="shared" si="15"/>
        <v>99539</v>
      </c>
      <c r="F89" s="62">
        <v>38779</v>
      </c>
      <c r="G89" s="62">
        <v>60760</v>
      </c>
      <c r="H89" s="63">
        <f t="shared" si="16"/>
        <v>99539</v>
      </c>
      <c r="I89" s="62"/>
      <c r="J89" s="62"/>
      <c r="K89" s="63">
        <f t="shared" si="17"/>
        <v>0</v>
      </c>
      <c r="L89" s="32">
        <f t="shared" si="21"/>
        <v>0</v>
      </c>
      <c r="M89" s="44">
        <f t="shared" si="20"/>
        <v>0</v>
      </c>
      <c r="N89" s="44"/>
      <c r="O89" s="137"/>
      <c r="P89" s="138"/>
      <c r="Q89" s="139"/>
      <c r="R89" s="133"/>
      <c r="S89" s="133"/>
      <c r="T89" s="139"/>
      <c r="U89" s="139"/>
      <c r="V89" s="133"/>
      <c r="W89" s="140"/>
      <c r="X89" s="141"/>
      <c r="Y89" s="141"/>
      <c r="Z89" s="141"/>
      <c r="AA89" s="141"/>
      <c r="AB89" s="141"/>
      <c r="AC89" s="141"/>
      <c r="AD89" s="141"/>
      <c r="AE89" s="141"/>
      <c r="AF89" s="9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</row>
    <row r="90" spans="1:32" ht="33.75">
      <c r="A90" s="118"/>
      <c r="B90" s="119" t="s">
        <v>127</v>
      </c>
      <c r="C90" s="62">
        <v>5740000</v>
      </c>
      <c r="D90" s="62"/>
      <c r="E90" s="63">
        <f t="shared" si="15"/>
        <v>5740000</v>
      </c>
      <c r="F90" s="62">
        <v>5740000</v>
      </c>
      <c r="G90" s="62"/>
      <c r="H90" s="63">
        <f t="shared" si="16"/>
        <v>5740000</v>
      </c>
      <c r="I90" s="64">
        <v>5410000</v>
      </c>
      <c r="K90" s="63">
        <f>SUM(I90:I90)</f>
        <v>5410000</v>
      </c>
      <c r="L90" s="32">
        <f t="shared" si="21"/>
        <v>0.9425087108013938</v>
      </c>
      <c r="M90" s="44">
        <f t="shared" si="20"/>
        <v>0.06660395553382042</v>
      </c>
      <c r="N90" s="44"/>
      <c r="O90" s="65">
        <v>75621</v>
      </c>
      <c r="P90" s="87" t="s">
        <v>122</v>
      </c>
      <c r="Q90" s="67">
        <v>10930000</v>
      </c>
      <c r="R90" s="65">
        <v>75622</v>
      </c>
      <c r="S90" s="87" t="s">
        <v>122</v>
      </c>
      <c r="T90" s="145">
        <v>2670000</v>
      </c>
      <c r="AF90" s="9">
        <f>K90</f>
        <v>5410000</v>
      </c>
    </row>
    <row r="91" spans="1:32" s="58" customFormat="1" ht="27" customHeight="1">
      <c r="A91" s="88">
        <v>8</v>
      </c>
      <c r="B91" s="92" t="s">
        <v>128</v>
      </c>
      <c r="C91" s="55">
        <f>SUM(C92:C93)</f>
        <v>149538812</v>
      </c>
      <c r="D91" s="55">
        <f>SUM(D92:D93)</f>
        <v>42573226</v>
      </c>
      <c r="E91" s="93">
        <f t="shared" si="15"/>
        <v>192112038</v>
      </c>
      <c r="F91" s="55">
        <f>SUM(F92:F93)</f>
        <v>149538812</v>
      </c>
      <c r="G91" s="55">
        <f>SUM(G92:G93)</f>
        <v>42573226</v>
      </c>
      <c r="H91" s="93">
        <f t="shared" si="16"/>
        <v>192112038</v>
      </c>
      <c r="I91" s="93">
        <f>SUM(I92:I93)</f>
        <v>169825170</v>
      </c>
      <c r="J91" s="93">
        <f>SUM(J92:J93)</f>
        <v>47973908</v>
      </c>
      <c r="K91" s="93">
        <f aca="true" t="shared" si="22" ref="K91:K133">SUM(I91:J91)</f>
        <v>217799078</v>
      </c>
      <c r="L91" s="32">
        <f t="shared" si="21"/>
        <v>1.1337086434947923</v>
      </c>
      <c r="M91" s="44">
        <f>K91/K7</f>
        <v>0.3849009470096688</v>
      </c>
      <c r="N91" s="44">
        <f>K91/K6</f>
        <v>0.2864808041843274</v>
      </c>
      <c r="O91" s="65"/>
      <c r="P91" s="87"/>
      <c r="Q91" s="75"/>
      <c r="R91" s="56"/>
      <c r="S91" s="56"/>
      <c r="T91" s="75"/>
      <c r="U91" s="57"/>
      <c r="V91" s="56"/>
      <c r="W91" s="57"/>
      <c r="X91" s="57"/>
      <c r="Y91" s="57"/>
      <c r="Z91" s="57"/>
      <c r="AF91" s="108"/>
    </row>
    <row r="92" spans="1:32" ht="22.5" customHeight="1">
      <c r="A92" s="118"/>
      <c r="B92" s="119" t="s">
        <v>129</v>
      </c>
      <c r="C92" s="62">
        <f>137843412+923116</f>
        <v>138766528</v>
      </c>
      <c r="D92" s="62">
        <f>39676916+265710</f>
        <v>39942626</v>
      </c>
      <c r="E92" s="63">
        <f t="shared" si="15"/>
        <v>178709154</v>
      </c>
      <c r="F92" s="62">
        <f>137843412+923116</f>
        <v>138766528</v>
      </c>
      <c r="G92" s="62">
        <f>39676916+265710</f>
        <v>39942626</v>
      </c>
      <c r="H92" s="63">
        <f t="shared" si="16"/>
        <v>178709154</v>
      </c>
      <c r="I92" s="64">
        <v>158895170</v>
      </c>
      <c r="J92" s="64">
        <v>45303908</v>
      </c>
      <c r="K92" s="63">
        <f t="shared" si="22"/>
        <v>204199078</v>
      </c>
      <c r="L92" s="32">
        <f t="shared" si="21"/>
        <v>1.142633566493186</v>
      </c>
      <c r="M92" s="44">
        <f>K92/$K$91</f>
        <v>0.9375571277670881</v>
      </c>
      <c r="N92" s="44"/>
      <c r="O92" s="65">
        <v>75621</v>
      </c>
      <c r="P92" s="87" t="s">
        <v>118</v>
      </c>
      <c r="Q92" s="67">
        <v>158895170</v>
      </c>
      <c r="R92" s="65">
        <v>75622</v>
      </c>
      <c r="S92" s="87" t="s">
        <v>118</v>
      </c>
      <c r="T92" s="145">
        <v>45303908</v>
      </c>
      <c r="AF92" s="9" t="e">
        <f>K92-#REF!</f>
        <v>#REF!</v>
      </c>
    </row>
    <row r="93" spans="1:32" ht="21" customHeight="1">
      <c r="A93" s="118"/>
      <c r="B93" s="119" t="s">
        <v>130</v>
      </c>
      <c r="C93" s="62">
        <f>8600000+2172284</f>
        <v>10772284</v>
      </c>
      <c r="D93" s="62">
        <f>2100000+530600</f>
        <v>2630600</v>
      </c>
      <c r="E93" s="63">
        <f t="shared" si="15"/>
        <v>13402884</v>
      </c>
      <c r="F93" s="62">
        <f>8600000+2172284</f>
        <v>10772284</v>
      </c>
      <c r="G93" s="62">
        <f>2100000+530600</f>
        <v>2630600</v>
      </c>
      <c r="H93" s="63">
        <f t="shared" si="16"/>
        <v>13402884</v>
      </c>
      <c r="I93" s="64">
        <v>10930000</v>
      </c>
      <c r="J93" s="64">
        <v>2670000</v>
      </c>
      <c r="K93" s="63">
        <f t="shared" si="22"/>
        <v>13600000</v>
      </c>
      <c r="L93" s="32">
        <f t="shared" si="21"/>
        <v>1.0147069839595717</v>
      </c>
      <c r="M93" s="44">
        <f>K93/$K$91</f>
        <v>0.06244287223291184</v>
      </c>
      <c r="N93" s="44"/>
      <c r="O93" s="65">
        <v>75621</v>
      </c>
      <c r="P93" s="87" t="s">
        <v>122</v>
      </c>
      <c r="Q93" s="67">
        <v>10930000</v>
      </c>
      <c r="R93" s="65">
        <v>75622</v>
      </c>
      <c r="S93" s="87" t="s">
        <v>122</v>
      </c>
      <c r="T93" s="145">
        <v>2670000</v>
      </c>
      <c r="AF93" s="9" t="e">
        <f>K93-#REF!</f>
        <v>#REF!</v>
      </c>
    </row>
    <row r="94" spans="1:32" s="51" customFormat="1" ht="18.75" customHeight="1">
      <c r="A94" s="47" t="s">
        <v>131</v>
      </c>
      <c r="B94" s="47"/>
      <c r="C94" s="147">
        <f>SUM(C95:C98)</f>
        <v>68159054</v>
      </c>
      <c r="D94" s="147">
        <f>SUM(D95:D98)</f>
        <v>67409204</v>
      </c>
      <c r="E94" s="148">
        <f t="shared" si="15"/>
        <v>135568258</v>
      </c>
      <c r="F94" s="147">
        <f>SUM(F95:F98)</f>
        <v>68159054</v>
      </c>
      <c r="G94" s="147">
        <f>SUM(G95:G98)</f>
        <v>67409204</v>
      </c>
      <c r="H94" s="148">
        <f t="shared" si="16"/>
        <v>135568258</v>
      </c>
      <c r="I94" s="148">
        <f>SUM(I95:I98)</f>
        <v>70256679</v>
      </c>
      <c r="J94" s="148">
        <f>SUM(J95:J98)</f>
        <v>63852045</v>
      </c>
      <c r="K94" s="148">
        <f t="shared" si="22"/>
        <v>134108724</v>
      </c>
      <c r="L94" s="32">
        <f t="shared" si="21"/>
        <v>0.9892339547506762</v>
      </c>
      <c r="M94" s="44">
        <f>K94/K6</f>
        <v>0.17639916317576884</v>
      </c>
      <c r="N94" s="44"/>
      <c r="O94" s="65"/>
      <c r="P94" s="87"/>
      <c r="Q94" s="75"/>
      <c r="R94" s="50"/>
      <c r="S94" s="50"/>
      <c r="T94" s="75"/>
      <c r="V94" s="50"/>
      <c r="AF94" s="52"/>
    </row>
    <row r="95" spans="1:32" s="3" customFormat="1" ht="12.75" customHeight="1">
      <c r="A95" s="118">
        <v>1</v>
      </c>
      <c r="B95" s="119" t="s">
        <v>132</v>
      </c>
      <c r="C95" s="62">
        <f>70446038-2286984</f>
        <v>68159054</v>
      </c>
      <c r="D95" s="62">
        <f>61525907-1221568</f>
        <v>60304339</v>
      </c>
      <c r="E95" s="63">
        <f t="shared" si="15"/>
        <v>128463393</v>
      </c>
      <c r="F95" s="62">
        <f>70446038-2286984</f>
        <v>68159054</v>
      </c>
      <c r="G95" s="62">
        <f>61525907-1221568</f>
        <v>60304339</v>
      </c>
      <c r="H95" s="63">
        <f t="shared" si="16"/>
        <v>128463393</v>
      </c>
      <c r="I95" s="64">
        <v>70256679</v>
      </c>
      <c r="J95" s="64">
        <v>62042698</v>
      </c>
      <c r="K95" s="63">
        <f t="shared" si="22"/>
        <v>132299377</v>
      </c>
      <c r="L95" s="32">
        <f t="shared" si="21"/>
        <v>1.0298605222111796</v>
      </c>
      <c r="M95" s="44">
        <f>K95/$K$94</f>
        <v>0.9865083572042637</v>
      </c>
      <c r="N95" s="44"/>
      <c r="O95" s="65">
        <v>75801</v>
      </c>
      <c r="P95" s="66">
        <v>2920</v>
      </c>
      <c r="Q95" s="149">
        <v>70256679</v>
      </c>
      <c r="R95" s="149">
        <v>62042698</v>
      </c>
      <c r="S95" s="6"/>
      <c r="T95" s="75"/>
      <c r="V95" s="6"/>
      <c r="AF95" s="52" t="e">
        <f>K95-#REF!</f>
        <v>#REF!</v>
      </c>
    </row>
    <row r="96" spans="1:32" s="3" customFormat="1" ht="15" customHeight="1">
      <c r="A96" s="118">
        <v>2</v>
      </c>
      <c r="B96" s="119" t="s">
        <v>133</v>
      </c>
      <c r="C96" s="62">
        <v>0</v>
      </c>
      <c r="D96" s="62">
        <v>6500000</v>
      </c>
      <c r="E96" s="63">
        <f t="shared" si="15"/>
        <v>6500000</v>
      </c>
      <c r="F96" s="62">
        <v>0</v>
      </c>
      <c r="G96" s="62">
        <v>6500000</v>
      </c>
      <c r="H96" s="63">
        <f t="shared" si="16"/>
        <v>6500000</v>
      </c>
      <c r="I96" s="64"/>
      <c r="J96" s="64"/>
      <c r="K96" s="63">
        <f t="shared" si="22"/>
        <v>0</v>
      </c>
      <c r="L96" s="32">
        <f t="shared" si="21"/>
        <v>0</v>
      </c>
      <c r="M96" s="44">
        <f>K96/$K$94</f>
        <v>0</v>
      </c>
      <c r="N96" s="44"/>
      <c r="O96" s="6"/>
      <c r="P96" s="87"/>
      <c r="Q96" s="75"/>
      <c r="R96" s="6"/>
      <c r="S96" s="6"/>
      <c r="T96" s="75"/>
      <c r="V96" s="6"/>
      <c r="AF96" s="52" t="e">
        <f>K96-#REF!</f>
        <v>#REF!</v>
      </c>
    </row>
    <row r="97" spans="1:32" s="3" customFormat="1" ht="15" customHeight="1" hidden="1">
      <c r="A97" s="118">
        <v>3</v>
      </c>
      <c r="B97" s="129" t="s">
        <v>134</v>
      </c>
      <c r="C97" s="62"/>
      <c r="D97" s="62"/>
      <c r="E97" s="63">
        <f t="shared" si="15"/>
        <v>0</v>
      </c>
      <c r="F97" s="62"/>
      <c r="G97" s="62"/>
      <c r="H97" s="63">
        <f t="shared" si="16"/>
        <v>0</v>
      </c>
      <c r="I97" s="64"/>
      <c r="J97" s="64"/>
      <c r="K97" s="63">
        <f t="shared" si="22"/>
        <v>0</v>
      </c>
      <c r="L97" s="32" t="e">
        <f t="shared" si="21"/>
        <v>#DIV/0!</v>
      </c>
      <c r="M97" s="44">
        <f>K97/$K$94</f>
        <v>0</v>
      </c>
      <c r="N97" s="44"/>
      <c r="O97" s="6"/>
      <c r="P97" s="87"/>
      <c r="Q97" s="75"/>
      <c r="R97" s="6"/>
      <c r="S97" s="6"/>
      <c r="T97" s="75"/>
      <c r="V97" s="6"/>
      <c r="AF97" s="52" t="e">
        <f>K97-#REF!</f>
        <v>#REF!</v>
      </c>
    </row>
    <row r="98" spans="1:32" s="3" customFormat="1" ht="15" customHeight="1">
      <c r="A98" s="118">
        <v>3</v>
      </c>
      <c r="B98" s="129" t="s">
        <v>135</v>
      </c>
      <c r="C98" s="62"/>
      <c r="D98" s="62">
        <v>604865</v>
      </c>
      <c r="E98" s="63">
        <f t="shared" si="15"/>
        <v>604865</v>
      </c>
      <c r="F98" s="62"/>
      <c r="G98" s="62">
        <v>604865</v>
      </c>
      <c r="H98" s="63">
        <f t="shared" si="16"/>
        <v>604865</v>
      </c>
      <c r="I98" s="64"/>
      <c r="J98" s="64">
        <v>1809347</v>
      </c>
      <c r="K98" s="63">
        <f t="shared" si="22"/>
        <v>1809347</v>
      </c>
      <c r="L98" s="32">
        <f t="shared" si="21"/>
        <v>2.991323683797211</v>
      </c>
      <c r="M98" s="44">
        <f>K98/$K$94</f>
        <v>0.013491642795736392</v>
      </c>
      <c r="N98" s="44"/>
      <c r="O98" s="65">
        <v>75832</v>
      </c>
      <c r="P98" s="66">
        <v>2920</v>
      </c>
      <c r="Q98" s="75">
        <v>1809347</v>
      </c>
      <c r="R98" s="6"/>
      <c r="S98" s="6"/>
      <c r="T98" s="75"/>
      <c r="V98" s="6"/>
      <c r="AF98" s="52" t="e">
        <f>K98-#REF!</f>
        <v>#REF!</v>
      </c>
    </row>
    <row r="99" spans="1:32" s="151" customFormat="1" ht="30" customHeight="1">
      <c r="A99" s="150" t="s">
        <v>136</v>
      </c>
      <c r="B99" s="150"/>
      <c r="C99" s="147">
        <f>C100+C128+C133</f>
        <v>43851258</v>
      </c>
      <c r="D99" s="147">
        <f>D100+D128+D133</f>
        <v>13697739</v>
      </c>
      <c r="E99" s="148">
        <f t="shared" si="15"/>
        <v>57548997</v>
      </c>
      <c r="F99" s="147">
        <f>F100+F128+F133</f>
        <v>43851258</v>
      </c>
      <c r="G99" s="147">
        <f>G100+G128+G133</f>
        <v>13697739</v>
      </c>
      <c r="H99" s="148">
        <f t="shared" si="16"/>
        <v>57548997</v>
      </c>
      <c r="I99" s="147">
        <f>I100+I128+I133</f>
        <v>46940085</v>
      </c>
      <c r="J99" s="147">
        <f>J100+J128+J133</f>
        <v>13350860</v>
      </c>
      <c r="K99" s="148">
        <f t="shared" si="22"/>
        <v>60290945</v>
      </c>
      <c r="L99" s="32">
        <f t="shared" si="21"/>
        <v>1.0476454524481114</v>
      </c>
      <c r="M99" s="44">
        <f>K99/K6</f>
        <v>0.0793033587067483</v>
      </c>
      <c r="N99" s="44"/>
      <c r="O99" s="6"/>
      <c r="P99" s="66"/>
      <c r="Q99" s="75"/>
      <c r="R99" s="6"/>
      <c r="S99" s="6"/>
      <c r="T99" s="75"/>
      <c r="U99" s="3"/>
      <c r="V99" s="6"/>
      <c r="W99" s="3"/>
      <c r="X99" s="3"/>
      <c r="Y99" s="3"/>
      <c r="Z99" s="3"/>
      <c r="AF99" s="52"/>
    </row>
    <row r="100" spans="1:32" s="155" customFormat="1" ht="16.5" customHeight="1">
      <c r="A100" s="152">
        <v>1</v>
      </c>
      <c r="B100" s="153" t="s">
        <v>137</v>
      </c>
      <c r="C100" s="55">
        <f>SUM(C101:C105,C117:C127)</f>
        <v>40536268</v>
      </c>
      <c r="D100" s="55">
        <f>SUM(D101:D105,D117:D127)</f>
        <v>12399819</v>
      </c>
      <c r="E100" s="93">
        <f t="shared" si="15"/>
        <v>52936087</v>
      </c>
      <c r="F100" s="55">
        <f>SUM(F101:F105,F117:F127)</f>
        <v>40536268</v>
      </c>
      <c r="G100" s="55">
        <f>SUM(G101:G105,G117:G127)</f>
        <v>12399819</v>
      </c>
      <c r="H100" s="93">
        <f t="shared" si="16"/>
        <v>52936087</v>
      </c>
      <c r="I100" s="55">
        <f>SUM(I101:I105,I117:I127)</f>
        <v>45251470</v>
      </c>
      <c r="J100" s="55">
        <f>SUM(J101:J105,J117:J127)</f>
        <v>12071660</v>
      </c>
      <c r="K100" s="93">
        <f t="shared" si="22"/>
        <v>57323130</v>
      </c>
      <c r="L100" s="32">
        <f t="shared" si="21"/>
        <v>1.0828743348559178</v>
      </c>
      <c r="M100" s="44">
        <f>K100/K99</f>
        <v>0.9507751122494431</v>
      </c>
      <c r="N100" s="44"/>
      <c r="O100" s="154"/>
      <c r="P100" s="66"/>
      <c r="Q100" s="75"/>
      <c r="R100" s="154"/>
      <c r="S100" s="154"/>
      <c r="T100" s="75"/>
      <c r="V100" s="154"/>
      <c r="AF100" s="52" t="e">
        <f>K100-#REF!</f>
        <v>#REF!</v>
      </c>
    </row>
    <row r="101" spans="1:32" s="3" customFormat="1" ht="12.75" customHeight="1">
      <c r="A101" s="118"/>
      <c r="B101" s="156" t="s">
        <v>138</v>
      </c>
      <c r="C101" s="62"/>
      <c r="D101" s="62">
        <v>434400</v>
      </c>
      <c r="E101" s="63">
        <f t="shared" si="15"/>
        <v>434400</v>
      </c>
      <c r="F101" s="62"/>
      <c r="G101" s="62">
        <v>434400</v>
      </c>
      <c r="H101" s="63">
        <f t="shared" si="16"/>
        <v>434400</v>
      </c>
      <c r="I101" s="64"/>
      <c r="J101" s="64">
        <v>492000</v>
      </c>
      <c r="K101" s="63">
        <f t="shared" si="22"/>
        <v>492000</v>
      </c>
      <c r="L101" s="32">
        <f t="shared" si="21"/>
        <v>1.132596685082873</v>
      </c>
      <c r="M101" s="44">
        <f>K101/$K$100</f>
        <v>0.00858292280969305</v>
      </c>
      <c r="N101" s="44"/>
      <c r="O101" s="65">
        <v>71015</v>
      </c>
      <c r="P101" s="66">
        <v>2110</v>
      </c>
      <c r="Q101" s="67">
        <f>478424-23000</f>
        <v>455424</v>
      </c>
      <c r="R101" s="6"/>
      <c r="S101" s="6"/>
      <c r="T101" s="75"/>
      <c r="V101" s="6"/>
      <c r="AF101" s="52" t="e">
        <f>SUM(AF9:AF100)</f>
        <v>#REF!</v>
      </c>
    </row>
    <row r="102" spans="1:32" s="3" customFormat="1" ht="24.75" customHeight="1" hidden="1">
      <c r="A102" s="118"/>
      <c r="B102" s="156" t="s">
        <v>139</v>
      </c>
      <c r="C102" s="62"/>
      <c r="D102" s="62"/>
      <c r="E102" s="63">
        <f aca="true" t="shared" si="23" ref="E102:E133">SUM(C102:D102)</f>
        <v>0</v>
      </c>
      <c r="F102" s="62"/>
      <c r="G102" s="62"/>
      <c r="H102" s="63">
        <f aca="true" t="shared" si="24" ref="H102:H133">SUM(F102:G102)</f>
        <v>0</v>
      </c>
      <c r="I102" s="64"/>
      <c r="J102" s="64"/>
      <c r="K102" s="63">
        <f t="shared" si="22"/>
        <v>0</v>
      </c>
      <c r="L102" s="32" t="e">
        <f t="shared" si="21"/>
        <v>#DIV/0!</v>
      </c>
      <c r="M102" s="44">
        <f>K102/$K$100</f>
        <v>0</v>
      </c>
      <c r="N102" s="44"/>
      <c r="O102" s="6"/>
      <c r="P102" s="66">
        <v>6410</v>
      </c>
      <c r="Q102" s="67">
        <v>23000</v>
      </c>
      <c r="R102" s="6"/>
      <c r="S102" s="6"/>
      <c r="T102" s="75"/>
      <c r="V102" s="6"/>
      <c r="AF102" s="52"/>
    </row>
    <row r="103" spans="1:20" ht="35.25" customHeight="1">
      <c r="A103" s="118"/>
      <c r="B103" s="119" t="s">
        <v>140</v>
      </c>
      <c r="C103" s="62"/>
      <c r="D103" s="62">
        <v>8106000</v>
      </c>
      <c r="E103" s="63">
        <f t="shared" si="23"/>
        <v>8106000</v>
      </c>
      <c r="F103" s="62"/>
      <c r="G103" s="62">
        <v>8106000</v>
      </c>
      <c r="H103" s="63">
        <f t="shared" si="24"/>
        <v>8106000</v>
      </c>
      <c r="I103" s="64"/>
      <c r="J103" s="64">
        <f>8195000+300000</f>
        <v>8495000</v>
      </c>
      <c r="K103" s="63">
        <f t="shared" si="22"/>
        <v>8495000</v>
      </c>
      <c r="L103" s="32">
        <f t="shared" si="21"/>
        <v>1.047989143844066</v>
      </c>
      <c r="M103" s="44">
        <f>K103/$K$100</f>
        <v>0.14819497818768793</v>
      </c>
      <c r="N103" s="44"/>
      <c r="O103" s="65">
        <v>75411</v>
      </c>
      <c r="P103" s="66">
        <v>2110</v>
      </c>
      <c r="Q103" s="67">
        <v>7940000</v>
      </c>
      <c r="T103" s="75"/>
    </row>
    <row r="104" spans="1:20" ht="13.5" customHeight="1" hidden="1">
      <c r="A104" s="157"/>
      <c r="B104" s="158" t="s">
        <v>141</v>
      </c>
      <c r="C104" s="62"/>
      <c r="D104" s="62"/>
      <c r="E104" s="63">
        <f t="shared" si="23"/>
        <v>0</v>
      </c>
      <c r="F104" s="62"/>
      <c r="G104" s="62"/>
      <c r="H104" s="63">
        <f t="shared" si="24"/>
        <v>0</v>
      </c>
      <c r="I104" s="64"/>
      <c r="J104" s="64"/>
      <c r="K104" s="63">
        <f t="shared" si="22"/>
        <v>0</v>
      </c>
      <c r="L104" s="32" t="e">
        <f t="shared" si="21"/>
        <v>#DIV/0!</v>
      </c>
      <c r="M104" s="44">
        <f>K104/$K$100</f>
        <v>0</v>
      </c>
      <c r="N104" s="44"/>
      <c r="O104" s="65"/>
      <c r="P104" s="66"/>
      <c r="Q104" s="75"/>
      <c r="T104" s="75"/>
    </row>
    <row r="105" spans="1:20" ht="13.5" customHeight="1">
      <c r="A105" s="118"/>
      <c r="B105" s="119" t="s">
        <v>142</v>
      </c>
      <c r="C105" s="62">
        <f>SUM(C106:C116)</f>
        <v>38639330</v>
      </c>
      <c r="D105" s="62">
        <f>SUM(D106:D116)</f>
        <v>296800</v>
      </c>
      <c r="E105" s="63">
        <f t="shared" si="23"/>
        <v>38936130</v>
      </c>
      <c r="F105" s="62">
        <f>SUM(F106:F116)</f>
        <v>38639330</v>
      </c>
      <c r="G105" s="62">
        <f>SUM(G106:G116)</f>
        <v>296800</v>
      </c>
      <c r="H105" s="63">
        <f t="shared" si="24"/>
        <v>38936130</v>
      </c>
      <c r="I105" s="64">
        <f>SUM(I106:I116)</f>
        <v>44113630</v>
      </c>
      <c r="J105" s="64">
        <f>SUM(J106:J116)</f>
        <v>265000</v>
      </c>
      <c r="K105" s="63">
        <f t="shared" si="22"/>
        <v>44378630</v>
      </c>
      <c r="L105" s="32">
        <f t="shared" si="21"/>
        <v>1.139780199007965</v>
      </c>
      <c r="M105" s="44">
        <f>K105/$K$100</f>
        <v>0.7741836497762771</v>
      </c>
      <c r="N105" s="44"/>
      <c r="O105" s="65"/>
      <c r="P105" s="66"/>
      <c r="Q105" s="75"/>
      <c r="T105" s="75"/>
    </row>
    <row r="106" spans="1:32" s="40" customFormat="1" ht="12" customHeight="1">
      <c r="A106" s="85"/>
      <c r="B106" s="159" t="s">
        <v>143</v>
      </c>
      <c r="C106" s="78">
        <f>556360-89080-31680</f>
        <v>435600</v>
      </c>
      <c r="D106" s="78"/>
      <c r="E106" s="79">
        <f t="shared" si="23"/>
        <v>435600</v>
      </c>
      <c r="F106" s="78">
        <f>556360-89080-31680</f>
        <v>435600</v>
      </c>
      <c r="G106" s="78"/>
      <c r="H106" s="79">
        <f t="shared" si="24"/>
        <v>435600</v>
      </c>
      <c r="I106" s="80">
        <v>558360</v>
      </c>
      <c r="J106" s="80"/>
      <c r="K106" s="79">
        <f t="shared" si="22"/>
        <v>558360</v>
      </c>
      <c r="L106" s="81">
        <f t="shared" si="21"/>
        <v>1.2818181818181817</v>
      </c>
      <c r="M106" s="97"/>
      <c r="N106" s="97"/>
      <c r="O106" s="98">
        <v>85203</v>
      </c>
      <c r="P106" s="99">
        <v>2010</v>
      </c>
      <c r="Q106" s="100">
        <v>442150</v>
      </c>
      <c r="R106" s="160"/>
      <c r="S106" s="160"/>
      <c r="T106" s="101"/>
      <c r="U106" s="151"/>
      <c r="V106" s="161"/>
      <c r="AF106" s="162"/>
    </row>
    <row r="107" spans="1:32" s="40" customFormat="1" ht="12" customHeight="1">
      <c r="A107" s="85"/>
      <c r="B107" s="159" t="s">
        <v>144</v>
      </c>
      <c r="C107" s="78">
        <f>428490+16510</f>
        <v>445000</v>
      </c>
      <c r="D107" s="78"/>
      <c r="E107" s="79">
        <f t="shared" si="23"/>
        <v>445000</v>
      </c>
      <c r="F107" s="78">
        <f>428490+16510</f>
        <v>445000</v>
      </c>
      <c r="G107" s="78"/>
      <c r="H107" s="79">
        <f t="shared" si="24"/>
        <v>445000</v>
      </c>
      <c r="I107" s="80">
        <v>490390</v>
      </c>
      <c r="J107" s="80"/>
      <c r="K107" s="79">
        <f t="shared" si="22"/>
        <v>490390</v>
      </c>
      <c r="L107" s="81">
        <f t="shared" si="21"/>
        <v>1.102</v>
      </c>
      <c r="M107" s="97"/>
      <c r="N107" s="97"/>
      <c r="O107" s="98">
        <v>85213</v>
      </c>
      <c r="P107" s="99">
        <v>2010</v>
      </c>
      <c r="Q107" s="100">
        <v>451650</v>
      </c>
      <c r="R107" s="160"/>
      <c r="S107" s="160"/>
      <c r="T107" s="101"/>
      <c r="U107" s="151"/>
      <c r="V107" s="161"/>
      <c r="AF107" s="162"/>
    </row>
    <row r="108" spans="1:32" s="40" customFormat="1" ht="13.5" customHeight="1">
      <c r="A108" s="85"/>
      <c r="B108" s="159" t="s">
        <v>145</v>
      </c>
      <c r="C108" s="78">
        <f>5053200+49800</f>
        <v>5103000</v>
      </c>
      <c r="D108" s="78"/>
      <c r="E108" s="79">
        <f t="shared" si="23"/>
        <v>5103000</v>
      </c>
      <c r="F108" s="78">
        <f>5053200+49800</f>
        <v>5103000</v>
      </c>
      <c r="G108" s="78"/>
      <c r="H108" s="79">
        <f t="shared" si="24"/>
        <v>5103000</v>
      </c>
      <c r="I108" s="80">
        <v>5160000</v>
      </c>
      <c r="J108" s="80"/>
      <c r="K108" s="79">
        <f t="shared" si="22"/>
        <v>5160000</v>
      </c>
      <c r="L108" s="81">
        <f t="shared" si="21"/>
        <v>1.011169900058789</v>
      </c>
      <c r="M108" s="97"/>
      <c r="N108" s="97"/>
      <c r="O108" s="98">
        <v>85214</v>
      </c>
      <c r="P108" s="99">
        <v>2010</v>
      </c>
      <c r="Q108" s="100">
        <v>4852425</v>
      </c>
      <c r="R108" s="160"/>
      <c r="S108" s="160"/>
      <c r="T108" s="101"/>
      <c r="U108" s="151"/>
      <c r="V108" s="161"/>
      <c r="AF108" s="162"/>
    </row>
    <row r="109" spans="1:32" s="40" customFormat="1" ht="11.25" customHeight="1">
      <c r="A109" s="85"/>
      <c r="B109" s="159" t="s">
        <v>146</v>
      </c>
      <c r="C109" s="78">
        <v>32407310</v>
      </c>
      <c r="D109" s="78">
        <v>41800</v>
      </c>
      <c r="E109" s="79">
        <f t="shared" si="23"/>
        <v>32449110</v>
      </c>
      <c r="F109" s="78">
        <v>32407310</v>
      </c>
      <c r="G109" s="78">
        <v>41800</v>
      </c>
      <c r="H109" s="79">
        <f t="shared" si="24"/>
        <v>32449110</v>
      </c>
      <c r="I109" s="80">
        <v>37603050</v>
      </c>
      <c r="J109" s="80"/>
      <c r="K109" s="79">
        <f t="shared" si="22"/>
        <v>37603050</v>
      </c>
      <c r="L109" s="81">
        <f t="shared" si="21"/>
        <v>1.1588314748848274</v>
      </c>
      <c r="M109" s="97"/>
      <c r="N109" s="97"/>
      <c r="O109" s="98">
        <v>85212</v>
      </c>
      <c r="P109" s="99">
        <v>2010</v>
      </c>
      <c r="Q109" s="163">
        <v>32886350</v>
      </c>
      <c r="R109" s="99">
        <v>2110</v>
      </c>
      <c r="S109" s="163">
        <v>42400</v>
      </c>
      <c r="T109" s="104">
        <f>SUM(S109,Q109)</f>
        <v>32928750</v>
      </c>
      <c r="U109" s="151"/>
      <c r="V109" s="161"/>
      <c r="AF109" s="162"/>
    </row>
    <row r="110" spans="1:32" s="40" customFormat="1" ht="13.5" customHeight="1" hidden="1">
      <c r="A110" s="85"/>
      <c r="B110" s="159" t="s">
        <v>147</v>
      </c>
      <c r="C110" s="78"/>
      <c r="D110" s="78"/>
      <c r="E110" s="79">
        <f t="shared" si="23"/>
        <v>0</v>
      </c>
      <c r="F110" s="78"/>
      <c r="G110" s="78"/>
      <c r="H110" s="79">
        <f t="shared" si="24"/>
        <v>0</v>
      </c>
      <c r="I110" s="80">
        <f aca="true" t="shared" si="25" ref="I110:J112">C110*101.5%</f>
        <v>0</v>
      </c>
      <c r="J110" s="80">
        <f t="shared" si="25"/>
        <v>0</v>
      </c>
      <c r="K110" s="79">
        <f t="shared" si="22"/>
        <v>0</v>
      </c>
      <c r="L110" s="81" t="e">
        <f t="shared" si="21"/>
        <v>#DIV/0!</v>
      </c>
      <c r="M110" s="97"/>
      <c r="N110" s="97"/>
      <c r="O110" s="98"/>
      <c r="P110" s="99"/>
      <c r="Q110" s="101"/>
      <c r="R110" s="99"/>
      <c r="S110" s="160"/>
      <c r="T110" s="101"/>
      <c r="U110" s="151"/>
      <c r="V110" s="161"/>
      <c r="AF110" s="162"/>
    </row>
    <row r="111" spans="1:32" s="40" customFormat="1" ht="13.5" customHeight="1" hidden="1">
      <c r="A111" s="85"/>
      <c r="B111" s="159" t="s">
        <v>148</v>
      </c>
      <c r="C111" s="78"/>
      <c r="D111" s="78"/>
      <c r="E111" s="79">
        <f t="shared" si="23"/>
        <v>0</v>
      </c>
      <c r="F111" s="78"/>
      <c r="G111" s="78"/>
      <c r="H111" s="79">
        <f t="shared" si="24"/>
        <v>0</v>
      </c>
      <c r="I111" s="80">
        <f t="shared" si="25"/>
        <v>0</v>
      </c>
      <c r="J111" s="80">
        <f t="shared" si="25"/>
        <v>0</v>
      </c>
      <c r="K111" s="79">
        <f t="shared" si="22"/>
        <v>0</v>
      </c>
      <c r="L111" s="81" t="e">
        <f t="shared" si="21"/>
        <v>#DIV/0!</v>
      </c>
      <c r="M111" s="97"/>
      <c r="N111" s="97"/>
      <c r="O111" s="98"/>
      <c r="P111" s="99"/>
      <c r="Q111" s="101"/>
      <c r="R111" s="99"/>
      <c r="S111" s="160"/>
      <c r="T111" s="101"/>
      <c r="U111" s="151"/>
      <c r="V111" s="161"/>
      <c r="AF111" s="162"/>
    </row>
    <row r="112" spans="1:32" s="40" customFormat="1" ht="13.5" customHeight="1" hidden="1">
      <c r="A112" s="85"/>
      <c r="B112" s="159" t="s">
        <v>149</v>
      </c>
      <c r="C112" s="78"/>
      <c r="D112" s="78"/>
      <c r="E112" s="79">
        <f t="shared" si="23"/>
        <v>0</v>
      </c>
      <c r="F112" s="78"/>
      <c r="G112" s="78"/>
      <c r="H112" s="79">
        <f t="shared" si="24"/>
        <v>0</v>
      </c>
      <c r="I112" s="80">
        <f t="shared" si="25"/>
        <v>0</v>
      </c>
      <c r="J112" s="80">
        <f t="shared" si="25"/>
        <v>0</v>
      </c>
      <c r="K112" s="79">
        <f t="shared" si="22"/>
        <v>0</v>
      </c>
      <c r="L112" s="81" t="e">
        <f t="shared" si="21"/>
        <v>#DIV/0!</v>
      </c>
      <c r="M112" s="97"/>
      <c r="N112" s="97"/>
      <c r="O112" s="98"/>
      <c r="P112" s="99"/>
      <c r="Q112" s="101"/>
      <c r="R112" s="99"/>
      <c r="S112" s="160"/>
      <c r="T112" s="101"/>
      <c r="U112" s="151"/>
      <c r="V112" s="161"/>
      <c r="AF112" s="162"/>
    </row>
    <row r="113" spans="1:32" s="40" customFormat="1" ht="14.25" customHeight="1">
      <c r="A113" s="85"/>
      <c r="B113" s="159" t="s">
        <v>150</v>
      </c>
      <c r="C113" s="78">
        <v>248420</v>
      </c>
      <c r="D113" s="78"/>
      <c r="E113" s="79">
        <f t="shared" si="23"/>
        <v>248420</v>
      </c>
      <c r="F113" s="78">
        <v>248420</v>
      </c>
      <c r="G113" s="78"/>
      <c r="H113" s="79">
        <f t="shared" si="24"/>
        <v>248420</v>
      </c>
      <c r="I113" s="80">
        <v>301830</v>
      </c>
      <c r="J113" s="80"/>
      <c r="K113" s="79">
        <f t="shared" si="22"/>
        <v>301830</v>
      </c>
      <c r="L113" s="81">
        <f t="shared" si="21"/>
        <v>1.2149987923677643</v>
      </c>
      <c r="M113" s="97"/>
      <c r="N113" s="97"/>
      <c r="O113" s="98">
        <v>85228</v>
      </c>
      <c r="P113" s="99">
        <v>2010</v>
      </c>
      <c r="Q113" s="100">
        <v>252150</v>
      </c>
      <c r="R113" s="99"/>
      <c r="S113" s="160"/>
      <c r="T113" s="101"/>
      <c r="U113" s="151"/>
      <c r="V113" s="161"/>
      <c r="AF113" s="162"/>
    </row>
    <row r="114" spans="1:32" s="40" customFormat="1" ht="13.5" customHeight="1" hidden="1">
      <c r="A114" s="85"/>
      <c r="B114" s="159" t="s">
        <v>151</v>
      </c>
      <c r="C114" s="78"/>
      <c r="D114" s="78"/>
      <c r="E114" s="79">
        <f t="shared" si="23"/>
        <v>0</v>
      </c>
      <c r="F114" s="78"/>
      <c r="G114" s="78"/>
      <c r="H114" s="79">
        <f t="shared" si="24"/>
        <v>0</v>
      </c>
      <c r="I114" s="80">
        <f>C114*101.5%</f>
        <v>0</v>
      </c>
      <c r="J114" s="80">
        <f>D114*101.5%</f>
        <v>0</v>
      </c>
      <c r="K114" s="79">
        <f t="shared" si="22"/>
        <v>0</v>
      </c>
      <c r="L114" s="81" t="e">
        <f t="shared" si="21"/>
        <v>#DIV/0!</v>
      </c>
      <c r="M114" s="97"/>
      <c r="N114" s="97"/>
      <c r="O114" s="98"/>
      <c r="P114" s="99"/>
      <c r="Q114" s="101"/>
      <c r="R114" s="99"/>
      <c r="S114" s="160"/>
      <c r="T114" s="101"/>
      <c r="U114" s="151"/>
      <c r="V114" s="161"/>
      <c r="AF114" s="162"/>
    </row>
    <row r="115" spans="1:32" s="40" customFormat="1" ht="23.25" customHeight="1">
      <c r="A115" s="85"/>
      <c r="B115" s="159" t="s">
        <v>152</v>
      </c>
      <c r="C115" s="78"/>
      <c r="D115" s="78">
        <v>255000</v>
      </c>
      <c r="E115" s="79">
        <f t="shared" si="23"/>
        <v>255000</v>
      </c>
      <c r="F115" s="78"/>
      <c r="G115" s="78">
        <v>255000</v>
      </c>
      <c r="H115" s="79">
        <f t="shared" si="24"/>
        <v>255000</v>
      </c>
      <c r="I115" s="80"/>
      <c r="J115" s="80">
        <v>265000</v>
      </c>
      <c r="K115" s="79">
        <f t="shared" si="22"/>
        <v>265000</v>
      </c>
      <c r="L115" s="81">
        <f t="shared" si="21"/>
        <v>1.0392156862745099</v>
      </c>
      <c r="M115" s="97"/>
      <c r="N115" s="97"/>
      <c r="O115" s="98">
        <v>85321</v>
      </c>
      <c r="P115" s="99">
        <v>2110</v>
      </c>
      <c r="Q115" s="100">
        <v>258800</v>
      </c>
      <c r="R115" s="99"/>
      <c r="S115" s="160"/>
      <c r="T115" s="101"/>
      <c r="U115" s="151"/>
      <c r="V115" s="161"/>
      <c r="AF115" s="162"/>
    </row>
    <row r="116" spans="1:32" s="40" customFormat="1" ht="11.25" customHeight="1" hidden="1">
      <c r="A116" s="85"/>
      <c r="B116" s="159" t="s">
        <v>153</v>
      </c>
      <c r="C116" s="78"/>
      <c r="D116" s="78"/>
      <c r="E116" s="63">
        <f t="shared" si="23"/>
        <v>0</v>
      </c>
      <c r="F116" s="78"/>
      <c r="G116" s="78"/>
      <c r="H116" s="63">
        <f t="shared" si="24"/>
        <v>0</v>
      </c>
      <c r="I116" s="64"/>
      <c r="J116" s="64"/>
      <c r="K116" s="63">
        <f t="shared" si="22"/>
        <v>0</v>
      </c>
      <c r="L116" s="32" t="e">
        <f t="shared" si="21"/>
        <v>#DIV/0!</v>
      </c>
      <c r="M116" s="44"/>
      <c r="N116" s="44"/>
      <c r="O116" s="65"/>
      <c r="P116" s="66"/>
      <c r="Q116" s="75"/>
      <c r="R116" s="66"/>
      <c r="S116" s="6"/>
      <c r="T116" s="75"/>
      <c r="U116" s="3"/>
      <c r="V116" s="7"/>
      <c r="W116" s="8"/>
      <c r="X116" s="8"/>
      <c r="Y116" s="8"/>
      <c r="Z116" s="8"/>
      <c r="AF116" s="9"/>
    </row>
    <row r="117" spans="1:20" ht="14.25" customHeight="1">
      <c r="A117" s="118"/>
      <c r="B117" s="119" t="s">
        <v>154</v>
      </c>
      <c r="C117" s="62"/>
      <c r="D117" s="62">
        <f>1508000+68000+76240</f>
        <v>1652240</v>
      </c>
      <c r="E117" s="63">
        <f t="shared" si="23"/>
        <v>1652240</v>
      </c>
      <c r="F117" s="62"/>
      <c r="G117" s="62">
        <f>1508000+68000+76240</f>
        <v>1652240</v>
      </c>
      <c r="H117" s="63">
        <f t="shared" si="24"/>
        <v>1652240</v>
      </c>
      <c r="I117" s="64"/>
      <c r="J117" s="64">
        <v>1820260</v>
      </c>
      <c r="K117" s="63">
        <f t="shared" si="22"/>
        <v>1820260</v>
      </c>
      <c r="L117" s="32">
        <f t="shared" si="21"/>
        <v>1.1016922480995497</v>
      </c>
      <c r="M117" s="44">
        <f aca="true" t="shared" si="26" ref="M117:M127">K117/$K$100</f>
        <v>0.03175437210075584</v>
      </c>
      <c r="N117" s="44"/>
      <c r="O117" s="65">
        <v>85156</v>
      </c>
      <c r="P117" s="66">
        <v>2110</v>
      </c>
      <c r="Q117" s="67">
        <v>1584023</v>
      </c>
      <c r="R117" s="66"/>
      <c r="T117" s="75"/>
    </row>
    <row r="118" spans="1:20" ht="12" customHeight="1">
      <c r="A118" s="118"/>
      <c r="B118" s="119" t="s">
        <v>155</v>
      </c>
      <c r="C118" s="62">
        <v>1054500</v>
      </c>
      <c r="D118" s="62">
        <v>531300</v>
      </c>
      <c r="E118" s="63">
        <f t="shared" si="23"/>
        <v>1585800</v>
      </c>
      <c r="F118" s="62">
        <v>1054500</v>
      </c>
      <c r="G118" s="62">
        <v>531300</v>
      </c>
      <c r="H118" s="63">
        <f t="shared" si="24"/>
        <v>1585800</v>
      </c>
      <c r="I118" s="64">
        <v>1099500</v>
      </c>
      <c r="J118" s="64">
        <v>537200</v>
      </c>
      <c r="K118" s="63">
        <f t="shared" si="22"/>
        <v>1636700</v>
      </c>
      <c r="L118" s="32">
        <f t="shared" si="21"/>
        <v>1.0320973641064446</v>
      </c>
      <c r="M118" s="44">
        <f t="shared" si="26"/>
        <v>0.028552174314277673</v>
      </c>
      <c r="N118" s="44"/>
      <c r="O118" s="65">
        <v>75011</v>
      </c>
      <c r="P118" s="66">
        <v>2010</v>
      </c>
      <c r="Q118" s="145">
        <v>1070300</v>
      </c>
      <c r="R118" s="164">
        <v>2110</v>
      </c>
      <c r="S118" s="145">
        <v>539200</v>
      </c>
      <c r="T118" s="75"/>
    </row>
    <row r="119" spans="1:20" ht="20.25" customHeight="1" hidden="1">
      <c r="A119" s="118"/>
      <c r="B119" s="119" t="s">
        <v>156</v>
      </c>
      <c r="C119" s="62"/>
      <c r="D119" s="62"/>
      <c r="E119" s="63">
        <f t="shared" si="23"/>
        <v>0</v>
      </c>
      <c r="F119" s="62"/>
      <c r="G119" s="62"/>
      <c r="H119" s="63">
        <f t="shared" si="24"/>
        <v>0</v>
      </c>
      <c r="I119" s="64">
        <f>C119*101.5%</f>
        <v>0</v>
      </c>
      <c r="J119" s="64">
        <f>D119*101.5%</f>
        <v>0</v>
      </c>
      <c r="K119" s="63">
        <f t="shared" si="22"/>
        <v>0</v>
      </c>
      <c r="L119" s="32" t="e">
        <f t="shared" si="21"/>
        <v>#DIV/0!</v>
      </c>
      <c r="M119" s="44">
        <f t="shared" si="26"/>
        <v>0</v>
      </c>
      <c r="N119" s="44"/>
      <c r="O119" s="65"/>
      <c r="P119" s="66"/>
      <c r="Q119" s="75"/>
      <c r="R119" s="66"/>
      <c r="T119" s="75"/>
    </row>
    <row r="120" spans="1:20" ht="15.75" customHeight="1">
      <c r="A120" s="118"/>
      <c r="B120" s="119" t="s">
        <v>157</v>
      </c>
      <c r="C120" s="62">
        <f>306270+8000</f>
        <v>314270</v>
      </c>
      <c r="D120" s="62"/>
      <c r="E120" s="63">
        <f t="shared" si="23"/>
        <v>314270</v>
      </c>
      <c r="F120" s="62">
        <f>306270+8000</f>
        <v>314270</v>
      </c>
      <c r="G120" s="62"/>
      <c r="H120" s="63">
        <f t="shared" si="24"/>
        <v>314270</v>
      </c>
      <c r="I120" s="64"/>
      <c r="J120" s="64"/>
      <c r="K120" s="63">
        <f t="shared" si="22"/>
        <v>0</v>
      </c>
      <c r="L120" s="32">
        <f t="shared" si="21"/>
        <v>0</v>
      </c>
      <c r="M120" s="44">
        <f t="shared" si="26"/>
        <v>0</v>
      </c>
      <c r="N120" s="44"/>
      <c r="O120" s="65"/>
      <c r="P120" s="66"/>
      <c r="Q120" s="75"/>
      <c r="R120" s="66"/>
      <c r="T120" s="75"/>
    </row>
    <row r="121" spans="1:20" ht="21" customHeight="1">
      <c r="A121" s="118"/>
      <c r="B121" s="119" t="s">
        <v>158</v>
      </c>
      <c r="C121" s="62">
        <f>95710+19398+148680+227770</f>
        <v>491558</v>
      </c>
      <c r="D121" s="62"/>
      <c r="E121" s="63">
        <f t="shared" si="23"/>
        <v>491558</v>
      </c>
      <c r="F121" s="62">
        <f>95710+19398+148680+227770</f>
        <v>491558</v>
      </c>
      <c r="G121" s="62"/>
      <c r="H121" s="63">
        <f t="shared" si="24"/>
        <v>491558</v>
      </c>
      <c r="I121" s="64"/>
      <c r="J121" s="64"/>
      <c r="K121" s="63">
        <f t="shared" si="22"/>
        <v>0</v>
      </c>
      <c r="L121" s="32">
        <f t="shared" si="21"/>
        <v>0</v>
      </c>
      <c r="M121" s="44">
        <f t="shared" si="26"/>
        <v>0</v>
      </c>
      <c r="N121" s="44"/>
      <c r="O121" s="65"/>
      <c r="P121" s="66"/>
      <c r="Q121" s="75"/>
      <c r="R121" s="66"/>
      <c r="T121" s="75"/>
    </row>
    <row r="122" spans="1:32" s="135" customFormat="1" ht="12" customHeight="1">
      <c r="A122" s="118"/>
      <c r="B122" s="119" t="s">
        <v>159</v>
      </c>
      <c r="C122" s="62">
        <v>36610</v>
      </c>
      <c r="D122" s="62"/>
      <c r="E122" s="63">
        <f t="shared" si="23"/>
        <v>36610</v>
      </c>
      <c r="F122" s="62">
        <v>36610</v>
      </c>
      <c r="G122" s="62"/>
      <c r="H122" s="63">
        <f t="shared" si="24"/>
        <v>36610</v>
      </c>
      <c r="I122" s="64">
        <v>38340</v>
      </c>
      <c r="J122" s="64"/>
      <c r="K122" s="63">
        <f t="shared" si="22"/>
        <v>38340</v>
      </c>
      <c r="L122" s="32">
        <f t="shared" si="21"/>
        <v>1.0472548484020758</v>
      </c>
      <c r="M122" s="44">
        <f t="shared" si="26"/>
        <v>0.0006688399604138853</v>
      </c>
      <c r="N122" s="44"/>
      <c r="O122" s="65">
        <v>75101</v>
      </c>
      <c r="P122" s="66">
        <v>2010</v>
      </c>
      <c r="Q122" s="67">
        <v>37160</v>
      </c>
      <c r="R122" s="66"/>
      <c r="S122" s="12"/>
      <c r="T122" s="75"/>
      <c r="U122" s="11"/>
      <c r="V122" s="165"/>
      <c r="AF122" s="166"/>
    </row>
    <row r="123" spans="1:32" s="135" customFormat="1" ht="22.5" hidden="1">
      <c r="A123" s="118"/>
      <c r="B123" s="119" t="s">
        <v>160</v>
      </c>
      <c r="C123" s="62"/>
      <c r="D123" s="62"/>
      <c r="E123" s="63">
        <f t="shared" si="23"/>
        <v>0</v>
      </c>
      <c r="F123" s="62"/>
      <c r="G123" s="62"/>
      <c r="H123" s="63">
        <f t="shared" si="24"/>
        <v>0</v>
      </c>
      <c r="I123" s="64">
        <f>C123*101.5%</f>
        <v>0</v>
      </c>
      <c r="J123" s="64">
        <f>D123*101.5%</f>
        <v>0</v>
      </c>
      <c r="K123" s="63">
        <f t="shared" si="22"/>
        <v>0</v>
      </c>
      <c r="L123" s="32" t="e">
        <f t="shared" si="21"/>
        <v>#DIV/0!</v>
      </c>
      <c r="M123" s="44">
        <f t="shared" si="26"/>
        <v>0</v>
      </c>
      <c r="N123" s="44"/>
      <c r="O123" s="65"/>
      <c r="P123" s="66"/>
      <c r="Q123" s="75"/>
      <c r="R123" s="66"/>
      <c r="S123" s="12"/>
      <c r="T123" s="75"/>
      <c r="U123" s="11"/>
      <c r="V123" s="165"/>
      <c r="AF123" s="166"/>
    </row>
    <row r="124" spans="1:20" ht="10.5" customHeight="1">
      <c r="A124" s="157"/>
      <c r="B124" s="158" t="s">
        <v>161</v>
      </c>
      <c r="C124" s="62"/>
      <c r="D124" s="62">
        <v>173000</v>
      </c>
      <c r="E124" s="63">
        <f t="shared" si="23"/>
        <v>173000</v>
      </c>
      <c r="F124" s="62"/>
      <c r="G124" s="62">
        <v>173000</v>
      </c>
      <c r="H124" s="63">
        <f t="shared" si="24"/>
        <v>173000</v>
      </c>
      <c r="I124" s="64"/>
      <c r="J124" s="64">
        <v>175000</v>
      </c>
      <c r="K124" s="63">
        <f t="shared" si="22"/>
        <v>175000</v>
      </c>
      <c r="L124" s="32">
        <f t="shared" si="21"/>
        <v>1.0115606936416186</v>
      </c>
      <c r="M124" s="44">
        <f t="shared" si="26"/>
        <v>0.0030528688855615527</v>
      </c>
      <c r="N124" s="44"/>
      <c r="O124" s="65">
        <v>71013</v>
      </c>
      <c r="P124" s="66">
        <v>2110</v>
      </c>
      <c r="Q124" s="67">
        <v>200000</v>
      </c>
      <c r="R124" s="66"/>
      <c r="T124" s="75"/>
    </row>
    <row r="125" spans="1:20" ht="21.75" customHeight="1">
      <c r="A125" s="157"/>
      <c r="B125" s="158" t="s">
        <v>162</v>
      </c>
      <c r="C125" s="62"/>
      <c r="D125" s="62">
        <v>60000</v>
      </c>
      <c r="E125" s="63">
        <f t="shared" si="23"/>
        <v>60000</v>
      </c>
      <c r="F125" s="62"/>
      <c r="G125" s="62">
        <v>60000</v>
      </c>
      <c r="H125" s="63">
        <f t="shared" si="24"/>
        <v>60000</v>
      </c>
      <c r="I125" s="64"/>
      <c r="J125" s="64">
        <v>60000</v>
      </c>
      <c r="K125" s="63">
        <f t="shared" si="22"/>
        <v>60000</v>
      </c>
      <c r="L125" s="32">
        <f t="shared" si="21"/>
        <v>1</v>
      </c>
      <c r="M125" s="44">
        <f t="shared" si="26"/>
        <v>0.0010466979036211038</v>
      </c>
      <c r="N125" s="44"/>
      <c r="O125" s="65">
        <v>71014</v>
      </c>
      <c r="P125" s="66">
        <v>2110</v>
      </c>
      <c r="Q125" s="67">
        <v>60000</v>
      </c>
      <c r="R125" s="66"/>
      <c r="T125" s="75"/>
    </row>
    <row r="126" spans="1:20" ht="21.75" customHeight="1">
      <c r="A126" s="157"/>
      <c r="B126" s="158" t="s">
        <v>163</v>
      </c>
      <c r="C126" s="62"/>
      <c r="D126" s="62">
        <f>454592+597487</f>
        <v>1052079</v>
      </c>
      <c r="E126" s="63">
        <f t="shared" si="23"/>
        <v>1052079</v>
      </c>
      <c r="F126" s="62"/>
      <c r="G126" s="62">
        <f>454592+597487</f>
        <v>1052079</v>
      </c>
      <c r="H126" s="63">
        <f t="shared" si="24"/>
        <v>1052079</v>
      </c>
      <c r="I126" s="64"/>
      <c r="J126" s="64">
        <v>130000</v>
      </c>
      <c r="K126" s="63">
        <f t="shared" si="22"/>
        <v>130000</v>
      </c>
      <c r="L126" s="32">
        <f t="shared" si="21"/>
        <v>0.12356486537607918</v>
      </c>
      <c r="M126" s="44">
        <f t="shared" si="26"/>
        <v>0.0022678454578457245</v>
      </c>
      <c r="N126" s="44"/>
      <c r="O126" s="65">
        <v>70005</v>
      </c>
      <c r="P126" s="66">
        <v>2110</v>
      </c>
      <c r="Q126" s="67">
        <v>126800</v>
      </c>
      <c r="R126" s="66"/>
      <c r="T126" s="75"/>
    </row>
    <row r="127" spans="1:32" s="128" customFormat="1" ht="12" customHeight="1">
      <c r="A127" s="142"/>
      <c r="B127" s="130" t="s">
        <v>164</v>
      </c>
      <c r="C127" s="62"/>
      <c r="D127" s="62">
        <v>94000</v>
      </c>
      <c r="E127" s="63">
        <f t="shared" si="23"/>
        <v>94000</v>
      </c>
      <c r="F127" s="62"/>
      <c r="G127" s="62">
        <v>94000</v>
      </c>
      <c r="H127" s="63">
        <f t="shared" si="24"/>
        <v>94000</v>
      </c>
      <c r="I127" s="64"/>
      <c r="J127" s="64">
        <v>97200</v>
      </c>
      <c r="K127" s="63">
        <f t="shared" si="22"/>
        <v>97200</v>
      </c>
      <c r="L127" s="32">
        <f t="shared" si="21"/>
        <v>1.0340425531914894</v>
      </c>
      <c r="M127" s="44">
        <f t="shared" si="26"/>
        <v>0.001695650603866188</v>
      </c>
      <c r="N127" s="44"/>
      <c r="O127" s="65">
        <v>75045</v>
      </c>
      <c r="P127" s="66">
        <v>2110</v>
      </c>
      <c r="Q127" s="67">
        <v>95400</v>
      </c>
      <c r="R127" s="66"/>
      <c r="S127" s="50"/>
      <c r="T127" s="75"/>
      <c r="U127" s="51"/>
      <c r="V127" s="126"/>
      <c r="W127" s="127"/>
      <c r="X127" s="127"/>
      <c r="Y127" s="127"/>
      <c r="Z127" s="127"/>
      <c r="AF127" s="9"/>
    </row>
    <row r="128" spans="1:32" s="128" customFormat="1" ht="39" customHeight="1">
      <c r="A128" s="88">
        <v>2</v>
      </c>
      <c r="B128" s="92" t="s">
        <v>165</v>
      </c>
      <c r="C128" s="167">
        <f>SUM(C129:C132)</f>
        <v>287500</v>
      </c>
      <c r="D128" s="167">
        <f>SUM(D129:D132)</f>
        <v>0</v>
      </c>
      <c r="E128" s="93">
        <f t="shared" si="23"/>
        <v>287500</v>
      </c>
      <c r="F128" s="167">
        <f>SUM(F129:F132)</f>
        <v>287500</v>
      </c>
      <c r="G128" s="167">
        <f>SUM(G129:G132)</f>
        <v>0</v>
      </c>
      <c r="H128" s="93">
        <f t="shared" si="24"/>
        <v>287500</v>
      </c>
      <c r="I128" s="167">
        <f>SUM(I129:I132)</f>
        <v>0</v>
      </c>
      <c r="J128" s="167">
        <f>SUM(J129:J132)</f>
        <v>0</v>
      </c>
      <c r="K128" s="93">
        <f t="shared" si="22"/>
        <v>0</v>
      </c>
      <c r="L128" s="32">
        <f t="shared" si="21"/>
        <v>0</v>
      </c>
      <c r="M128" s="44">
        <f>K128/K99</f>
        <v>0</v>
      </c>
      <c r="N128" s="44"/>
      <c r="O128" s="65"/>
      <c r="P128" s="66"/>
      <c r="Q128" s="51"/>
      <c r="R128" s="66"/>
      <c r="S128" s="50"/>
      <c r="T128" s="75"/>
      <c r="U128" s="51"/>
      <c r="V128" s="126"/>
      <c r="W128" s="127"/>
      <c r="X128" s="127"/>
      <c r="Y128" s="127"/>
      <c r="Z128" s="127"/>
      <c r="AF128" s="9"/>
    </row>
    <row r="129" spans="1:32" s="144" customFormat="1" ht="13.5" customHeight="1" hidden="1">
      <c r="A129" s="142"/>
      <c r="B129" s="143" t="s">
        <v>166</v>
      </c>
      <c r="C129" s="62"/>
      <c r="D129" s="62"/>
      <c r="E129" s="63">
        <f t="shared" si="23"/>
        <v>0</v>
      </c>
      <c r="F129" s="62"/>
      <c r="G129" s="62"/>
      <c r="H129" s="63">
        <f t="shared" si="24"/>
        <v>0</v>
      </c>
      <c r="I129" s="64">
        <f>C129*101.5%</f>
        <v>0</v>
      </c>
      <c r="J129" s="64">
        <f>D129*101.5%</f>
        <v>0</v>
      </c>
      <c r="K129" s="93">
        <f t="shared" si="22"/>
        <v>0</v>
      </c>
      <c r="L129" s="32"/>
      <c r="M129" s="44" t="e">
        <f>K129/$K$128</f>
        <v>#DIV/0!</v>
      </c>
      <c r="N129" s="44"/>
      <c r="O129" s="65"/>
      <c r="P129" s="66"/>
      <c r="Q129" s="51"/>
      <c r="R129" s="66"/>
      <c r="S129" s="50"/>
      <c r="T129" s="75"/>
      <c r="U129" s="51"/>
      <c r="V129" s="50"/>
      <c r="W129" s="51"/>
      <c r="X129" s="51"/>
      <c r="Y129" s="51"/>
      <c r="Z129" s="51"/>
      <c r="AF129" s="52"/>
    </row>
    <row r="130" spans="1:32" s="144" customFormat="1" ht="13.5" customHeight="1">
      <c r="A130" s="142"/>
      <c r="B130" s="143" t="s">
        <v>167</v>
      </c>
      <c r="C130" s="62">
        <v>180000</v>
      </c>
      <c r="D130" s="62"/>
      <c r="E130" s="63">
        <f t="shared" si="23"/>
        <v>180000</v>
      </c>
      <c r="F130" s="62">
        <v>180000</v>
      </c>
      <c r="G130" s="62"/>
      <c r="H130" s="63">
        <f t="shared" si="24"/>
        <v>180000</v>
      </c>
      <c r="I130" s="64"/>
      <c r="J130" s="64"/>
      <c r="K130" s="63">
        <f t="shared" si="22"/>
        <v>0</v>
      </c>
      <c r="L130" s="32">
        <f aca="true" t="shared" si="27" ref="L130:L152">K130/H130</f>
        <v>0</v>
      </c>
      <c r="M130" s="44" t="e">
        <f>K130/$K$128</f>
        <v>#DIV/0!</v>
      </c>
      <c r="N130" s="44"/>
      <c r="O130" s="65"/>
      <c r="P130" s="66"/>
      <c r="Q130" s="51"/>
      <c r="R130" s="66"/>
      <c r="S130" s="50"/>
      <c r="T130" s="75"/>
      <c r="U130" s="51"/>
      <c r="V130" s="50"/>
      <c r="W130" s="51"/>
      <c r="X130" s="51"/>
      <c r="Y130" s="51"/>
      <c r="Z130" s="51"/>
      <c r="AF130" s="52"/>
    </row>
    <row r="131" spans="1:32" s="144" customFormat="1" ht="13.5" customHeight="1">
      <c r="A131" s="142"/>
      <c r="B131" s="143" t="s">
        <v>168</v>
      </c>
      <c r="C131" s="62">
        <v>80000</v>
      </c>
      <c r="D131" s="62"/>
      <c r="E131" s="63">
        <f t="shared" si="23"/>
        <v>80000</v>
      </c>
      <c r="F131" s="62">
        <v>80000</v>
      </c>
      <c r="G131" s="62"/>
      <c r="H131" s="63">
        <f t="shared" si="24"/>
        <v>80000</v>
      </c>
      <c r="I131" s="64"/>
      <c r="J131" s="64"/>
      <c r="K131" s="63">
        <f t="shared" si="22"/>
        <v>0</v>
      </c>
      <c r="L131" s="32">
        <f t="shared" si="27"/>
        <v>0</v>
      </c>
      <c r="M131" s="44" t="e">
        <f>K131/$K$128</f>
        <v>#DIV/0!</v>
      </c>
      <c r="N131" s="44"/>
      <c r="O131" s="65"/>
      <c r="P131" s="66"/>
      <c r="Q131" s="51"/>
      <c r="R131" s="66"/>
      <c r="S131" s="50"/>
      <c r="T131" s="75"/>
      <c r="U131" s="51"/>
      <c r="V131" s="50"/>
      <c r="W131" s="51"/>
      <c r="X131" s="51"/>
      <c r="Y131" s="51"/>
      <c r="Z131" s="51"/>
      <c r="AF131" s="52"/>
    </row>
    <row r="132" spans="1:20" ht="12.75" customHeight="1">
      <c r="A132" s="118"/>
      <c r="B132" s="130" t="s">
        <v>169</v>
      </c>
      <c r="C132" s="62">
        <v>27500</v>
      </c>
      <c r="D132" s="62"/>
      <c r="E132" s="63">
        <f t="shared" si="23"/>
        <v>27500</v>
      </c>
      <c r="F132" s="62">
        <v>27500</v>
      </c>
      <c r="G132" s="62"/>
      <c r="H132" s="63">
        <f t="shared" si="24"/>
        <v>27500</v>
      </c>
      <c r="I132" s="64"/>
      <c r="J132" s="64"/>
      <c r="K132" s="63">
        <f t="shared" si="22"/>
        <v>0</v>
      </c>
      <c r="L132" s="32">
        <f t="shared" si="27"/>
        <v>0</v>
      </c>
      <c r="M132" s="44" t="e">
        <f>K132/$K$128</f>
        <v>#DIV/0!</v>
      </c>
      <c r="N132" s="44"/>
      <c r="O132" s="65">
        <v>71035</v>
      </c>
      <c r="P132" s="66">
        <v>2020</v>
      </c>
      <c r="Q132" s="67">
        <v>27900</v>
      </c>
      <c r="T132" s="75"/>
    </row>
    <row r="133" spans="1:32" s="3" customFormat="1" ht="36" customHeight="1">
      <c r="A133" s="88">
        <v>3</v>
      </c>
      <c r="B133" s="92" t="s">
        <v>170</v>
      </c>
      <c r="C133" s="55">
        <f>SUM(C134:C140)</f>
        <v>3027490</v>
      </c>
      <c r="D133" s="55">
        <f>SUM(D134:D140)</f>
        <v>1297920</v>
      </c>
      <c r="E133" s="93">
        <f t="shared" si="23"/>
        <v>4325410</v>
      </c>
      <c r="F133" s="55">
        <f>SUM(F134:F140)</f>
        <v>3027490</v>
      </c>
      <c r="G133" s="55">
        <f>SUM(G134:G140)</f>
        <v>1297920</v>
      </c>
      <c r="H133" s="93">
        <f t="shared" si="24"/>
        <v>4325410</v>
      </c>
      <c r="I133" s="93">
        <f>SUM(I134:I140)</f>
        <v>1688615</v>
      </c>
      <c r="J133" s="93">
        <f>SUM(J134:J140)</f>
        <v>1279200</v>
      </c>
      <c r="K133" s="93">
        <f t="shared" si="22"/>
        <v>2967815</v>
      </c>
      <c r="L133" s="32">
        <f t="shared" si="27"/>
        <v>0.6861349559926111</v>
      </c>
      <c r="M133" s="44">
        <f>K133/K36</f>
        <v>0.03757087054158482</v>
      </c>
      <c r="N133" s="44"/>
      <c r="O133" s="65"/>
      <c r="P133" s="66"/>
      <c r="R133" s="6"/>
      <c r="S133" s="6"/>
      <c r="T133" s="75"/>
      <c r="V133" s="6"/>
      <c r="AF133" s="52"/>
    </row>
    <row r="134" spans="1:32" s="3" customFormat="1" ht="13.5" customHeight="1" hidden="1">
      <c r="A134" s="118"/>
      <c r="B134" s="129" t="s">
        <v>171</v>
      </c>
      <c r="C134" s="62"/>
      <c r="D134" s="62"/>
      <c r="E134" s="63">
        <f aca="true" t="shared" si="28" ref="E134:E165">SUM(C134:D134)</f>
        <v>0</v>
      </c>
      <c r="F134" s="62"/>
      <c r="G134" s="62"/>
      <c r="H134" s="63">
        <f aca="true" t="shared" si="29" ref="H134:H165">SUM(F134:G134)</f>
        <v>0</v>
      </c>
      <c r="I134" s="63"/>
      <c r="J134" s="63"/>
      <c r="K134" s="63"/>
      <c r="L134" s="32" t="e">
        <f t="shared" si="27"/>
        <v>#DIV/0!</v>
      </c>
      <c r="M134" s="44"/>
      <c r="N134" s="44"/>
      <c r="O134" s="65"/>
      <c r="P134" s="66"/>
      <c r="R134" s="6"/>
      <c r="S134" s="6"/>
      <c r="T134" s="75"/>
      <c r="V134" s="6"/>
      <c r="AF134" s="52"/>
    </row>
    <row r="135" spans="1:32" s="3" customFormat="1" ht="13.5" customHeight="1" hidden="1">
      <c r="A135" s="118"/>
      <c r="B135" s="129" t="s">
        <v>172</v>
      </c>
      <c r="C135" s="62"/>
      <c r="D135" s="62"/>
      <c r="E135" s="63">
        <f t="shared" si="28"/>
        <v>0</v>
      </c>
      <c r="F135" s="62"/>
      <c r="G135" s="62"/>
      <c r="H135" s="63">
        <f t="shared" si="29"/>
        <v>0</v>
      </c>
      <c r="I135" s="63"/>
      <c r="J135" s="63"/>
      <c r="K135" s="63"/>
      <c r="L135" s="32" t="e">
        <f t="shared" si="27"/>
        <v>#DIV/0!</v>
      </c>
      <c r="M135" s="44"/>
      <c r="N135" s="44"/>
      <c r="O135" s="65"/>
      <c r="P135" s="66"/>
      <c r="R135" s="6"/>
      <c r="S135" s="6"/>
      <c r="T135" s="75"/>
      <c r="V135" s="6"/>
      <c r="AF135" s="52"/>
    </row>
    <row r="136" spans="1:32" s="70" customFormat="1" ht="22.5" customHeight="1">
      <c r="A136" s="60"/>
      <c r="B136" s="61" t="s">
        <v>173</v>
      </c>
      <c r="C136" s="62">
        <v>100040</v>
      </c>
      <c r="D136" s="78"/>
      <c r="E136" s="63">
        <f t="shared" si="28"/>
        <v>100040</v>
      </c>
      <c r="F136" s="62">
        <v>100040</v>
      </c>
      <c r="G136" s="78"/>
      <c r="H136" s="63">
        <f t="shared" si="29"/>
        <v>100040</v>
      </c>
      <c r="I136" s="64"/>
      <c r="J136" s="64"/>
      <c r="K136" s="63">
        <f aca="true" t="shared" si="30" ref="K136:K155">SUM(I136:J136)</f>
        <v>0</v>
      </c>
      <c r="L136" s="32">
        <f t="shared" si="27"/>
        <v>0</v>
      </c>
      <c r="M136" s="44">
        <f aca="true" t="shared" si="31" ref="M136:M141">K136/$K$133</f>
        <v>0</v>
      </c>
      <c r="N136" s="44"/>
      <c r="O136" s="65"/>
      <c r="P136" s="66"/>
      <c r="Q136" s="73"/>
      <c r="R136" s="65"/>
      <c r="S136" s="65"/>
      <c r="T136" s="75"/>
      <c r="U136" s="73"/>
      <c r="V136" s="69"/>
      <c r="AF136" s="109"/>
    </row>
    <row r="137" spans="1:32" s="70" customFormat="1" ht="14.25" customHeight="1">
      <c r="A137" s="60"/>
      <c r="B137" s="61" t="s">
        <v>174</v>
      </c>
      <c r="C137" s="62">
        <v>1000000</v>
      </c>
      <c r="D137" s="78"/>
      <c r="E137" s="63">
        <f t="shared" si="28"/>
        <v>1000000</v>
      </c>
      <c r="F137" s="62">
        <v>1000000</v>
      </c>
      <c r="G137" s="78"/>
      <c r="H137" s="63">
        <f t="shared" si="29"/>
        <v>1000000</v>
      </c>
      <c r="I137" s="64"/>
      <c r="J137" s="64"/>
      <c r="K137" s="63">
        <f t="shared" si="30"/>
        <v>0</v>
      </c>
      <c r="L137" s="32">
        <f t="shared" si="27"/>
        <v>0</v>
      </c>
      <c r="M137" s="44">
        <f t="shared" si="31"/>
        <v>0</v>
      </c>
      <c r="N137" s="44"/>
      <c r="O137" s="65"/>
      <c r="P137" s="66"/>
      <c r="Q137" s="73"/>
      <c r="R137" s="65"/>
      <c r="S137" s="65"/>
      <c r="T137" s="75"/>
      <c r="U137" s="73"/>
      <c r="V137" s="69"/>
      <c r="AF137" s="109"/>
    </row>
    <row r="138" spans="1:32" s="70" customFormat="1" ht="12" customHeight="1">
      <c r="A138" s="60"/>
      <c r="B138" s="61" t="s">
        <v>172</v>
      </c>
      <c r="C138" s="62">
        <v>56400</v>
      </c>
      <c r="D138" s="78"/>
      <c r="E138" s="63">
        <f t="shared" si="28"/>
        <v>56400</v>
      </c>
      <c r="F138" s="62">
        <v>56400</v>
      </c>
      <c r="G138" s="78"/>
      <c r="H138" s="63">
        <f t="shared" si="29"/>
        <v>56400</v>
      </c>
      <c r="I138" s="64"/>
      <c r="J138" s="64"/>
      <c r="K138" s="63">
        <f t="shared" si="30"/>
        <v>0</v>
      </c>
      <c r="L138" s="32">
        <f t="shared" si="27"/>
        <v>0</v>
      </c>
      <c r="M138" s="44">
        <f t="shared" si="31"/>
        <v>0</v>
      </c>
      <c r="N138" s="44"/>
      <c r="O138" s="65"/>
      <c r="P138" s="66"/>
      <c r="Q138" s="73"/>
      <c r="R138" s="65"/>
      <c r="S138" s="65"/>
      <c r="T138" s="75"/>
      <c r="U138" s="73"/>
      <c r="V138" s="69"/>
      <c r="AF138" s="109"/>
    </row>
    <row r="139" spans="1:32" s="3" customFormat="1" ht="15" customHeight="1">
      <c r="A139" s="118"/>
      <c r="B139" s="129" t="s">
        <v>175</v>
      </c>
      <c r="C139" s="62">
        <f>300+8300</f>
        <v>8600</v>
      </c>
      <c r="D139" s="62"/>
      <c r="E139" s="63">
        <f t="shared" si="28"/>
        <v>8600</v>
      </c>
      <c r="F139" s="62">
        <f>300+8300</f>
        <v>8600</v>
      </c>
      <c r="G139" s="62"/>
      <c r="H139" s="63">
        <f t="shared" si="29"/>
        <v>8600</v>
      </c>
      <c r="I139" s="63"/>
      <c r="J139" s="63"/>
      <c r="K139" s="63">
        <f t="shared" si="30"/>
        <v>0</v>
      </c>
      <c r="L139" s="32">
        <f t="shared" si="27"/>
        <v>0</v>
      </c>
      <c r="M139" s="44">
        <f t="shared" si="31"/>
        <v>0</v>
      </c>
      <c r="N139" s="44"/>
      <c r="O139" s="65"/>
      <c r="P139" s="66"/>
      <c r="R139" s="6"/>
      <c r="S139" s="6"/>
      <c r="T139" s="75"/>
      <c r="V139" s="6"/>
      <c r="AF139" s="52"/>
    </row>
    <row r="140" spans="1:20" ht="12" customHeight="1">
      <c r="A140" s="118"/>
      <c r="B140" s="129" t="s">
        <v>176</v>
      </c>
      <c r="C140" s="62">
        <f>SUM(C141:C148)</f>
        <v>1862450</v>
      </c>
      <c r="D140" s="62">
        <f>SUM(D141:D148)</f>
        <v>1297920</v>
      </c>
      <c r="E140" s="63">
        <f t="shared" si="28"/>
        <v>3160370</v>
      </c>
      <c r="F140" s="62">
        <f>SUM(F141:F148)</f>
        <v>1862450</v>
      </c>
      <c r="G140" s="62">
        <f>SUM(G141:G148)</f>
        <v>1297920</v>
      </c>
      <c r="H140" s="63">
        <f t="shared" si="29"/>
        <v>3160370</v>
      </c>
      <c r="I140" s="64">
        <f>SUM(I142:I148)</f>
        <v>1688615</v>
      </c>
      <c r="J140" s="64">
        <f>SUM(J142:J148)</f>
        <v>1279200</v>
      </c>
      <c r="K140" s="63">
        <f t="shared" si="30"/>
        <v>2967815</v>
      </c>
      <c r="L140" s="32">
        <f t="shared" si="27"/>
        <v>0.9390720073915396</v>
      </c>
      <c r="M140" s="44">
        <f t="shared" si="31"/>
        <v>1</v>
      </c>
      <c r="N140" s="44"/>
      <c r="O140" s="65"/>
      <c r="P140" s="66"/>
      <c r="Q140" s="3">
        <v>1396200</v>
      </c>
      <c r="T140" s="75"/>
    </row>
    <row r="141" spans="1:32" s="70" customFormat="1" ht="13.5" customHeight="1" hidden="1">
      <c r="A141" s="60"/>
      <c r="B141" s="168" t="s">
        <v>177</v>
      </c>
      <c r="C141" s="78"/>
      <c r="D141" s="78"/>
      <c r="E141" s="63">
        <f t="shared" si="28"/>
        <v>0</v>
      </c>
      <c r="F141" s="78"/>
      <c r="G141" s="78"/>
      <c r="H141" s="63">
        <f t="shared" si="29"/>
        <v>0</v>
      </c>
      <c r="I141" s="64"/>
      <c r="J141" s="64"/>
      <c r="K141" s="63">
        <f t="shared" si="30"/>
        <v>0</v>
      </c>
      <c r="L141" s="32" t="e">
        <f t="shared" si="27"/>
        <v>#DIV/0!</v>
      </c>
      <c r="M141" s="44">
        <f t="shared" si="31"/>
        <v>0</v>
      </c>
      <c r="N141" s="44"/>
      <c r="O141" s="65"/>
      <c r="P141" s="66"/>
      <c r="Q141" s="73"/>
      <c r="R141" s="65"/>
      <c r="S141" s="65"/>
      <c r="T141" s="75"/>
      <c r="U141" s="73"/>
      <c r="V141" s="69"/>
      <c r="AF141" s="109"/>
    </row>
    <row r="142" spans="1:32" s="82" customFormat="1" ht="15.75" customHeight="1">
      <c r="A142" s="76"/>
      <c r="B142" s="168" t="s">
        <v>178</v>
      </c>
      <c r="C142" s="78">
        <f>197344+114896</f>
        <v>312240</v>
      </c>
      <c r="D142" s="78"/>
      <c r="E142" s="79">
        <f t="shared" si="28"/>
        <v>312240</v>
      </c>
      <c r="F142" s="78">
        <f>197344+114896</f>
        <v>312240</v>
      </c>
      <c r="G142" s="78"/>
      <c r="H142" s="79">
        <f t="shared" si="29"/>
        <v>312240</v>
      </c>
      <c r="I142" s="80">
        <v>197450</v>
      </c>
      <c r="J142" s="80"/>
      <c r="K142" s="79">
        <f t="shared" si="30"/>
        <v>197450</v>
      </c>
      <c r="L142" s="81">
        <f t="shared" si="27"/>
        <v>0.632366128619011</v>
      </c>
      <c r="M142" s="97"/>
      <c r="N142" s="97"/>
      <c r="O142" s="98"/>
      <c r="P142" s="99"/>
      <c r="Q142" s="84"/>
      <c r="R142" s="98"/>
      <c r="S142" s="98"/>
      <c r="T142" s="101"/>
      <c r="U142" s="84"/>
      <c r="V142" s="102"/>
      <c r="AF142" s="105"/>
    </row>
    <row r="143" spans="1:32" s="128" customFormat="1" ht="14.25" customHeight="1">
      <c r="A143" s="142"/>
      <c r="B143" s="169" t="s">
        <v>179</v>
      </c>
      <c r="C143" s="78"/>
      <c r="D143" s="78">
        <v>1053440</v>
      </c>
      <c r="E143" s="79">
        <f t="shared" si="28"/>
        <v>1053440</v>
      </c>
      <c r="F143" s="78"/>
      <c r="G143" s="78">
        <v>1053440</v>
      </c>
      <c r="H143" s="79">
        <f t="shared" si="29"/>
        <v>1053440</v>
      </c>
      <c r="I143" s="80"/>
      <c r="J143" s="80">
        <f>67*1300*12</f>
        <v>1045200</v>
      </c>
      <c r="K143" s="79">
        <f t="shared" si="30"/>
        <v>1045200</v>
      </c>
      <c r="L143" s="81">
        <f t="shared" si="27"/>
        <v>0.992178007290401</v>
      </c>
      <c r="M143" s="97"/>
      <c r="N143" s="97"/>
      <c r="O143" s="98">
        <v>85202</v>
      </c>
      <c r="P143" s="99">
        <v>2130</v>
      </c>
      <c r="Q143" s="100">
        <v>1100000</v>
      </c>
      <c r="R143" s="170"/>
      <c r="S143" s="170"/>
      <c r="T143" s="101"/>
      <c r="U143" s="144"/>
      <c r="V143" s="171"/>
      <c r="AF143" s="162"/>
    </row>
    <row r="144" spans="1:32" s="128" customFormat="1" ht="22.5" customHeight="1">
      <c r="A144" s="142"/>
      <c r="B144" s="169" t="s">
        <v>180</v>
      </c>
      <c r="C144" s="78"/>
      <c r="D144" s="78">
        <v>244480</v>
      </c>
      <c r="E144" s="79">
        <f t="shared" si="28"/>
        <v>244480</v>
      </c>
      <c r="F144" s="78"/>
      <c r="G144" s="78">
        <v>244480</v>
      </c>
      <c r="H144" s="79">
        <f t="shared" si="29"/>
        <v>244480</v>
      </c>
      <c r="I144" s="80"/>
      <c r="J144" s="80">
        <f>15*1300*12</f>
        <v>234000</v>
      </c>
      <c r="K144" s="79">
        <f t="shared" si="30"/>
        <v>234000</v>
      </c>
      <c r="L144" s="81">
        <f t="shared" si="27"/>
        <v>0.9571335078534031</v>
      </c>
      <c r="M144" s="97"/>
      <c r="N144" s="97"/>
      <c r="O144" s="98">
        <v>85202</v>
      </c>
      <c r="P144" s="99">
        <v>2130</v>
      </c>
      <c r="Q144" s="100">
        <v>296200</v>
      </c>
      <c r="R144" s="170"/>
      <c r="S144" s="170"/>
      <c r="T144" s="101"/>
      <c r="U144" s="144"/>
      <c r="V144" s="171"/>
      <c r="AF144" s="162"/>
    </row>
    <row r="145" spans="1:32" s="128" customFormat="1" ht="15" customHeight="1" hidden="1">
      <c r="A145" s="142"/>
      <c r="B145" s="172" t="s">
        <v>102</v>
      </c>
      <c r="C145" s="78"/>
      <c r="D145" s="78"/>
      <c r="E145" s="79">
        <f t="shared" si="28"/>
        <v>0</v>
      </c>
      <c r="F145" s="78"/>
      <c r="G145" s="78"/>
      <c r="H145" s="79">
        <f t="shared" si="29"/>
        <v>0</v>
      </c>
      <c r="I145" s="80">
        <f>C145*101.5%</f>
        <v>0</v>
      </c>
      <c r="J145" s="80">
        <f>D145*101.5%</f>
        <v>0</v>
      </c>
      <c r="K145" s="79">
        <f t="shared" si="30"/>
        <v>0</v>
      </c>
      <c r="L145" s="81" t="e">
        <f t="shared" si="27"/>
        <v>#DIV/0!</v>
      </c>
      <c r="M145" s="97"/>
      <c r="N145" s="97"/>
      <c r="O145" s="98"/>
      <c r="P145" s="99"/>
      <c r="Q145" s="144"/>
      <c r="R145" s="170"/>
      <c r="S145" s="170"/>
      <c r="T145" s="101"/>
      <c r="U145" s="144"/>
      <c r="V145" s="171"/>
      <c r="AF145" s="162"/>
    </row>
    <row r="146" spans="1:32" s="128" customFormat="1" ht="14.25" customHeight="1" hidden="1">
      <c r="A146" s="142"/>
      <c r="B146" s="172" t="s">
        <v>100</v>
      </c>
      <c r="C146" s="78"/>
      <c r="D146" s="78"/>
      <c r="E146" s="79">
        <f t="shared" si="28"/>
        <v>0</v>
      </c>
      <c r="F146" s="78"/>
      <c r="G146" s="78"/>
      <c r="H146" s="79">
        <f t="shared" si="29"/>
        <v>0</v>
      </c>
      <c r="I146" s="80">
        <f>C146*101.5%</f>
        <v>0</v>
      </c>
      <c r="J146" s="80">
        <f>D146*101.5%</f>
        <v>0</v>
      </c>
      <c r="K146" s="79">
        <f t="shared" si="30"/>
        <v>0</v>
      </c>
      <c r="L146" s="81" t="e">
        <f t="shared" si="27"/>
        <v>#DIV/0!</v>
      </c>
      <c r="M146" s="97"/>
      <c r="N146" s="97"/>
      <c r="O146" s="98"/>
      <c r="P146" s="99"/>
      <c r="Q146" s="144"/>
      <c r="R146" s="170"/>
      <c r="S146" s="170"/>
      <c r="T146" s="101"/>
      <c r="U146" s="144"/>
      <c r="V146" s="171"/>
      <c r="AF146" s="162"/>
    </row>
    <row r="147" spans="1:32" s="40" customFormat="1" ht="11.25" customHeight="1">
      <c r="A147" s="85"/>
      <c r="B147" s="159" t="s">
        <v>181</v>
      </c>
      <c r="C147" s="78">
        <f>283500+92500</f>
        <v>376000</v>
      </c>
      <c r="D147" s="78"/>
      <c r="E147" s="79">
        <f t="shared" si="28"/>
        <v>376000</v>
      </c>
      <c r="F147" s="78">
        <f>283500+92500</f>
        <v>376000</v>
      </c>
      <c r="G147" s="78"/>
      <c r="H147" s="79">
        <f t="shared" si="29"/>
        <v>376000</v>
      </c>
      <c r="I147" s="80">
        <v>334565</v>
      </c>
      <c r="J147" s="80"/>
      <c r="K147" s="79">
        <f t="shared" si="30"/>
        <v>334565</v>
      </c>
      <c r="L147" s="81">
        <f t="shared" si="27"/>
        <v>0.8898005319148936</v>
      </c>
      <c r="M147" s="97"/>
      <c r="N147" s="97"/>
      <c r="O147" s="98">
        <v>85214</v>
      </c>
      <c r="P147" s="99">
        <v>2030</v>
      </c>
      <c r="Q147" s="100">
        <v>287750</v>
      </c>
      <c r="R147" s="160"/>
      <c r="S147" s="160"/>
      <c r="T147" s="101"/>
      <c r="U147" s="151"/>
      <c r="V147" s="161"/>
      <c r="AF147" s="162"/>
    </row>
    <row r="148" spans="1:32" s="40" customFormat="1" ht="14.25" customHeight="1">
      <c r="A148" s="85"/>
      <c r="B148" s="159" t="s">
        <v>182</v>
      </c>
      <c r="C148" s="78">
        <v>1174210</v>
      </c>
      <c r="D148" s="78"/>
      <c r="E148" s="79">
        <f t="shared" si="28"/>
        <v>1174210</v>
      </c>
      <c r="F148" s="78">
        <v>1174210</v>
      </c>
      <c r="G148" s="78"/>
      <c r="H148" s="79">
        <f t="shared" si="29"/>
        <v>1174210</v>
      </c>
      <c r="I148" s="80">
        <v>1156600</v>
      </c>
      <c r="J148" s="80"/>
      <c r="K148" s="79">
        <f t="shared" si="30"/>
        <v>1156600</v>
      </c>
      <c r="L148" s="81">
        <f t="shared" si="27"/>
        <v>0.985002682654721</v>
      </c>
      <c r="M148" s="97"/>
      <c r="N148" s="97"/>
      <c r="O148" s="98">
        <v>85219</v>
      </c>
      <c r="P148" s="99">
        <v>2030</v>
      </c>
      <c r="Q148" s="100">
        <v>1120800</v>
      </c>
      <c r="R148" s="160"/>
      <c r="S148" s="160"/>
      <c r="T148" s="101"/>
      <c r="U148" s="151"/>
      <c r="V148" s="161"/>
      <c r="AF148" s="162"/>
    </row>
    <row r="149" spans="1:32" s="73" customFormat="1" ht="18" customHeight="1">
      <c r="A149" s="173" t="s">
        <v>183</v>
      </c>
      <c r="B149" s="173"/>
      <c r="C149" s="174">
        <f>SUM(C150:C153)</f>
        <v>84797060</v>
      </c>
      <c r="D149" s="174">
        <f>SUM(D150:D153)</f>
        <v>0</v>
      </c>
      <c r="E149" s="93">
        <f t="shared" si="28"/>
        <v>84797060</v>
      </c>
      <c r="F149" s="174">
        <f>SUM(F150:F153)</f>
        <v>84797059</v>
      </c>
      <c r="G149" s="174">
        <f>SUM(G150:G153)</f>
        <v>0</v>
      </c>
      <c r="H149" s="93">
        <f t="shared" si="29"/>
        <v>84797059</v>
      </c>
      <c r="I149" s="93">
        <f>SUM(I150:I154)</f>
        <v>135200000</v>
      </c>
      <c r="J149" s="93">
        <f>SUM(J150:J154)</f>
        <v>0</v>
      </c>
      <c r="K149" s="93">
        <f t="shared" si="30"/>
        <v>135200000</v>
      </c>
      <c r="L149" s="32">
        <f t="shared" si="27"/>
        <v>1.5943949188143425</v>
      </c>
      <c r="M149" s="44"/>
      <c r="N149" s="44"/>
      <c r="O149" s="65"/>
      <c r="P149" s="66"/>
      <c r="Q149" s="75"/>
      <c r="R149" s="65"/>
      <c r="S149" s="65"/>
      <c r="T149" s="75"/>
      <c r="V149" s="65"/>
      <c r="AF149" s="175"/>
    </row>
    <row r="150" spans="1:32" s="3" customFormat="1" ht="11.25" customHeight="1">
      <c r="A150" s="176"/>
      <c r="B150" s="119" t="s">
        <v>184</v>
      </c>
      <c r="C150" s="124">
        <f>200000+500000+700000+1580522+11772671+3635+1342+2617</f>
        <v>14760787</v>
      </c>
      <c r="D150" s="124"/>
      <c r="E150" s="93">
        <f t="shared" si="28"/>
        <v>14760787</v>
      </c>
      <c r="F150" s="124">
        <f>200000+500000+700000+1580522+11772671+3635+1342+2617</f>
        <v>14760787</v>
      </c>
      <c r="G150" s="124"/>
      <c r="H150" s="93">
        <f t="shared" si="29"/>
        <v>14760787</v>
      </c>
      <c r="I150" s="64">
        <v>200000</v>
      </c>
      <c r="J150" s="93"/>
      <c r="K150" s="63">
        <f t="shared" si="30"/>
        <v>200000</v>
      </c>
      <c r="L150" s="32">
        <f t="shared" si="27"/>
        <v>0.013549413049588751</v>
      </c>
      <c r="M150" s="44"/>
      <c r="N150" s="44"/>
      <c r="O150" s="65"/>
      <c r="P150" s="66"/>
      <c r="Q150" s="75"/>
      <c r="R150" s="6"/>
      <c r="S150" s="6"/>
      <c r="T150" s="75"/>
      <c r="V150" s="6"/>
      <c r="AF150" s="52"/>
    </row>
    <row r="151" spans="1:32" s="3" customFormat="1" ht="12.75" customHeight="1">
      <c r="A151" s="176"/>
      <c r="B151" s="119" t="s">
        <v>185</v>
      </c>
      <c r="C151" s="124">
        <v>70000000</v>
      </c>
      <c r="D151" s="124"/>
      <c r="E151" s="93">
        <f t="shared" si="28"/>
        <v>70000000</v>
      </c>
      <c r="F151" s="124">
        <v>70000000</v>
      </c>
      <c r="G151" s="124"/>
      <c r="H151" s="93">
        <f t="shared" si="29"/>
        <v>70000000</v>
      </c>
      <c r="I151" s="93">
        <v>90000000</v>
      </c>
      <c r="J151" s="93"/>
      <c r="K151" s="63">
        <f t="shared" si="30"/>
        <v>90000000</v>
      </c>
      <c r="L151" s="32">
        <f t="shared" si="27"/>
        <v>1.2857142857142858</v>
      </c>
      <c r="M151" s="44"/>
      <c r="N151" s="44"/>
      <c r="O151" s="65"/>
      <c r="P151" s="66"/>
      <c r="Q151" s="75"/>
      <c r="R151" s="6"/>
      <c r="S151" s="6"/>
      <c r="T151" s="75"/>
      <c r="V151" s="6"/>
      <c r="AF151" s="52"/>
    </row>
    <row r="152" spans="1:32" s="3" customFormat="1" ht="12.75" customHeight="1">
      <c r="A152" s="176"/>
      <c r="B152" s="119" t="s">
        <v>186</v>
      </c>
      <c r="C152" s="124">
        <v>36273</v>
      </c>
      <c r="D152" s="124"/>
      <c r="E152" s="93">
        <f t="shared" si="28"/>
        <v>36273</v>
      </c>
      <c r="F152" s="124">
        <v>36272</v>
      </c>
      <c r="G152" s="124"/>
      <c r="H152" s="93">
        <f t="shared" si="29"/>
        <v>36272</v>
      </c>
      <c r="I152" s="93"/>
      <c r="J152" s="93"/>
      <c r="K152" s="63">
        <f t="shared" si="30"/>
        <v>0</v>
      </c>
      <c r="L152" s="32">
        <f t="shared" si="27"/>
        <v>0</v>
      </c>
      <c r="M152" s="44"/>
      <c r="N152" s="44"/>
      <c r="O152" s="65"/>
      <c r="P152" s="66"/>
      <c r="Q152" s="75"/>
      <c r="R152" s="6"/>
      <c r="S152" s="6"/>
      <c r="T152" s="75"/>
      <c r="V152" s="6"/>
      <c r="AF152" s="52"/>
    </row>
    <row r="153" spans="1:32" s="3" customFormat="1" ht="14.25" customHeight="1">
      <c r="A153" s="176"/>
      <c r="B153" s="119" t="s">
        <v>187</v>
      </c>
      <c r="C153" s="124"/>
      <c r="D153" s="124"/>
      <c r="E153" s="93">
        <f t="shared" si="28"/>
        <v>0</v>
      </c>
      <c r="F153" s="124"/>
      <c r="G153" s="124"/>
      <c r="H153" s="93">
        <f t="shared" si="29"/>
        <v>0</v>
      </c>
      <c r="I153" s="93">
        <f>60000000-15000000</f>
        <v>45000000</v>
      </c>
      <c r="J153" s="93"/>
      <c r="K153" s="63">
        <f t="shared" si="30"/>
        <v>45000000</v>
      </c>
      <c r="L153" s="32"/>
      <c r="M153" s="44"/>
      <c r="N153" s="44"/>
      <c r="O153" s="65"/>
      <c r="P153" s="66"/>
      <c r="Q153" s="75"/>
      <c r="R153" s="6"/>
      <c r="S153" s="6"/>
      <c r="T153" s="75"/>
      <c r="V153" s="6"/>
      <c r="AF153" s="52"/>
    </row>
    <row r="154" spans="1:32" s="3" customFormat="1" ht="12.75" customHeight="1" hidden="1" thickBot="1">
      <c r="A154" s="176"/>
      <c r="B154" s="119" t="s">
        <v>186</v>
      </c>
      <c r="C154" s="124"/>
      <c r="D154" s="177"/>
      <c r="E154" s="93">
        <f t="shared" si="28"/>
        <v>0</v>
      </c>
      <c r="F154" s="124"/>
      <c r="G154" s="177"/>
      <c r="H154" s="93">
        <f t="shared" si="29"/>
        <v>0</v>
      </c>
      <c r="I154" s="124"/>
      <c r="J154" s="93"/>
      <c r="K154" s="63">
        <f t="shared" si="30"/>
        <v>0</v>
      </c>
      <c r="L154" s="32" t="e">
        <f>K154/H154</f>
        <v>#DIV/0!</v>
      </c>
      <c r="M154" s="44"/>
      <c r="N154" s="44"/>
      <c r="O154" s="65"/>
      <c r="P154" s="66"/>
      <c r="Q154" s="75"/>
      <c r="R154" s="6"/>
      <c r="S154" s="6"/>
      <c r="T154" s="75"/>
      <c r="V154" s="6"/>
      <c r="AF154" s="52"/>
    </row>
    <row r="155" spans="1:32" s="182" customFormat="1" ht="22.5" customHeight="1">
      <c r="A155" s="178"/>
      <c r="B155" s="179" t="s">
        <v>188</v>
      </c>
      <c r="C155" s="90">
        <f>SUM(C149,C6)</f>
        <v>609527947</v>
      </c>
      <c r="D155" s="90">
        <f>SUM(D149,D6)</f>
        <v>167142956</v>
      </c>
      <c r="E155" s="93">
        <f t="shared" si="28"/>
        <v>776670903</v>
      </c>
      <c r="F155" s="90">
        <f>SUM(F149,F6)</f>
        <v>614489041</v>
      </c>
      <c r="G155" s="90">
        <f>SUM(G149,G6)</f>
        <v>151556214</v>
      </c>
      <c r="H155" s="93">
        <f t="shared" si="29"/>
        <v>766045255</v>
      </c>
      <c r="I155" s="90">
        <f>SUM(I149,I6)</f>
        <v>682285818</v>
      </c>
      <c r="J155" s="90">
        <f>SUM(J149,J6)</f>
        <v>213171326</v>
      </c>
      <c r="K155" s="93">
        <f t="shared" si="30"/>
        <v>895457144</v>
      </c>
      <c r="L155" s="32">
        <f>K155/H155</f>
        <v>1.168935044183519</v>
      </c>
      <c r="M155" s="44"/>
      <c r="N155" s="44"/>
      <c r="O155" s="65"/>
      <c r="P155" s="66"/>
      <c r="Q155" s="155"/>
      <c r="R155" s="154"/>
      <c r="S155" s="154"/>
      <c r="T155" s="75"/>
      <c r="U155" s="155"/>
      <c r="V155" s="180"/>
      <c r="W155" s="181"/>
      <c r="X155" s="181"/>
      <c r="Y155" s="181"/>
      <c r="Z155" s="181"/>
      <c r="AF155" s="9"/>
    </row>
    <row r="156" spans="12:20" ht="11.25">
      <c r="L156" s="183"/>
      <c r="M156" s="183"/>
      <c r="N156" s="183"/>
      <c r="O156" s="65"/>
      <c r="P156" s="66"/>
      <c r="T156" s="75"/>
    </row>
    <row r="157" spans="15:20" ht="11.25">
      <c r="O157" s="65"/>
      <c r="P157" s="66"/>
      <c r="T157" s="75"/>
    </row>
    <row r="158" spans="10:20" ht="12">
      <c r="J158" s="3" t="s">
        <v>189</v>
      </c>
      <c r="K158" s="45">
        <v>-775834544</v>
      </c>
      <c r="O158" s="65"/>
      <c r="P158" s="66"/>
      <c r="T158" s="75"/>
    </row>
    <row r="159" spans="10:20" ht="11.25">
      <c r="J159" s="3" t="s">
        <v>190</v>
      </c>
      <c r="K159" s="184">
        <v>-38500000</v>
      </c>
      <c r="O159" s="65"/>
      <c r="P159" s="66"/>
      <c r="T159" s="75"/>
    </row>
    <row r="160" spans="11:20" ht="11.25">
      <c r="K160" s="155">
        <f>SUM(K158:K159)</f>
        <v>-814334544</v>
      </c>
      <c r="O160" s="65"/>
      <c r="P160" s="66"/>
      <c r="T160" s="75"/>
    </row>
    <row r="161" spans="11:20" ht="11.25">
      <c r="K161" s="184"/>
      <c r="O161" s="65"/>
      <c r="P161" s="66"/>
      <c r="T161" s="75"/>
    </row>
    <row r="162" spans="11:20" ht="11.25">
      <c r="K162" s="184">
        <f>SUM(K155,K160)</f>
        <v>81122600</v>
      </c>
      <c r="O162" s="65"/>
      <c r="P162" s="66"/>
      <c r="T162" s="75"/>
    </row>
    <row r="163" spans="11:20" ht="11.25">
      <c r="K163" s="3">
        <v>-11000000</v>
      </c>
      <c r="O163" s="65"/>
      <c r="P163" s="66"/>
      <c r="T163" s="75"/>
    </row>
    <row r="164" spans="11:20" ht="11.25">
      <c r="K164" s="3">
        <f>SUM(K162:K163)</f>
        <v>70122600</v>
      </c>
      <c r="O164" s="65"/>
      <c r="P164" s="66"/>
      <c r="T164" s="75"/>
    </row>
    <row r="165" spans="15:20" ht="11.25">
      <c r="O165" s="65"/>
      <c r="P165" s="66"/>
      <c r="T165" s="75"/>
    </row>
    <row r="166" spans="11:20" ht="11.25">
      <c r="K166" s="3">
        <v>-180747</v>
      </c>
      <c r="O166" s="65"/>
      <c r="P166" s="66"/>
      <c r="T166" s="75"/>
    </row>
    <row r="167" spans="11:20" ht="11.25">
      <c r="K167" s="3">
        <v>-20246350</v>
      </c>
      <c r="O167" s="65"/>
      <c r="P167" s="66"/>
      <c r="T167" s="75"/>
    </row>
    <row r="168" spans="11:20" ht="11.25">
      <c r="K168" s="3">
        <f>SUM(K166:K167)</f>
        <v>-20427097</v>
      </c>
      <c r="O168" s="65"/>
      <c r="P168" s="66"/>
      <c r="T168" s="75"/>
    </row>
    <row r="169" spans="11:20" ht="11.25">
      <c r="K169" s="3">
        <f>SUM(K164,K168)</f>
        <v>49695503</v>
      </c>
      <c r="O169" s="65"/>
      <c r="P169" s="66"/>
      <c r="T169" s="75"/>
    </row>
    <row r="170" spans="11:20" ht="11.25">
      <c r="K170" s="3">
        <v>2551702</v>
      </c>
      <c r="O170" s="65"/>
      <c r="P170" s="66"/>
      <c r="T170" s="75"/>
    </row>
    <row r="171" spans="11:20" ht="11.25">
      <c r="K171" s="3">
        <f>SUM(K169:K170)</f>
        <v>52247205</v>
      </c>
      <c r="O171" s="65"/>
      <c r="P171" s="66"/>
      <c r="T171" s="75"/>
    </row>
    <row r="172" spans="15:20" ht="11.25">
      <c r="O172" s="65"/>
      <c r="P172" s="66"/>
      <c r="T172" s="75"/>
    </row>
    <row r="173" spans="15:20" ht="11.25">
      <c r="O173" s="65"/>
      <c r="P173" s="66"/>
      <c r="T173" s="75"/>
    </row>
    <row r="174" spans="15:20" ht="11.25">
      <c r="O174" s="65"/>
      <c r="P174" s="66"/>
      <c r="T174" s="75"/>
    </row>
    <row r="175" spans="15:20" ht="11.25">
      <c r="O175" s="65"/>
      <c r="P175" s="66"/>
      <c r="T175" s="75"/>
    </row>
    <row r="176" spans="15:20" ht="11.25">
      <c r="O176" s="65"/>
      <c r="P176" s="66"/>
      <c r="T176" s="75"/>
    </row>
    <row r="177" spans="15:20" ht="11.25">
      <c r="O177" s="65"/>
      <c r="P177" s="66"/>
      <c r="T177" s="75"/>
    </row>
    <row r="178" spans="15:20" ht="11.25">
      <c r="O178" s="65"/>
      <c r="P178" s="66"/>
      <c r="T178" s="75"/>
    </row>
    <row r="179" spans="15:20" ht="11.25">
      <c r="O179" s="65"/>
      <c r="P179" s="66"/>
      <c r="T179" s="75"/>
    </row>
    <row r="180" spans="15:20" ht="11.25">
      <c r="O180" s="65"/>
      <c r="P180" s="66"/>
      <c r="T180" s="75"/>
    </row>
    <row r="181" spans="15:20" ht="11.25">
      <c r="O181" s="65"/>
      <c r="P181" s="66"/>
      <c r="T181" s="75"/>
    </row>
    <row r="182" spans="15:20" ht="11.25">
      <c r="O182" s="65"/>
      <c r="P182" s="66"/>
      <c r="T182" s="75"/>
    </row>
    <row r="183" spans="15:20" ht="11.25">
      <c r="O183" s="65"/>
      <c r="P183" s="66"/>
      <c r="T183" s="75"/>
    </row>
    <row r="184" spans="15:20" ht="11.25">
      <c r="O184" s="65"/>
      <c r="P184" s="66"/>
      <c r="T184" s="75"/>
    </row>
    <row r="185" spans="15:20" ht="11.25">
      <c r="O185" s="65"/>
      <c r="P185" s="66"/>
      <c r="T185" s="75"/>
    </row>
    <row r="186" spans="15:20" ht="11.25">
      <c r="O186" s="65"/>
      <c r="P186" s="66"/>
      <c r="T186" s="75"/>
    </row>
    <row r="187" spans="15:20" ht="11.25">
      <c r="O187" s="65"/>
      <c r="P187" s="66"/>
      <c r="T187" s="75"/>
    </row>
    <row r="188" spans="15:20" ht="11.25">
      <c r="O188" s="65"/>
      <c r="P188" s="66"/>
      <c r="T188" s="75"/>
    </row>
    <row r="189" spans="15:20" ht="11.25">
      <c r="O189" s="65"/>
      <c r="P189" s="66"/>
      <c r="T189" s="75"/>
    </row>
    <row r="190" spans="15:20" ht="11.25">
      <c r="O190" s="65"/>
      <c r="P190" s="66"/>
      <c r="T190" s="75"/>
    </row>
    <row r="191" spans="15:20" ht="11.25">
      <c r="O191" s="65"/>
      <c r="P191" s="66"/>
      <c r="T191" s="75"/>
    </row>
    <row r="192" spans="15:20" ht="11.25">
      <c r="O192" s="65"/>
      <c r="P192" s="66"/>
      <c r="T192" s="75"/>
    </row>
    <row r="193" spans="15:20" ht="11.25">
      <c r="O193" s="65"/>
      <c r="P193" s="66"/>
      <c r="T193" s="75"/>
    </row>
    <row r="194" spans="15:20" ht="11.25">
      <c r="O194" s="65"/>
      <c r="P194" s="66"/>
      <c r="T194" s="75"/>
    </row>
    <row r="195" spans="15:20" ht="11.25">
      <c r="O195" s="65"/>
      <c r="P195" s="66"/>
      <c r="T195" s="75"/>
    </row>
    <row r="196" spans="15:20" ht="11.25">
      <c r="O196" s="65"/>
      <c r="P196" s="66"/>
      <c r="T196" s="75"/>
    </row>
    <row r="197" spans="15:20" ht="11.25">
      <c r="O197" s="65"/>
      <c r="P197" s="66"/>
      <c r="T197" s="75"/>
    </row>
    <row r="198" spans="15:20" ht="11.25">
      <c r="O198" s="65"/>
      <c r="P198" s="66"/>
      <c r="T198" s="75"/>
    </row>
    <row r="199" spans="15:20" ht="11.25">
      <c r="O199" s="65"/>
      <c r="P199" s="66"/>
      <c r="T199" s="75"/>
    </row>
    <row r="200" spans="15:20" ht="11.25">
      <c r="O200" s="65"/>
      <c r="P200" s="66"/>
      <c r="T200" s="75"/>
    </row>
    <row r="201" spans="15:20" ht="11.25">
      <c r="O201" s="65"/>
      <c r="P201" s="66"/>
      <c r="T201" s="75"/>
    </row>
    <row r="202" spans="15:20" ht="11.25">
      <c r="O202" s="65"/>
      <c r="P202" s="66"/>
      <c r="T202" s="75"/>
    </row>
    <row r="203" spans="15:20" ht="11.25">
      <c r="O203" s="65"/>
      <c r="P203" s="66"/>
      <c r="T203" s="75"/>
    </row>
    <row r="204" spans="15:20" ht="11.25">
      <c r="O204" s="65"/>
      <c r="P204" s="66"/>
      <c r="T204" s="75"/>
    </row>
    <row r="205" spans="15:20" ht="11.25">
      <c r="O205" s="65"/>
      <c r="P205" s="66"/>
      <c r="T205" s="75"/>
    </row>
    <row r="206" spans="15:20" ht="11.25">
      <c r="O206" s="65"/>
      <c r="P206" s="66"/>
      <c r="T206" s="75"/>
    </row>
    <row r="207" spans="15:20" ht="11.25">
      <c r="O207" s="65"/>
      <c r="P207" s="66"/>
      <c r="T207" s="75"/>
    </row>
    <row r="208" spans="15:20" ht="11.25">
      <c r="O208" s="65"/>
      <c r="P208" s="66"/>
      <c r="T208" s="75"/>
    </row>
    <row r="209" spans="15:20" ht="11.25">
      <c r="O209" s="65"/>
      <c r="P209" s="66"/>
      <c r="T209" s="75"/>
    </row>
    <row r="210" spans="15:20" ht="11.25">
      <c r="O210" s="65"/>
      <c r="P210" s="66"/>
      <c r="T210" s="75"/>
    </row>
    <row r="211" spans="15:20" ht="11.25">
      <c r="O211" s="65"/>
      <c r="P211" s="66"/>
      <c r="T211" s="75"/>
    </row>
    <row r="212" spans="15:20" ht="11.25">
      <c r="O212" s="65"/>
      <c r="P212" s="66"/>
      <c r="T212" s="75"/>
    </row>
    <row r="213" spans="15:20" ht="11.25">
      <c r="O213" s="65"/>
      <c r="P213" s="66"/>
      <c r="T213" s="75"/>
    </row>
    <row r="214" spans="15:20" ht="11.25">
      <c r="O214" s="65"/>
      <c r="P214" s="66"/>
      <c r="T214" s="75"/>
    </row>
    <row r="215" spans="15:20" ht="11.25">
      <c r="O215" s="65"/>
      <c r="P215" s="66"/>
      <c r="T215" s="75"/>
    </row>
    <row r="216" spans="15:20" ht="11.25">
      <c r="O216" s="65"/>
      <c r="P216" s="66"/>
      <c r="T216" s="75"/>
    </row>
    <row r="217" spans="15:20" ht="11.25">
      <c r="O217" s="65"/>
      <c r="P217" s="66"/>
      <c r="T217" s="75"/>
    </row>
    <row r="218" spans="15:20" ht="11.25">
      <c r="O218" s="65"/>
      <c r="P218" s="66"/>
      <c r="T218" s="75"/>
    </row>
    <row r="219" spans="15:20" ht="11.25">
      <c r="O219" s="65"/>
      <c r="P219" s="66"/>
      <c r="T219" s="75"/>
    </row>
    <row r="220" spans="15:20" ht="11.25">
      <c r="O220" s="65"/>
      <c r="P220" s="66"/>
      <c r="T220" s="75"/>
    </row>
    <row r="221" spans="15:20" ht="11.25">
      <c r="O221" s="65"/>
      <c r="P221" s="66"/>
      <c r="T221" s="75"/>
    </row>
    <row r="222" spans="15:20" ht="11.25">
      <c r="O222" s="65"/>
      <c r="P222" s="66"/>
      <c r="T222" s="75"/>
    </row>
    <row r="223" spans="15:20" ht="11.25">
      <c r="O223" s="65"/>
      <c r="P223" s="66"/>
      <c r="T223" s="75"/>
    </row>
    <row r="224" spans="15:20" ht="11.25">
      <c r="O224" s="65"/>
      <c r="P224" s="66"/>
      <c r="T224" s="75"/>
    </row>
    <row r="225" spans="15:20" ht="11.25">
      <c r="O225" s="65"/>
      <c r="P225" s="66"/>
      <c r="T225" s="75"/>
    </row>
    <row r="226" spans="15:20" ht="11.25">
      <c r="O226" s="65"/>
      <c r="P226" s="66"/>
      <c r="T226" s="75"/>
    </row>
    <row r="227" spans="15:20" ht="11.25">
      <c r="O227" s="65"/>
      <c r="P227" s="66"/>
      <c r="T227" s="75"/>
    </row>
    <row r="228" spans="15:20" ht="11.25">
      <c r="O228" s="65"/>
      <c r="P228" s="66"/>
      <c r="T228" s="75"/>
    </row>
    <row r="229" spans="15:20" ht="11.25">
      <c r="O229" s="65"/>
      <c r="P229" s="66"/>
      <c r="T229" s="75"/>
    </row>
    <row r="230" spans="15:20" ht="11.25">
      <c r="O230" s="65"/>
      <c r="P230" s="66"/>
      <c r="T230" s="75"/>
    </row>
    <row r="231" spans="15:20" ht="11.25">
      <c r="O231" s="65"/>
      <c r="P231" s="66"/>
      <c r="T231" s="75"/>
    </row>
    <row r="232" spans="15:20" ht="11.25">
      <c r="O232" s="65"/>
      <c r="P232" s="66"/>
      <c r="T232" s="75"/>
    </row>
    <row r="233" spans="15:20" ht="11.25">
      <c r="O233" s="65"/>
      <c r="P233" s="66"/>
      <c r="T233" s="75"/>
    </row>
    <row r="234" spans="15:20" ht="11.25">
      <c r="O234" s="65"/>
      <c r="P234" s="66"/>
      <c r="T234" s="75"/>
    </row>
    <row r="235" spans="15:20" ht="11.25">
      <c r="O235" s="65"/>
      <c r="P235" s="66"/>
      <c r="T235" s="75"/>
    </row>
    <row r="236" spans="15:20" ht="11.25">
      <c r="O236" s="65"/>
      <c r="P236" s="66"/>
      <c r="T236" s="75"/>
    </row>
    <row r="237" spans="15:20" ht="11.25">
      <c r="O237" s="65"/>
      <c r="P237" s="66"/>
      <c r="T237" s="75"/>
    </row>
    <row r="238" spans="15:20" ht="11.25">
      <c r="O238" s="65"/>
      <c r="P238" s="66"/>
      <c r="T238" s="75"/>
    </row>
    <row r="239" spans="15:20" ht="11.25">
      <c r="O239" s="65"/>
      <c r="P239" s="66"/>
      <c r="T239" s="75"/>
    </row>
    <row r="240" spans="15:20" ht="11.25">
      <c r="O240" s="65"/>
      <c r="P240" s="66"/>
      <c r="T240" s="75"/>
    </row>
    <row r="241" spans="15:20" ht="11.25">
      <c r="O241" s="65"/>
      <c r="P241" s="66"/>
      <c r="T241" s="75"/>
    </row>
    <row r="242" spans="15:20" ht="11.25">
      <c r="O242" s="65"/>
      <c r="P242" s="66"/>
      <c r="T242" s="75"/>
    </row>
    <row r="243" spans="15:20" ht="11.25">
      <c r="O243" s="65"/>
      <c r="P243" s="66"/>
      <c r="T243" s="75"/>
    </row>
    <row r="244" spans="15:20" ht="11.25">
      <c r="O244" s="65"/>
      <c r="P244" s="66"/>
      <c r="T244" s="75"/>
    </row>
    <row r="245" spans="15:20" ht="11.25">
      <c r="O245" s="65"/>
      <c r="P245" s="66"/>
      <c r="T245" s="75"/>
    </row>
    <row r="246" spans="15:20" ht="11.25">
      <c r="O246" s="65"/>
      <c r="P246" s="66"/>
      <c r="T246" s="75"/>
    </row>
    <row r="247" spans="15:20" ht="11.25">
      <c r="O247" s="65"/>
      <c r="P247" s="66"/>
      <c r="T247" s="75"/>
    </row>
    <row r="248" spans="15:20" ht="11.25">
      <c r="O248" s="65"/>
      <c r="P248" s="66"/>
      <c r="T248" s="75"/>
    </row>
    <row r="249" spans="15:20" ht="11.25">
      <c r="O249" s="65"/>
      <c r="P249" s="66"/>
      <c r="T249" s="75"/>
    </row>
    <row r="250" spans="15:20" ht="11.25">
      <c r="O250" s="65"/>
      <c r="P250" s="66"/>
      <c r="T250" s="75"/>
    </row>
    <row r="251" spans="15:20" ht="11.25">
      <c r="O251" s="65"/>
      <c r="P251" s="66"/>
      <c r="T251" s="75"/>
    </row>
    <row r="252" spans="15:20" ht="11.25">
      <c r="O252" s="65"/>
      <c r="P252" s="66"/>
      <c r="T252" s="75"/>
    </row>
    <row r="253" spans="15:20" ht="11.25">
      <c r="O253" s="65"/>
      <c r="P253" s="66"/>
      <c r="T253" s="75"/>
    </row>
    <row r="254" spans="15:20" ht="11.25">
      <c r="O254" s="65"/>
      <c r="P254" s="66"/>
      <c r="T254" s="75"/>
    </row>
    <row r="255" spans="15:20" ht="11.25">
      <c r="O255" s="65"/>
      <c r="P255" s="66"/>
      <c r="T255" s="75"/>
    </row>
    <row r="256" spans="15:20" ht="11.25">
      <c r="O256" s="65"/>
      <c r="P256" s="66"/>
      <c r="T256" s="75"/>
    </row>
    <row r="257" spans="15:20" ht="11.25">
      <c r="O257" s="65"/>
      <c r="P257" s="66"/>
      <c r="T257" s="75"/>
    </row>
    <row r="258" spans="15:20" ht="11.25">
      <c r="O258" s="65"/>
      <c r="P258" s="66"/>
      <c r="T258" s="75"/>
    </row>
    <row r="259" spans="15:20" ht="11.25">
      <c r="O259" s="65"/>
      <c r="P259" s="66"/>
      <c r="T259" s="75"/>
    </row>
    <row r="260" spans="15:20" ht="11.25">
      <c r="O260" s="65"/>
      <c r="P260" s="66"/>
      <c r="T260" s="75"/>
    </row>
    <row r="261" spans="15:20" ht="11.25">
      <c r="O261" s="65"/>
      <c r="P261" s="66"/>
      <c r="T261" s="75"/>
    </row>
    <row r="262" spans="15:20" ht="11.25">
      <c r="O262" s="65"/>
      <c r="P262" s="66"/>
      <c r="T262" s="75"/>
    </row>
    <row r="263" spans="15:20" ht="11.25">
      <c r="O263" s="65"/>
      <c r="P263" s="66"/>
      <c r="T263" s="75"/>
    </row>
    <row r="264" spans="15:20" ht="11.25">
      <c r="O264" s="65"/>
      <c r="P264" s="66"/>
      <c r="T264" s="75"/>
    </row>
    <row r="265" spans="15:20" ht="11.25">
      <c r="O265" s="65"/>
      <c r="P265" s="66"/>
      <c r="T265" s="75"/>
    </row>
    <row r="266" spans="15:20" ht="11.25">
      <c r="O266" s="65"/>
      <c r="P266" s="66"/>
      <c r="T266" s="75"/>
    </row>
    <row r="267" spans="15:20" ht="11.25">
      <c r="O267" s="65"/>
      <c r="P267" s="66"/>
      <c r="T267" s="75"/>
    </row>
    <row r="268" spans="15:20" ht="11.25">
      <c r="O268" s="65"/>
      <c r="P268" s="66"/>
      <c r="T268" s="75"/>
    </row>
    <row r="269" spans="15:20" ht="11.25">
      <c r="O269" s="65"/>
      <c r="P269" s="66"/>
      <c r="T269" s="75"/>
    </row>
    <row r="270" spans="15:20" ht="11.25">
      <c r="O270" s="65"/>
      <c r="P270" s="66"/>
      <c r="T270" s="75"/>
    </row>
    <row r="271" spans="15:20" ht="11.25">
      <c r="O271" s="65"/>
      <c r="P271" s="66"/>
      <c r="T271" s="75"/>
    </row>
    <row r="272" spans="15:20" ht="11.25">
      <c r="O272" s="65"/>
      <c r="P272" s="66"/>
      <c r="T272" s="75"/>
    </row>
    <row r="273" spans="15:20" ht="11.25">
      <c r="O273" s="65"/>
      <c r="P273" s="66"/>
      <c r="T273" s="75"/>
    </row>
    <row r="274" spans="15:20" ht="11.25">
      <c r="O274" s="65"/>
      <c r="P274" s="66"/>
      <c r="T274" s="75"/>
    </row>
    <row r="275" spans="15:20" ht="11.25">
      <c r="O275" s="65"/>
      <c r="P275" s="66"/>
      <c r="T275" s="75"/>
    </row>
    <row r="276" spans="15:20" ht="11.25">
      <c r="O276" s="65"/>
      <c r="P276" s="66"/>
      <c r="T276" s="75"/>
    </row>
    <row r="277" spans="15:20" ht="11.25">
      <c r="O277" s="65"/>
      <c r="P277" s="66"/>
      <c r="T277" s="75"/>
    </row>
    <row r="278" spans="15:20" ht="11.25">
      <c r="O278" s="65"/>
      <c r="P278" s="66"/>
      <c r="T278" s="75"/>
    </row>
    <row r="279" spans="15:20" ht="11.25">
      <c r="O279" s="65"/>
      <c r="P279" s="66"/>
      <c r="T279" s="75"/>
    </row>
    <row r="280" spans="15:20" ht="11.25">
      <c r="O280" s="65"/>
      <c r="P280" s="66"/>
      <c r="T280" s="75"/>
    </row>
    <row r="281" spans="15:20" ht="11.25">
      <c r="O281" s="65"/>
      <c r="P281" s="66"/>
      <c r="T281" s="75"/>
    </row>
    <row r="282" spans="15:20" ht="11.25">
      <c r="O282" s="65"/>
      <c r="P282" s="66"/>
      <c r="T282" s="75"/>
    </row>
    <row r="283" spans="15:20" ht="11.25">
      <c r="O283" s="65"/>
      <c r="P283" s="66"/>
      <c r="T283" s="75"/>
    </row>
    <row r="284" spans="15:20" ht="11.25">
      <c r="O284" s="65"/>
      <c r="P284" s="66"/>
      <c r="T284" s="75"/>
    </row>
    <row r="285" spans="15:20" ht="11.25">
      <c r="O285" s="65"/>
      <c r="P285" s="66"/>
      <c r="T285" s="75"/>
    </row>
    <row r="286" spans="15:20" ht="11.25">
      <c r="O286" s="65"/>
      <c r="P286" s="66"/>
      <c r="T286" s="75"/>
    </row>
    <row r="287" spans="15:20" ht="11.25">
      <c r="O287" s="65"/>
      <c r="P287" s="66"/>
      <c r="T287" s="75"/>
    </row>
    <row r="288" spans="15:20" ht="11.25">
      <c r="O288" s="65"/>
      <c r="P288" s="66"/>
      <c r="T288" s="75"/>
    </row>
    <row r="289" spans="15:20" ht="11.25">
      <c r="O289" s="65"/>
      <c r="P289" s="66"/>
      <c r="T289" s="75"/>
    </row>
    <row r="290" spans="15:20" ht="11.25">
      <c r="O290" s="65"/>
      <c r="P290" s="66"/>
      <c r="T290" s="75"/>
    </row>
    <row r="291" spans="15:20" ht="11.25">
      <c r="O291" s="65"/>
      <c r="P291" s="66"/>
      <c r="T291" s="75"/>
    </row>
    <row r="292" spans="15:20" ht="11.25">
      <c r="O292" s="65"/>
      <c r="P292" s="66"/>
      <c r="T292" s="75"/>
    </row>
    <row r="293" spans="15:20" ht="11.25">
      <c r="O293" s="65"/>
      <c r="P293" s="66"/>
      <c r="T293" s="75"/>
    </row>
    <row r="294" spans="15:20" ht="11.25">
      <c r="O294" s="65"/>
      <c r="P294" s="66"/>
      <c r="T294" s="75"/>
    </row>
    <row r="295" spans="15:20" ht="11.25">
      <c r="O295" s="65"/>
      <c r="P295" s="66"/>
      <c r="T295" s="75"/>
    </row>
    <row r="296" spans="15:20" ht="11.25">
      <c r="O296" s="65"/>
      <c r="P296" s="66"/>
      <c r="T296" s="75"/>
    </row>
    <row r="297" spans="15:20" ht="11.25">
      <c r="O297" s="65"/>
      <c r="P297" s="66"/>
      <c r="T297" s="75"/>
    </row>
    <row r="298" spans="15:20" ht="11.25">
      <c r="O298" s="65"/>
      <c r="P298" s="66"/>
      <c r="T298" s="75"/>
    </row>
    <row r="299" spans="15:20" ht="11.25">
      <c r="O299" s="65"/>
      <c r="P299" s="66"/>
      <c r="T299" s="75"/>
    </row>
    <row r="300" spans="15:20" ht="11.25">
      <c r="O300" s="65"/>
      <c r="P300" s="66"/>
      <c r="T300" s="75"/>
    </row>
    <row r="301" spans="15:20" ht="11.25">
      <c r="O301" s="65"/>
      <c r="P301" s="66"/>
      <c r="T301" s="75"/>
    </row>
    <row r="302" spans="15:20" ht="11.25">
      <c r="O302" s="65"/>
      <c r="P302" s="66"/>
      <c r="T302" s="75"/>
    </row>
    <row r="303" spans="15:20" ht="11.25">
      <c r="O303" s="65"/>
      <c r="P303" s="66"/>
      <c r="T303" s="75"/>
    </row>
    <row r="304" spans="15:20" ht="11.25">
      <c r="O304" s="65"/>
      <c r="P304" s="66"/>
      <c r="T304" s="75"/>
    </row>
    <row r="305" spans="15:20" ht="11.25">
      <c r="O305" s="65"/>
      <c r="P305" s="66"/>
      <c r="T305" s="75"/>
    </row>
    <row r="306" spans="15:20" ht="11.25">
      <c r="O306" s="65"/>
      <c r="P306" s="66"/>
      <c r="T306" s="75"/>
    </row>
    <row r="307" spans="15:20" ht="11.25">
      <c r="O307" s="65"/>
      <c r="P307" s="66"/>
      <c r="T307" s="75"/>
    </row>
    <row r="308" spans="15:20" ht="11.25">
      <c r="O308" s="65"/>
      <c r="P308" s="66"/>
      <c r="T308" s="75"/>
    </row>
    <row r="309" spans="15:20" ht="11.25">
      <c r="O309" s="65"/>
      <c r="P309" s="66"/>
      <c r="T309" s="75"/>
    </row>
    <row r="310" spans="15:20" ht="11.25">
      <c r="O310" s="65"/>
      <c r="P310" s="66"/>
      <c r="T310" s="75"/>
    </row>
    <row r="311" spans="15:20" ht="11.25">
      <c r="O311" s="65"/>
      <c r="P311" s="66"/>
      <c r="T311" s="75"/>
    </row>
    <row r="312" spans="15:20" ht="11.25">
      <c r="O312" s="65"/>
      <c r="P312" s="66"/>
      <c r="T312" s="75"/>
    </row>
    <row r="313" spans="15:20" ht="11.25">
      <c r="O313" s="65"/>
      <c r="P313" s="66"/>
      <c r="T313" s="75"/>
    </row>
    <row r="314" spans="15:20" ht="11.25">
      <c r="O314" s="65"/>
      <c r="P314" s="66"/>
      <c r="T314" s="75"/>
    </row>
    <row r="315" spans="15:20" ht="11.25">
      <c r="O315" s="65"/>
      <c r="P315" s="66"/>
      <c r="T315" s="75"/>
    </row>
    <row r="316" spans="15:20" ht="11.25">
      <c r="O316" s="65"/>
      <c r="P316" s="66"/>
      <c r="T316" s="75"/>
    </row>
    <row r="317" spans="15:20" ht="11.25">
      <c r="O317" s="65"/>
      <c r="P317" s="66"/>
      <c r="T317" s="75"/>
    </row>
    <row r="318" spans="15:20" ht="11.25">
      <c r="O318" s="65"/>
      <c r="P318" s="66"/>
      <c r="T318" s="75"/>
    </row>
    <row r="319" spans="15:20" ht="11.25">
      <c r="O319" s="65"/>
      <c r="P319" s="66"/>
      <c r="T319" s="75"/>
    </row>
    <row r="320" spans="15:20" ht="11.25">
      <c r="O320" s="65"/>
      <c r="P320" s="66"/>
      <c r="T320" s="75"/>
    </row>
    <row r="321" spans="15:20" ht="11.25">
      <c r="O321" s="65"/>
      <c r="P321" s="66"/>
      <c r="T321" s="75"/>
    </row>
    <row r="322" spans="15:20" ht="11.25">
      <c r="O322" s="65"/>
      <c r="P322" s="66"/>
      <c r="T322" s="75"/>
    </row>
    <row r="323" spans="15:20" ht="11.25">
      <c r="O323" s="65"/>
      <c r="P323" s="66"/>
      <c r="T323" s="75"/>
    </row>
    <row r="324" spans="15:20" ht="11.25">
      <c r="O324" s="65"/>
      <c r="P324" s="66"/>
      <c r="T324" s="75"/>
    </row>
    <row r="325" spans="15:20" ht="11.25">
      <c r="O325" s="65"/>
      <c r="P325" s="66"/>
      <c r="T325" s="75"/>
    </row>
    <row r="326" spans="15:20" ht="11.25">
      <c r="O326" s="65"/>
      <c r="P326" s="66"/>
      <c r="T326" s="75"/>
    </row>
    <row r="327" spans="15:20" ht="11.25">
      <c r="O327" s="65"/>
      <c r="P327" s="66"/>
      <c r="T327" s="75"/>
    </row>
    <row r="328" spans="15:20" ht="11.25">
      <c r="O328" s="65"/>
      <c r="P328" s="66"/>
      <c r="T328" s="75"/>
    </row>
    <row r="329" spans="15:20" ht="11.25">
      <c r="O329" s="65"/>
      <c r="P329" s="66"/>
      <c r="T329" s="75"/>
    </row>
    <row r="330" spans="15:20" ht="11.25">
      <c r="O330" s="65"/>
      <c r="P330" s="66"/>
      <c r="T330" s="75"/>
    </row>
    <row r="331" spans="15:20" ht="11.25">
      <c r="O331" s="65"/>
      <c r="P331" s="66"/>
      <c r="T331" s="75"/>
    </row>
    <row r="332" spans="15:20" ht="11.25">
      <c r="O332" s="65"/>
      <c r="P332" s="66"/>
      <c r="T332" s="75"/>
    </row>
    <row r="333" spans="15:20" ht="11.25">
      <c r="O333" s="65"/>
      <c r="P333" s="66"/>
      <c r="T333" s="75"/>
    </row>
    <row r="334" spans="15:20" ht="11.25">
      <c r="O334" s="65"/>
      <c r="P334" s="66"/>
      <c r="T334" s="75"/>
    </row>
    <row r="335" spans="15:20" ht="11.25">
      <c r="O335" s="65"/>
      <c r="P335" s="66"/>
      <c r="T335" s="75"/>
    </row>
    <row r="336" spans="15:20" ht="11.25">
      <c r="O336" s="65"/>
      <c r="P336" s="66"/>
      <c r="T336" s="75"/>
    </row>
    <row r="337" spans="15:20" ht="11.25">
      <c r="O337" s="65"/>
      <c r="P337" s="66"/>
      <c r="T337" s="75"/>
    </row>
    <row r="338" spans="15:20" ht="11.25">
      <c r="O338" s="65"/>
      <c r="P338" s="66"/>
      <c r="T338" s="75"/>
    </row>
    <row r="339" spans="15:20" ht="11.25">
      <c r="O339" s="65"/>
      <c r="P339" s="66"/>
      <c r="T339" s="75"/>
    </row>
    <row r="340" spans="15:20" ht="11.25">
      <c r="O340" s="65"/>
      <c r="P340" s="66"/>
      <c r="T340" s="75"/>
    </row>
    <row r="341" spans="15:20" ht="11.25">
      <c r="O341" s="65"/>
      <c r="P341" s="66"/>
      <c r="T341" s="75"/>
    </row>
    <row r="342" spans="15:20" ht="11.25">
      <c r="O342" s="65"/>
      <c r="P342" s="66"/>
      <c r="T342" s="75"/>
    </row>
    <row r="343" spans="15:20" ht="11.25">
      <c r="O343" s="65"/>
      <c r="P343" s="66"/>
      <c r="T343" s="75"/>
    </row>
    <row r="344" spans="15:20" ht="11.25">
      <c r="O344" s="65"/>
      <c r="P344" s="66"/>
      <c r="T344" s="75"/>
    </row>
    <row r="345" spans="15:20" ht="11.25">
      <c r="O345" s="65"/>
      <c r="P345" s="66"/>
      <c r="T345" s="75"/>
    </row>
    <row r="346" spans="15:20" ht="11.25">
      <c r="O346" s="65"/>
      <c r="P346" s="66"/>
      <c r="T346" s="75"/>
    </row>
    <row r="347" spans="15:20" ht="11.25">
      <c r="O347" s="65"/>
      <c r="P347" s="66"/>
      <c r="T347" s="75"/>
    </row>
    <row r="348" spans="15:20" ht="11.25">
      <c r="O348" s="65"/>
      <c r="P348" s="66"/>
      <c r="T348" s="75"/>
    </row>
    <row r="349" spans="15:20" ht="11.25">
      <c r="O349" s="65"/>
      <c r="P349" s="66"/>
      <c r="T349" s="75"/>
    </row>
    <row r="350" spans="15:20" ht="11.25">
      <c r="O350" s="65"/>
      <c r="P350" s="66"/>
      <c r="T350" s="75"/>
    </row>
    <row r="351" spans="15:20" ht="11.25">
      <c r="O351" s="65"/>
      <c r="P351" s="66"/>
      <c r="T351" s="75"/>
    </row>
    <row r="352" spans="15:20" ht="11.25">
      <c r="O352" s="65"/>
      <c r="P352" s="66"/>
      <c r="T352" s="75"/>
    </row>
    <row r="353" spans="15:20" ht="11.25">
      <c r="O353" s="65"/>
      <c r="P353" s="66"/>
      <c r="T353" s="75"/>
    </row>
    <row r="354" spans="15:20" ht="11.25">
      <c r="O354" s="65"/>
      <c r="P354" s="66"/>
      <c r="T354" s="75"/>
    </row>
    <row r="355" spans="15:20" ht="11.25">
      <c r="O355" s="65"/>
      <c r="P355" s="66"/>
      <c r="T355" s="75"/>
    </row>
    <row r="356" spans="15:20" ht="11.25">
      <c r="O356" s="65"/>
      <c r="P356" s="66"/>
      <c r="T356" s="75"/>
    </row>
    <row r="357" spans="15:20" ht="11.25">
      <c r="O357" s="65"/>
      <c r="P357" s="66"/>
      <c r="T357" s="75"/>
    </row>
    <row r="358" spans="15:20" ht="11.25">
      <c r="O358" s="65"/>
      <c r="P358" s="66"/>
      <c r="T358" s="75"/>
    </row>
    <row r="359" spans="15:20" ht="11.25">
      <c r="O359" s="65"/>
      <c r="P359" s="66"/>
      <c r="T359" s="75"/>
    </row>
    <row r="360" spans="15:20" ht="11.25">
      <c r="O360" s="65"/>
      <c r="P360" s="66"/>
      <c r="T360" s="75"/>
    </row>
    <row r="361" spans="15:20" ht="11.25">
      <c r="O361" s="65"/>
      <c r="P361" s="66"/>
      <c r="T361" s="75"/>
    </row>
    <row r="362" spans="15:20" ht="11.25">
      <c r="O362" s="65"/>
      <c r="P362" s="66"/>
      <c r="T362" s="75"/>
    </row>
    <row r="363" spans="15:20" ht="11.25">
      <c r="O363" s="65"/>
      <c r="P363" s="66"/>
      <c r="T363" s="75"/>
    </row>
    <row r="364" spans="15:20" ht="11.25">
      <c r="O364" s="65"/>
      <c r="P364" s="66"/>
      <c r="T364" s="75"/>
    </row>
    <row r="365" spans="15:20" ht="11.25">
      <c r="O365" s="65"/>
      <c r="P365" s="66"/>
      <c r="T365" s="75"/>
    </row>
    <row r="366" spans="15:20" ht="11.25">
      <c r="O366" s="65"/>
      <c r="P366" s="66"/>
      <c r="T366" s="75"/>
    </row>
    <row r="367" spans="15:20" ht="11.25">
      <c r="O367" s="65"/>
      <c r="P367" s="66"/>
      <c r="T367" s="75"/>
    </row>
    <row r="368" spans="15:20" ht="11.25">
      <c r="O368" s="65"/>
      <c r="P368" s="66"/>
      <c r="T368" s="75"/>
    </row>
    <row r="369" spans="15:20" ht="11.25">
      <c r="O369" s="65"/>
      <c r="P369" s="66"/>
      <c r="T369" s="75"/>
    </row>
    <row r="370" spans="15:20" ht="11.25">
      <c r="O370" s="65"/>
      <c r="P370" s="66"/>
      <c r="T370" s="75"/>
    </row>
    <row r="371" spans="15:20" ht="11.25">
      <c r="O371" s="65"/>
      <c r="P371" s="66"/>
      <c r="T371" s="75"/>
    </row>
    <row r="372" spans="15:20" ht="11.25">
      <c r="O372" s="65"/>
      <c r="P372" s="66"/>
      <c r="T372" s="75"/>
    </row>
    <row r="373" spans="15:20" ht="11.25">
      <c r="O373" s="65"/>
      <c r="P373" s="66"/>
      <c r="T373" s="75"/>
    </row>
    <row r="374" spans="15:20" ht="11.25">
      <c r="O374" s="65"/>
      <c r="P374" s="66"/>
      <c r="T374" s="75"/>
    </row>
    <row r="375" spans="15:20" ht="11.25">
      <c r="O375" s="65"/>
      <c r="P375" s="66"/>
      <c r="T375" s="75"/>
    </row>
    <row r="376" spans="15:20" ht="11.25">
      <c r="O376" s="65"/>
      <c r="P376" s="66"/>
      <c r="T376" s="75"/>
    </row>
    <row r="377" spans="15:20" ht="11.25">
      <c r="O377" s="65"/>
      <c r="P377" s="66"/>
      <c r="T377" s="75"/>
    </row>
    <row r="378" spans="15:20" ht="11.25">
      <c r="O378" s="65"/>
      <c r="P378" s="66"/>
      <c r="T378" s="75"/>
    </row>
    <row r="379" spans="15:20" ht="11.25">
      <c r="O379" s="65"/>
      <c r="P379" s="66"/>
      <c r="T379" s="75"/>
    </row>
    <row r="380" spans="15:20" ht="11.25">
      <c r="O380" s="65"/>
      <c r="P380" s="66"/>
      <c r="T380" s="75"/>
    </row>
    <row r="381" spans="15:20" ht="11.25">
      <c r="O381" s="65"/>
      <c r="P381" s="66"/>
      <c r="T381" s="75"/>
    </row>
    <row r="382" spans="15:20" ht="11.25">
      <c r="O382" s="65"/>
      <c r="P382" s="66"/>
      <c r="T382" s="75"/>
    </row>
    <row r="383" spans="15:20" ht="11.25">
      <c r="O383" s="65"/>
      <c r="P383" s="66"/>
      <c r="T383" s="75"/>
    </row>
    <row r="384" spans="15:20" ht="11.25">
      <c r="O384" s="65"/>
      <c r="P384" s="66"/>
      <c r="T384" s="75"/>
    </row>
    <row r="385" spans="15:20" ht="11.25">
      <c r="O385" s="65"/>
      <c r="P385" s="66"/>
      <c r="T385" s="75"/>
    </row>
    <row r="386" spans="15:20" ht="11.25">
      <c r="O386" s="65"/>
      <c r="P386" s="66"/>
      <c r="T386" s="75"/>
    </row>
    <row r="387" spans="15:20" ht="11.25">
      <c r="O387" s="65"/>
      <c r="P387" s="66"/>
      <c r="T387" s="75"/>
    </row>
    <row r="388" spans="15:20" ht="11.25">
      <c r="O388" s="65"/>
      <c r="P388" s="66"/>
      <c r="T388" s="75"/>
    </row>
    <row r="389" spans="15:20" ht="11.25">
      <c r="O389" s="65"/>
      <c r="P389" s="66"/>
      <c r="T389" s="75"/>
    </row>
    <row r="390" spans="15:20" ht="11.25">
      <c r="O390" s="65"/>
      <c r="P390" s="66"/>
      <c r="T390" s="75"/>
    </row>
    <row r="391" spans="15:20" ht="11.25">
      <c r="O391" s="65"/>
      <c r="P391" s="66"/>
      <c r="T391" s="75"/>
    </row>
    <row r="392" spans="15:20" ht="11.25">
      <c r="O392" s="65"/>
      <c r="P392" s="66"/>
      <c r="T392" s="75"/>
    </row>
    <row r="393" spans="15:20" ht="11.25">
      <c r="O393" s="65"/>
      <c r="P393" s="66"/>
      <c r="T393" s="75"/>
    </row>
    <row r="394" spans="15:20" ht="11.25">
      <c r="O394" s="65"/>
      <c r="P394" s="66"/>
      <c r="T394" s="75"/>
    </row>
    <row r="395" spans="15:20" ht="11.25">
      <c r="O395" s="65"/>
      <c r="P395" s="66"/>
      <c r="T395" s="75"/>
    </row>
    <row r="396" spans="15:20" ht="11.25">
      <c r="O396" s="65"/>
      <c r="P396" s="66"/>
      <c r="T396" s="75"/>
    </row>
    <row r="397" spans="15:20" ht="11.25">
      <c r="O397" s="65"/>
      <c r="P397" s="66"/>
      <c r="T397" s="75"/>
    </row>
    <row r="398" spans="15:20" ht="11.25">
      <c r="O398" s="65"/>
      <c r="P398" s="66"/>
      <c r="T398" s="75"/>
    </row>
    <row r="399" spans="15:20" ht="11.25">
      <c r="O399" s="65"/>
      <c r="P399" s="66"/>
      <c r="T399" s="75"/>
    </row>
    <row r="400" spans="15:20" ht="11.25">
      <c r="O400" s="65"/>
      <c r="P400" s="66"/>
      <c r="T400" s="75"/>
    </row>
    <row r="401" spans="15:20" ht="11.25">
      <c r="O401" s="65"/>
      <c r="P401" s="66"/>
      <c r="T401" s="75"/>
    </row>
    <row r="402" spans="15:20" ht="11.25">
      <c r="O402" s="65"/>
      <c r="P402" s="66"/>
      <c r="T402" s="75"/>
    </row>
    <row r="403" spans="15:20" ht="11.25">
      <c r="O403" s="65"/>
      <c r="P403" s="66"/>
      <c r="T403" s="75"/>
    </row>
    <row r="404" spans="15:20" ht="11.25">
      <c r="O404" s="65"/>
      <c r="P404" s="66"/>
      <c r="T404" s="75"/>
    </row>
    <row r="405" spans="15:20" ht="11.25">
      <c r="O405" s="65"/>
      <c r="P405" s="66"/>
      <c r="T405" s="75"/>
    </row>
    <row r="406" spans="15:20" ht="11.25">
      <c r="O406" s="65"/>
      <c r="P406" s="66"/>
      <c r="T406" s="75"/>
    </row>
    <row r="407" spans="15:20" ht="11.25">
      <c r="O407" s="65"/>
      <c r="P407" s="66"/>
      <c r="T407" s="75"/>
    </row>
    <row r="408" spans="15:20" ht="11.25">
      <c r="O408" s="65"/>
      <c r="P408" s="66"/>
      <c r="T408" s="75"/>
    </row>
    <row r="409" spans="15:20" ht="11.25">
      <c r="O409" s="65"/>
      <c r="P409" s="66"/>
      <c r="T409" s="75"/>
    </row>
    <row r="410" spans="15:20" ht="11.25">
      <c r="O410" s="65"/>
      <c r="P410" s="66"/>
      <c r="T410" s="75"/>
    </row>
    <row r="411" spans="15:20" ht="11.25">
      <c r="O411" s="65"/>
      <c r="P411" s="66"/>
      <c r="T411" s="75"/>
    </row>
    <row r="412" spans="15:20" ht="11.25">
      <c r="O412" s="65"/>
      <c r="P412" s="66"/>
      <c r="T412" s="75"/>
    </row>
    <row r="413" spans="15:20" ht="11.25">
      <c r="O413" s="65"/>
      <c r="P413" s="66"/>
      <c r="T413" s="75"/>
    </row>
    <row r="414" spans="15:20" ht="11.25">
      <c r="O414" s="65"/>
      <c r="P414" s="66"/>
      <c r="T414" s="75"/>
    </row>
    <row r="415" spans="15:20" ht="11.25">
      <c r="O415" s="65"/>
      <c r="P415" s="66"/>
      <c r="T415" s="75"/>
    </row>
    <row r="416" spans="15:20" ht="11.25">
      <c r="O416" s="65"/>
      <c r="P416" s="66"/>
      <c r="T416" s="75"/>
    </row>
    <row r="417" spans="15:20" ht="11.25">
      <c r="O417" s="65"/>
      <c r="P417" s="66"/>
      <c r="T417" s="75"/>
    </row>
    <row r="418" spans="15:20" ht="11.25">
      <c r="O418" s="65"/>
      <c r="P418" s="66"/>
      <c r="T418" s="75"/>
    </row>
    <row r="419" spans="15:20" ht="11.25">
      <c r="O419" s="65"/>
      <c r="P419" s="66"/>
      <c r="T419" s="75"/>
    </row>
    <row r="420" spans="15:20" ht="11.25">
      <c r="O420" s="65"/>
      <c r="P420" s="66"/>
      <c r="T420" s="75"/>
    </row>
    <row r="421" spans="15:20" ht="11.25">
      <c r="O421" s="65"/>
      <c r="P421" s="66"/>
      <c r="T421" s="75"/>
    </row>
    <row r="422" spans="15:20" ht="11.25">
      <c r="O422" s="65"/>
      <c r="P422" s="66"/>
      <c r="T422" s="75"/>
    </row>
    <row r="423" spans="15:20" ht="11.25">
      <c r="O423" s="65"/>
      <c r="P423" s="66"/>
      <c r="T423" s="75"/>
    </row>
    <row r="424" spans="15:20" ht="11.25">
      <c r="O424" s="65"/>
      <c r="P424" s="66"/>
      <c r="T424" s="75"/>
    </row>
    <row r="425" spans="15:20" ht="11.25">
      <c r="O425" s="65"/>
      <c r="P425" s="66"/>
      <c r="T425" s="75"/>
    </row>
    <row r="426" spans="15:20" ht="11.25">
      <c r="O426" s="65"/>
      <c r="P426" s="66"/>
      <c r="T426" s="75"/>
    </row>
    <row r="427" spans="15:20" ht="11.25">
      <c r="O427" s="65"/>
      <c r="P427" s="66"/>
      <c r="T427" s="75"/>
    </row>
    <row r="428" spans="15:20" ht="11.25">
      <c r="O428" s="65"/>
      <c r="P428" s="66"/>
      <c r="T428" s="75"/>
    </row>
    <row r="429" spans="15:20" ht="11.25">
      <c r="O429" s="65"/>
      <c r="P429" s="66"/>
      <c r="T429" s="75"/>
    </row>
    <row r="430" spans="15:20" ht="11.25">
      <c r="O430" s="65"/>
      <c r="P430" s="66"/>
      <c r="T430" s="75"/>
    </row>
    <row r="431" spans="15:20" ht="11.25">
      <c r="O431" s="65"/>
      <c r="P431" s="66"/>
      <c r="T431" s="75"/>
    </row>
    <row r="432" spans="15:20" ht="11.25">
      <c r="O432" s="65"/>
      <c r="P432" s="66"/>
      <c r="T432" s="75"/>
    </row>
    <row r="433" spans="15:20" ht="11.25">
      <c r="O433" s="65"/>
      <c r="P433" s="66"/>
      <c r="T433" s="75"/>
    </row>
    <row r="434" spans="15:20" ht="11.25">
      <c r="O434" s="65"/>
      <c r="P434" s="66"/>
      <c r="T434" s="75"/>
    </row>
    <row r="435" spans="15:20" ht="11.25">
      <c r="O435" s="65"/>
      <c r="P435" s="66"/>
      <c r="T435" s="75"/>
    </row>
    <row r="436" spans="15:20" ht="11.25">
      <c r="O436" s="65"/>
      <c r="P436" s="66"/>
      <c r="T436" s="75"/>
    </row>
    <row r="437" spans="15:20" ht="11.25">
      <c r="O437" s="65"/>
      <c r="P437" s="66"/>
      <c r="T437" s="75"/>
    </row>
    <row r="438" spans="15:20" ht="11.25">
      <c r="O438" s="65"/>
      <c r="P438" s="66"/>
      <c r="T438" s="75"/>
    </row>
    <row r="439" spans="15:20" ht="11.25">
      <c r="O439" s="65"/>
      <c r="P439" s="66"/>
      <c r="T439" s="75"/>
    </row>
    <row r="440" spans="15:20" ht="11.25">
      <c r="O440" s="65"/>
      <c r="P440" s="66"/>
      <c r="T440" s="75"/>
    </row>
    <row r="441" spans="15:20" ht="11.25">
      <c r="O441" s="65"/>
      <c r="P441" s="66"/>
      <c r="T441" s="75"/>
    </row>
    <row r="442" spans="15:20" ht="11.25">
      <c r="O442" s="65"/>
      <c r="P442" s="66"/>
      <c r="T442" s="75"/>
    </row>
    <row r="443" spans="15:20" ht="11.25">
      <c r="O443" s="65"/>
      <c r="P443" s="66"/>
      <c r="T443" s="75"/>
    </row>
    <row r="444" spans="15:20" ht="11.25">
      <c r="O444" s="65"/>
      <c r="P444" s="66"/>
      <c r="T444" s="75"/>
    </row>
    <row r="445" spans="15:20" ht="11.25">
      <c r="O445" s="65"/>
      <c r="P445" s="66"/>
      <c r="T445" s="75"/>
    </row>
    <row r="446" spans="15:20" ht="11.25">
      <c r="O446" s="65"/>
      <c r="P446" s="66"/>
      <c r="T446" s="75"/>
    </row>
    <row r="447" spans="15:20" ht="11.25">
      <c r="O447" s="65"/>
      <c r="P447" s="66"/>
      <c r="T447" s="75"/>
    </row>
    <row r="448" spans="15:20" ht="11.25">
      <c r="O448" s="65"/>
      <c r="P448" s="66"/>
      <c r="T448" s="75"/>
    </row>
    <row r="449" spans="15:20" ht="11.25">
      <c r="O449" s="65"/>
      <c r="P449" s="66"/>
      <c r="T449" s="75"/>
    </row>
    <row r="450" spans="15:20" ht="11.25">
      <c r="O450" s="65"/>
      <c r="P450" s="66"/>
      <c r="T450" s="75"/>
    </row>
    <row r="451" spans="15:20" ht="11.25">
      <c r="O451" s="65"/>
      <c r="P451" s="66"/>
      <c r="T451" s="75"/>
    </row>
    <row r="452" spans="15:20" ht="11.25">
      <c r="O452" s="65"/>
      <c r="P452" s="66"/>
      <c r="T452" s="75"/>
    </row>
    <row r="453" spans="15:20" ht="11.25">
      <c r="O453" s="65"/>
      <c r="P453" s="66"/>
      <c r="T453" s="75"/>
    </row>
    <row r="454" spans="15:20" ht="11.25">
      <c r="O454" s="65"/>
      <c r="P454" s="66"/>
      <c r="T454" s="75"/>
    </row>
    <row r="455" spans="15:20" ht="11.25">
      <c r="O455" s="65"/>
      <c r="P455" s="66"/>
      <c r="T455" s="75"/>
    </row>
    <row r="456" spans="15:20" ht="11.25">
      <c r="O456" s="65"/>
      <c r="P456" s="66"/>
      <c r="T456" s="75"/>
    </row>
    <row r="457" spans="15:20" ht="11.25">
      <c r="O457" s="65"/>
      <c r="P457" s="66"/>
      <c r="T457" s="75"/>
    </row>
    <row r="458" spans="15:20" ht="11.25">
      <c r="O458" s="65"/>
      <c r="P458" s="66"/>
      <c r="T458" s="75"/>
    </row>
    <row r="459" spans="15:20" ht="11.25">
      <c r="O459" s="65"/>
      <c r="P459" s="66"/>
      <c r="T459" s="75"/>
    </row>
    <row r="460" spans="15:20" ht="11.25">
      <c r="O460" s="65"/>
      <c r="P460" s="66"/>
      <c r="T460" s="75"/>
    </row>
    <row r="461" spans="15:20" ht="11.25">
      <c r="O461" s="65"/>
      <c r="P461" s="66"/>
      <c r="T461" s="75"/>
    </row>
    <row r="462" spans="15:20" ht="11.25">
      <c r="O462" s="65"/>
      <c r="P462" s="66"/>
      <c r="T462" s="75"/>
    </row>
    <row r="463" spans="15:20" ht="11.25">
      <c r="O463" s="65"/>
      <c r="P463" s="66"/>
      <c r="T463" s="75"/>
    </row>
    <row r="464" spans="15:20" ht="11.25">
      <c r="O464" s="65"/>
      <c r="P464" s="66"/>
      <c r="T464" s="75"/>
    </row>
    <row r="465" spans="15:20" ht="11.25">
      <c r="O465" s="65"/>
      <c r="P465" s="66"/>
      <c r="T465" s="75"/>
    </row>
    <row r="466" spans="15:20" ht="11.25">
      <c r="O466" s="65"/>
      <c r="P466" s="66"/>
      <c r="T466" s="75"/>
    </row>
    <row r="467" spans="15:20" ht="11.25">
      <c r="O467" s="65"/>
      <c r="P467" s="66"/>
      <c r="T467" s="75"/>
    </row>
    <row r="468" spans="15:20" ht="11.25">
      <c r="O468" s="65"/>
      <c r="P468" s="66"/>
      <c r="T468" s="75"/>
    </row>
    <row r="469" spans="15:20" ht="11.25">
      <c r="O469" s="65"/>
      <c r="P469" s="66"/>
      <c r="T469" s="75"/>
    </row>
    <row r="470" spans="15:20" ht="11.25">
      <c r="O470" s="65"/>
      <c r="P470" s="66"/>
      <c r="T470" s="75"/>
    </row>
    <row r="471" spans="15:20" ht="11.25">
      <c r="O471" s="65"/>
      <c r="P471" s="66"/>
      <c r="T471" s="75"/>
    </row>
    <row r="472" spans="15:20" ht="11.25">
      <c r="O472" s="65"/>
      <c r="P472" s="66"/>
      <c r="T472" s="75"/>
    </row>
    <row r="473" spans="15:20" ht="11.25">
      <c r="O473" s="65"/>
      <c r="T473" s="75"/>
    </row>
    <row r="474" spans="15:20" ht="11.25">
      <c r="O474" s="65"/>
      <c r="T474" s="75"/>
    </row>
    <row r="475" spans="15:20" ht="11.25">
      <c r="O475" s="65"/>
      <c r="T475" s="75"/>
    </row>
    <row r="476" spans="15:20" ht="11.25">
      <c r="O476" s="65"/>
      <c r="T476" s="75"/>
    </row>
    <row r="477" spans="15:20" ht="11.25">
      <c r="O477" s="65"/>
      <c r="T477" s="75"/>
    </row>
    <row r="478" spans="15:20" ht="11.25">
      <c r="O478" s="65"/>
      <c r="T478" s="75"/>
    </row>
    <row r="479" spans="15:20" ht="11.25">
      <c r="O479" s="65"/>
      <c r="T479" s="75"/>
    </row>
    <row r="480" spans="15:20" ht="11.25">
      <c r="O480" s="65"/>
      <c r="T480" s="75"/>
    </row>
    <row r="481" spans="15:20" ht="11.25">
      <c r="O481" s="65"/>
      <c r="T481" s="75"/>
    </row>
    <row r="482" spans="15:20" ht="11.25">
      <c r="O482" s="65"/>
      <c r="T482" s="75"/>
    </row>
    <row r="483" spans="15:20" ht="11.25">
      <c r="O483" s="65"/>
      <c r="T483" s="75"/>
    </row>
    <row r="484" spans="15:20" ht="11.25">
      <c r="O484" s="65"/>
      <c r="T484" s="75"/>
    </row>
    <row r="485" spans="15:20" ht="11.25">
      <c r="O485" s="65"/>
      <c r="T485" s="75"/>
    </row>
    <row r="486" spans="15:20" ht="11.25">
      <c r="O486" s="65"/>
      <c r="T486" s="75"/>
    </row>
    <row r="487" spans="15:20" ht="11.25">
      <c r="O487" s="65"/>
      <c r="T487" s="75"/>
    </row>
    <row r="488" spans="15:20" ht="11.25">
      <c r="O488" s="65"/>
      <c r="T488" s="75"/>
    </row>
    <row r="489" spans="15:20" ht="11.25">
      <c r="O489" s="65"/>
      <c r="T489" s="75"/>
    </row>
    <row r="490" spans="15:20" ht="11.25">
      <c r="O490" s="65"/>
      <c r="T490" s="75"/>
    </row>
    <row r="491" spans="15:20" ht="11.25">
      <c r="O491" s="65"/>
      <c r="T491" s="75"/>
    </row>
    <row r="492" spans="15:20" ht="11.25">
      <c r="O492" s="65"/>
      <c r="T492" s="75"/>
    </row>
    <row r="493" spans="15:20" ht="11.25">
      <c r="O493" s="65"/>
      <c r="T493" s="75"/>
    </row>
    <row r="494" spans="15:20" ht="11.25">
      <c r="O494" s="65"/>
      <c r="T494" s="75"/>
    </row>
    <row r="495" spans="15:20" ht="11.25">
      <c r="O495" s="65"/>
      <c r="T495" s="75"/>
    </row>
    <row r="496" spans="15:20" ht="11.25">
      <c r="O496" s="65"/>
      <c r="T496" s="75"/>
    </row>
    <row r="497" spans="15:20" ht="11.25">
      <c r="O497" s="65"/>
      <c r="T497" s="75"/>
    </row>
    <row r="498" spans="15:20" ht="11.25">
      <c r="O498" s="65"/>
      <c r="T498" s="75"/>
    </row>
    <row r="499" spans="15:20" ht="11.25">
      <c r="O499" s="65"/>
      <c r="T499" s="75"/>
    </row>
    <row r="500" spans="15:20" ht="11.25">
      <c r="O500" s="65"/>
      <c r="T500" s="75"/>
    </row>
    <row r="501" spans="15:20" ht="11.25">
      <c r="O501" s="65"/>
      <c r="T501" s="75"/>
    </row>
    <row r="502" spans="15:20" ht="11.25">
      <c r="O502" s="65"/>
      <c r="T502" s="75"/>
    </row>
    <row r="503" spans="15:20" ht="11.25">
      <c r="O503" s="65"/>
      <c r="T503" s="75"/>
    </row>
    <row r="504" spans="15:20" ht="11.25">
      <c r="O504" s="65"/>
      <c r="T504" s="75"/>
    </row>
    <row r="505" spans="15:20" ht="11.25">
      <c r="O505" s="65"/>
      <c r="T505" s="75"/>
    </row>
    <row r="506" spans="15:20" ht="11.25">
      <c r="O506" s="65"/>
      <c r="T506" s="75"/>
    </row>
    <row r="507" spans="15:20" ht="11.25">
      <c r="O507" s="65"/>
      <c r="T507" s="75"/>
    </row>
    <row r="508" spans="15:20" ht="11.25">
      <c r="O508" s="65"/>
      <c r="T508" s="75"/>
    </row>
    <row r="509" spans="15:20" ht="11.25">
      <c r="O509" s="65"/>
      <c r="T509" s="75"/>
    </row>
    <row r="510" spans="15:20" ht="11.25">
      <c r="O510" s="65"/>
      <c r="T510" s="75"/>
    </row>
    <row r="511" spans="15:20" ht="11.25">
      <c r="O511" s="65"/>
      <c r="T511" s="75"/>
    </row>
    <row r="512" spans="15:20" ht="11.25">
      <c r="O512" s="65"/>
      <c r="T512" s="75"/>
    </row>
    <row r="513" spans="15:20" ht="11.25">
      <c r="O513" s="65"/>
      <c r="T513" s="75"/>
    </row>
    <row r="514" spans="15:20" ht="11.25">
      <c r="O514" s="65"/>
      <c r="T514" s="75"/>
    </row>
    <row r="515" spans="15:20" ht="11.25">
      <c r="O515" s="65"/>
      <c r="T515" s="75"/>
    </row>
    <row r="516" spans="15:20" ht="11.25">
      <c r="O516" s="65"/>
      <c r="T516" s="75"/>
    </row>
    <row r="517" spans="15:20" ht="11.25">
      <c r="O517" s="65"/>
      <c r="T517" s="75"/>
    </row>
    <row r="518" spans="15:20" ht="11.25">
      <c r="O518" s="65"/>
      <c r="T518" s="75"/>
    </row>
    <row r="519" spans="15:20" ht="11.25">
      <c r="O519" s="65"/>
      <c r="T519" s="75"/>
    </row>
    <row r="520" spans="15:20" ht="11.25">
      <c r="O520" s="65"/>
      <c r="T520" s="75"/>
    </row>
    <row r="521" spans="15:20" ht="11.25">
      <c r="O521" s="65"/>
      <c r="T521" s="75"/>
    </row>
    <row r="522" spans="15:20" ht="11.25">
      <c r="O522" s="65"/>
      <c r="T522" s="75"/>
    </row>
    <row r="523" spans="15:20" ht="11.25">
      <c r="O523" s="65"/>
      <c r="T523" s="75"/>
    </row>
    <row r="524" spans="15:20" ht="11.25">
      <c r="O524" s="65"/>
      <c r="T524" s="75"/>
    </row>
    <row r="525" spans="15:20" ht="11.25">
      <c r="O525" s="65"/>
      <c r="T525" s="75"/>
    </row>
    <row r="526" spans="15:20" ht="11.25">
      <c r="O526" s="65"/>
      <c r="T526" s="75"/>
    </row>
    <row r="527" spans="15:20" ht="11.25">
      <c r="O527" s="65"/>
      <c r="T527" s="75"/>
    </row>
    <row r="528" spans="15:20" ht="11.25">
      <c r="O528" s="65"/>
      <c r="T528" s="75"/>
    </row>
    <row r="529" spans="15:20" ht="11.25">
      <c r="O529" s="65"/>
      <c r="T529" s="75"/>
    </row>
    <row r="530" spans="15:20" ht="11.25">
      <c r="O530" s="65"/>
      <c r="T530" s="75"/>
    </row>
    <row r="531" spans="15:20" ht="11.25">
      <c r="O531" s="65"/>
      <c r="T531" s="75"/>
    </row>
    <row r="532" spans="15:20" ht="11.25">
      <c r="O532" s="65"/>
      <c r="T532" s="75"/>
    </row>
    <row r="533" spans="15:20" ht="11.25">
      <c r="O533" s="65"/>
      <c r="T533" s="75"/>
    </row>
    <row r="534" spans="15:20" ht="11.25">
      <c r="O534" s="65"/>
      <c r="T534" s="75"/>
    </row>
    <row r="535" spans="15:20" ht="11.25">
      <c r="O535" s="65"/>
      <c r="T535" s="75"/>
    </row>
    <row r="536" spans="15:20" ht="11.25">
      <c r="O536" s="65"/>
      <c r="T536" s="75"/>
    </row>
    <row r="537" spans="15:20" ht="11.25">
      <c r="O537" s="65"/>
      <c r="T537" s="75"/>
    </row>
    <row r="538" spans="15:20" ht="11.25">
      <c r="O538" s="65"/>
      <c r="T538" s="75"/>
    </row>
    <row r="539" spans="15:20" ht="11.25">
      <c r="O539" s="65"/>
      <c r="T539" s="75"/>
    </row>
    <row r="540" spans="15:20" ht="11.25">
      <c r="O540" s="65"/>
      <c r="T540" s="75"/>
    </row>
    <row r="541" spans="15:20" ht="11.25">
      <c r="O541" s="65"/>
      <c r="T541" s="75"/>
    </row>
    <row r="542" spans="15:20" ht="11.25">
      <c r="O542" s="65"/>
      <c r="T542" s="75"/>
    </row>
    <row r="543" spans="15:20" ht="11.25">
      <c r="O543" s="65"/>
      <c r="T543" s="75"/>
    </row>
    <row r="544" spans="15:20" ht="11.25">
      <c r="O544" s="65"/>
      <c r="T544" s="75"/>
    </row>
    <row r="545" spans="15:20" ht="11.25">
      <c r="O545" s="65"/>
      <c r="T545" s="75"/>
    </row>
    <row r="546" spans="15:20" ht="11.25">
      <c r="O546" s="65"/>
      <c r="T546" s="75"/>
    </row>
    <row r="547" spans="15:20" ht="11.25">
      <c r="O547" s="65"/>
      <c r="T547" s="75"/>
    </row>
    <row r="548" spans="15:20" ht="11.25">
      <c r="O548" s="65"/>
      <c r="T548" s="75"/>
    </row>
    <row r="549" spans="15:20" ht="11.25">
      <c r="O549" s="65"/>
      <c r="T549" s="75"/>
    </row>
    <row r="550" spans="15:20" ht="11.25">
      <c r="O550" s="65"/>
      <c r="T550" s="75"/>
    </row>
    <row r="551" spans="15:20" ht="11.25">
      <c r="O551" s="65"/>
      <c r="T551" s="75"/>
    </row>
    <row r="552" spans="15:20" ht="11.25">
      <c r="O552" s="65"/>
      <c r="T552" s="75"/>
    </row>
    <row r="553" spans="15:20" ht="11.25">
      <c r="O553" s="65"/>
      <c r="T553" s="75"/>
    </row>
    <row r="554" spans="15:20" ht="11.25">
      <c r="O554" s="65"/>
      <c r="T554" s="75"/>
    </row>
    <row r="555" spans="15:20" ht="11.25">
      <c r="O555" s="65"/>
      <c r="T555" s="75"/>
    </row>
    <row r="556" spans="15:20" ht="11.25">
      <c r="O556" s="65"/>
      <c r="T556" s="75"/>
    </row>
    <row r="557" spans="15:20" ht="11.25">
      <c r="O557" s="65"/>
      <c r="T557" s="75"/>
    </row>
    <row r="558" spans="15:20" ht="11.25">
      <c r="O558" s="65"/>
      <c r="T558" s="75"/>
    </row>
    <row r="559" spans="15:20" ht="11.25">
      <c r="O559" s="65"/>
      <c r="T559" s="75"/>
    </row>
    <row r="560" spans="15:20" ht="11.25">
      <c r="O560" s="65"/>
      <c r="T560" s="75"/>
    </row>
    <row r="561" spans="15:20" ht="11.25">
      <c r="O561" s="65"/>
      <c r="T561" s="75"/>
    </row>
    <row r="562" spans="15:20" ht="11.25">
      <c r="O562" s="65"/>
      <c r="T562" s="75"/>
    </row>
    <row r="563" spans="15:20" ht="11.25">
      <c r="O563" s="65"/>
      <c r="T563" s="75"/>
    </row>
    <row r="564" spans="15:20" ht="11.25">
      <c r="O564" s="65"/>
      <c r="T564" s="75"/>
    </row>
    <row r="565" spans="15:20" ht="11.25">
      <c r="O565" s="65"/>
      <c r="T565" s="75"/>
    </row>
    <row r="566" spans="15:20" ht="11.25">
      <c r="O566" s="65"/>
      <c r="T566" s="75"/>
    </row>
    <row r="567" spans="15:20" ht="11.25">
      <c r="O567" s="65"/>
      <c r="T567" s="75"/>
    </row>
    <row r="568" spans="15:20" ht="11.25">
      <c r="O568" s="65"/>
      <c r="T568" s="75"/>
    </row>
    <row r="569" spans="15:20" ht="11.25">
      <c r="O569" s="65"/>
      <c r="T569" s="75"/>
    </row>
    <row r="570" spans="15:20" ht="11.25">
      <c r="O570" s="65"/>
      <c r="T570" s="75"/>
    </row>
    <row r="571" spans="15:20" ht="11.25">
      <c r="O571" s="65"/>
      <c r="T571" s="75"/>
    </row>
    <row r="572" spans="15:20" ht="11.25">
      <c r="O572" s="65"/>
      <c r="T572" s="75"/>
    </row>
    <row r="573" spans="15:20" ht="11.25">
      <c r="O573" s="65"/>
      <c r="T573" s="75"/>
    </row>
    <row r="574" spans="15:20" ht="11.25">
      <c r="O574" s="65"/>
      <c r="T574" s="75"/>
    </row>
    <row r="575" spans="15:20" ht="11.25">
      <c r="O575" s="65"/>
      <c r="T575" s="75"/>
    </row>
    <row r="576" spans="15:20" ht="11.25">
      <c r="O576" s="65"/>
      <c r="T576" s="75"/>
    </row>
    <row r="577" spans="15:20" ht="11.25">
      <c r="O577" s="65"/>
      <c r="T577" s="75"/>
    </row>
    <row r="578" spans="15:20" ht="11.25">
      <c r="O578" s="65"/>
      <c r="T578" s="75"/>
    </row>
    <row r="579" spans="15:20" ht="11.25">
      <c r="O579" s="65"/>
      <c r="T579" s="75"/>
    </row>
    <row r="580" spans="15:20" ht="11.25">
      <c r="O580" s="65"/>
      <c r="T580" s="75"/>
    </row>
    <row r="581" spans="15:20" ht="11.25">
      <c r="O581" s="65"/>
      <c r="T581" s="75"/>
    </row>
    <row r="582" spans="15:20" ht="11.25">
      <c r="O582" s="65"/>
      <c r="T582" s="75"/>
    </row>
    <row r="583" spans="15:20" ht="11.25">
      <c r="O583" s="65"/>
      <c r="T583" s="75"/>
    </row>
    <row r="584" spans="15:20" ht="11.25">
      <c r="O584" s="65"/>
      <c r="T584" s="75"/>
    </row>
    <row r="585" spans="15:20" ht="11.25">
      <c r="O585" s="65"/>
      <c r="T585" s="75"/>
    </row>
    <row r="586" spans="15:20" ht="11.25">
      <c r="O586" s="65"/>
      <c r="T586" s="75"/>
    </row>
    <row r="587" spans="15:20" ht="11.25">
      <c r="O587" s="65"/>
      <c r="T587" s="75"/>
    </row>
    <row r="588" spans="15:20" ht="11.25">
      <c r="O588" s="65"/>
      <c r="T588" s="75"/>
    </row>
    <row r="589" spans="15:20" ht="11.25">
      <c r="O589" s="65"/>
      <c r="T589" s="75"/>
    </row>
    <row r="590" spans="15:20" ht="11.25">
      <c r="O590" s="65"/>
      <c r="T590" s="75"/>
    </row>
    <row r="591" spans="15:20" ht="11.25">
      <c r="O591" s="65"/>
      <c r="T591" s="75"/>
    </row>
    <row r="592" spans="15:20" ht="11.25">
      <c r="O592" s="65"/>
      <c r="T592" s="75"/>
    </row>
    <row r="593" spans="15:20" ht="11.25">
      <c r="O593" s="65"/>
      <c r="T593" s="75"/>
    </row>
    <row r="594" spans="15:20" ht="11.25">
      <c r="O594" s="65"/>
      <c r="T594" s="75"/>
    </row>
    <row r="595" spans="15:20" ht="11.25">
      <c r="O595" s="65"/>
      <c r="T595" s="75"/>
    </row>
    <row r="596" spans="15:20" ht="11.25">
      <c r="O596" s="65"/>
      <c r="T596" s="75"/>
    </row>
    <row r="597" spans="15:20" ht="11.25">
      <c r="O597" s="65"/>
      <c r="T597" s="75"/>
    </row>
    <row r="598" spans="15:20" ht="11.25">
      <c r="O598" s="65"/>
      <c r="T598" s="75"/>
    </row>
    <row r="599" spans="15:20" ht="11.25">
      <c r="O599" s="65"/>
      <c r="T599" s="75"/>
    </row>
    <row r="600" spans="15:20" ht="11.25">
      <c r="O600" s="65"/>
      <c r="T600" s="75"/>
    </row>
    <row r="601" spans="15:20" ht="11.25">
      <c r="O601" s="65"/>
      <c r="T601" s="75"/>
    </row>
    <row r="602" spans="15:20" ht="11.25">
      <c r="O602" s="65"/>
      <c r="T602" s="75"/>
    </row>
    <row r="603" spans="15:20" ht="11.25">
      <c r="O603" s="65"/>
      <c r="T603" s="75"/>
    </row>
    <row r="604" spans="15:20" ht="11.25">
      <c r="O604" s="65"/>
      <c r="T604" s="75"/>
    </row>
    <row r="605" spans="15:20" ht="11.25">
      <c r="O605" s="65"/>
      <c r="T605" s="75"/>
    </row>
    <row r="606" spans="15:20" ht="11.25">
      <c r="O606" s="65"/>
      <c r="T606" s="75"/>
    </row>
    <row r="607" spans="15:20" ht="11.25">
      <c r="O607" s="65"/>
      <c r="T607" s="75"/>
    </row>
    <row r="608" spans="15:20" ht="11.25">
      <c r="O608" s="65"/>
      <c r="T608" s="75"/>
    </row>
    <row r="609" spans="15:20" ht="11.25">
      <c r="O609" s="65"/>
      <c r="T609" s="75"/>
    </row>
    <row r="610" spans="15:20" ht="11.25">
      <c r="O610" s="65"/>
      <c r="T610" s="75"/>
    </row>
    <row r="611" spans="15:20" ht="11.25">
      <c r="O611" s="65"/>
      <c r="T611" s="75"/>
    </row>
    <row r="612" spans="15:20" ht="11.25">
      <c r="O612" s="65"/>
      <c r="T612" s="75"/>
    </row>
    <row r="613" spans="15:20" ht="11.25">
      <c r="O613" s="65"/>
      <c r="T613" s="75"/>
    </row>
    <row r="614" spans="15:20" ht="11.25">
      <c r="O614" s="65"/>
      <c r="T614" s="75"/>
    </row>
    <row r="615" spans="15:20" ht="11.25">
      <c r="O615" s="65"/>
      <c r="T615" s="75"/>
    </row>
    <row r="616" spans="15:20" ht="11.25">
      <c r="O616" s="65"/>
      <c r="T616" s="75"/>
    </row>
    <row r="617" spans="15:20" ht="11.25">
      <c r="O617" s="65"/>
      <c r="T617" s="75"/>
    </row>
    <row r="618" spans="15:20" ht="11.25">
      <c r="O618" s="65"/>
      <c r="T618" s="75"/>
    </row>
    <row r="619" spans="15:20" ht="11.25">
      <c r="O619" s="65"/>
      <c r="T619" s="75"/>
    </row>
    <row r="620" spans="15:20" ht="11.25">
      <c r="O620" s="65"/>
      <c r="T620" s="75"/>
    </row>
    <row r="621" spans="15:20" ht="11.25">
      <c r="O621" s="65"/>
      <c r="T621" s="75"/>
    </row>
    <row r="622" spans="15:20" ht="11.25">
      <c r="O622" s="65"/>
      <c r="T622" s="75"/>
    </row>
    <row r="623" spans="15:20" ht="11.25">
      <c r="O623" s="65"/>
      <c r="T623" s="75"/>
    </row>
    <row r="624" spans="15:20" ht="11.25">
      <c r="O624" s="65"/>
      <c r="T624" s="75"/>
    </row>
    <row r="625" spans="15:20" ht="11.25">
      <c r="O625" s="65"/>
      <c r="T625" s="75"/>
    </row>
    <row r="626" spans="15:20" ht="11.25">
      <c r="O626" s="65"/>
      <c r="T626" s="75"/>
    </row>
    <row r="627" spans="15:20" ht="11.25">
      <c r="O627" s="65"/>
      <c r="T627" s="75"/>
    </row>
    <row r="628" spans="15:20" ht="11.25">
      <c r="O628" s="65"/>
      <c r="T628" s="75"/>
    </row>
    <row r="629" spans="15:20" ht="11.25">
      <c r="O629" s="65"/>
      <c r="T629" s="75"/>
    </row>
    <row r="630" spans="15:20" ht="11.25">
      <c r="O630" s="65"/>
      <c r="T630" s="75"/>
    </row>
    <row r="631" spans="15:20" ht="11.25">
      <c r="O631" s="65"/>
      <c r="T631" s="75"/>
    </row>
    <row r="632" spans="15:20" ht="11.25">
      <c r="O632" s="65"/>
      <c r="T632" s="75"/>
    </row>
    <row r="633" spans="15:20" ht="11.25">
      <c r="O633" s="65"/>
      <c r="T633" s="75"/>
    </row>
    <row r="634" spans="15:20" ht="11.25">
      <c r="O634" s="65"/>
      <c r="T634" s="75"/>
    </row>
    <row r="635" spans="15:20" ht="11.25">
      <c r="O635" s="65"/>
      <c r="T635" s="75"/>
    </row>
    <row r="636" spans="15:20" ht="11.25">
      <c r="O636" s="65"/>
      <c r="T636" s="75"/>
    </row>
    <row r="637" spans="15:20" ht="11.25">
      <c r="O637" s="65"/>
      <c r="T637" s="75"/>
    </row>
    <row r="638" spans="15:20" ht="11.25">
      <c r="O638" s="65"/>
      <c r="T638" s="75"/>
    </row>
    <row r="639" spans="15:20" ht="11.25">
      <c r="O639" s="65"/>
      <c r="T639" s="75"/>
    </row>
    <row r="640" spans="15:20" ht="11.25">
      <c r="O640" s="65"/>
      <c r="T640" s="75"/>
    </row>
    <row r="641" spans="15:20" ht="11.25">
      <c r="O641" s="65"/>
      <c r="T641" s="75"/>
    </row>
    <row r="642" spans="15:20" ht="11.25">
      <c r="O642" s="65"/>
      <c r="T642" s="75"/>
    </row>
    <row r="643" spans="15:20" ht="11.25">
      <c r="O643" s="65"/>
      <c r="T643" s="75"/>
    </row>
    <row r="644" spans="15:20" ht="11.25">
      <c r="O644" s="65"/>
      <c r="T644" s="75"/>
    </row>
    <row r="645" spans="15:20" ht="11.25">
      <c r="O645" s="65"/>
      <c r="T645" s="75"/>
    </row>
    <row r="646" spans="15:20" ht="11.25">
      <c r="O646" s="65"/>
      <c r="T646" s="75"/>
    </row>
    <row r="647" spans="15:20" ht="11.25">
      <c r="O647" s="65"/>
      <c r="T647" s="75"/>
    </row>
    <row r="648" spans="15:20" ht="11.25">
      <c r="O648" s="65"/>
      <c r="T648" s="75"/>
    </row>
    <row r="649" spans="15:20" ht="11.25">
      <c r="O649" s="65"/>
      <c r="T649" s="75"/>
    </row>
    <row r="650" spans="15:20" ht="11.25">
      <c r="O650" s="65"/>
      <c r="T650" s="75"/>
    </row>
    <row r="651" spans="15:20" ht="11.25">
      <c r="O651" s="65"/>
      <c r="T651" s="75"/>
    </row>
    <row r="652" spans="15:20" ht="11.25">
      <c r="O652" s="65"/>
      <c r="T652" s="75"/>
    </row>
    <row r="653" spans="15:20" ht="11.25">
      <c r="O653" s="65"/>
      <c r="T653" s="75"/>
    </row>
    <row r="654" spans="15:20" ht="11.25">
      <c r="O654" s="65"/>
      <c r="T654" s="75"/>
    </row>
    <row r="655" spans="15:20" ht="11.25">
      <c r="O655" s="65"/>
      <c r="T655" s="75"/>
    </row>
    <row r="656" spans="15:20" ht="11.25">
      <c r="O656" s="65"/>
      <c r="T656" s="75"/>
    </row>
    <row r="657" spans="15:20" ht="11.25">
      <c r="O657" s="65"/>
      <c r="T657" s="75"/>
    </row>
    <row r="658" spans="15:20" ht="11.25">
      <c r="O658" s="65"/>
      <c r="T658" s="75"/>
    </row>
    <row r="659" spans="15:20" ht="11.25">
      <c r="O659" s="65"/>
      <c r="T659" s="75"/>
    </row>
    <row r="660" spans="15:20" ht="11.25">
      <c r="O660" s="65"/>
      <c r="T660" s="75"/>
    </row>
    <row r="661" spans="15:20" ht="11.25">
      <c r="O661" s="65"/>
      <c r="T661" s="75"/>
    </row>
    <row r="662" spans="15:20" ht="11.25">
      <c r="O662" s="65"/>
      <c r="T662" s="75"/>
    </row>
    <row r="663" spans="15:20" ht="11.25">
      <c r="O663" s="65"/>
      <c r="T663" s="75"/>
    </row>
    <row r="664" spans="15:20" ht="11.25">
      <c r="O664" s="65"/>
      <c r="T664" s="75"/>
    </row>
    <row r="665" spans="15:20" ht="11.25">
      <c r="O665" s="65"/>
      <c r="T665" s="75"/>
    </row>
    <row r="666" spans="15:20" ht="11.25">
      <c r="O666" s="65"/>
      <c r="T666" s="75"/>
    </row>
    <row r="667" spans="15:20" ht="11.25">
      <c r="O667" s="65"/>
      <c r="T667" s="75"/>
    </row>
    <row r="668" spans="15:20" ht="11.25">
      <c r="O668" s="65"/>
      <c r="T668" s="75"/>
    </row>
    <row r="669" spans="15:20" ht="11.25">
      <c r="O669" s="65"/>
      <c r="T669" s="75"/>
    </row>
    <row r="670" spans="15:20" ht="11.25">
      <c r="O670" s="65"/>
      <c r="T670" s="75"/>
    </row>
    <row r="671" spans="15:20" ht="11.25">
      <c r="O671" s="65"/>
      <c r="T671" s="75"/>
    </row>
    <row r="672" spans="15:20" ht="11.25">
      <c r="O672" s="65"/>
      <c r="T672" s="75"/>
    </row>
    <row r="673" spans="15:20" ht="11.25">
      <c r="O673" s="65"/>
      <c r="T673" s="75"/>
    </row>
    <row r="674" spans="15:20" ht="11.25">
      <c r="O674" s="65"/>
      <c r="T674" s="75"/>
    </row>
    <row r="675" spans="15:20" ht="11.25">
      <c r="O675" s="65"/>
      <c r="T675" s="75"/>
    </row>
    <row r="676" spans="15:20" ht="11.25">
      <c r="O676" s="65"/>
      <c r="T676" s="75"/>
    </row>
    <row r="677" spans="15:20" ht="11.25">
      <c r="O677" s="65"/>
      <c r="T677" s="75"/>
    </row>
    <row r="678" spans="15:20" ht="11.25">
      <c r="O678" s="65"/>
      <c r="T678" s="75"/>
    </row>
    <row r="679" spans="15:20" ht="11.25">
      <c r="O679" s="65"/>
      <c r="T679" s="75"/>
    </row>
    <row r="680" spans="15:20" ht="11.25">
      <c r="O680" s="65"/>
      <c r="T680" s="75"/>
    </row>
    <row r="681" spans="15:20" ht="11.25">
      <c r="O681" s="65"/>
      <c r="T681" s="75"/>
    </row>
    <row r="682" spans="15:20" ht="11.25">
      <c r="O682" s="65"/>
      <c r="T682" s="75"/>
    </row>
    <row r="683" spans="15:20" ht="11.25">
      <c r="O683" s="65"/>
      <c r="T683" s="75"/>
    </row>
    <row r="684" spans="15:20" ht="11.25">
      <c r="O684" s="65"/>
      <c r="T684" s="75"/>
    </row>
    <row r="685" spans="15:20" ht="11.25">
      <c r="O685" s="65"/>
      <c r="T685" s="75"/>
    </row>
    <row r="686" spans="15:20" ht="11.25">
      <c r="O686" s="65"/>
      <c r="T686" s="75"/>
    </row>
    <row r="687" spans="15:20" ht="11.25">
      <c r="O687" s="65"/>
      <c r="T687" s="75"/>
    </row>
    <row r="688" spans="15:20" ht="11.25">
      <c r="O688" s="65"/>
      <c r="T688" s="75"/>
    </row>
    <row r="689" spans="15:20" ht="11.25">
      <c r="O689" s="65"/>
      <c r="T689" s="75"/>
    </row>
    <row r="690" spans="15:20" ht="11.25">
      <c r="O690" s="65"/>
      <c r="T690" s="75"/>
    </row>
    <row r="691" spans="15:20" ht="11.25">
      <c r="O691" s="65"/>
      <c r="T691" s="75"/>
    </row>
    <row r="692" spans="15:20" ht="11.25">
      <c r="O692" s="65"/>
      <c r="T692" s="75"/>
    </row>
    <row r="693" spans="15:20" ht="11.25">
      <c r="O693" s="65"/>
      <c r="T693" s="75"/>
    </row>
    <row r="694" spans="15:20" ht="11.25">
      <c r="O694" s="65"/>
      <c r="T694" s="75"/>
    </row>
    <row r="695" spans="15:20" ht="11.25">
      <c r="O695" s="65"/>
      <c r="T695" s="75"/>
    </row>
    <row r="696" spans="15:20" ht="11.25">
      <c r="O696" s="65"/>
      <c r="T696" s="75"/>
    </row>
    <row r="697" spans="15:20" ht="11.25">
      <c r="O697" s="65"/>
      <c r="T697" s="75"/>
    </row>
    <row r="698" ht="11.25">
      <c r="T698" s="75"/>
    </row>
    <row r="699" ht="11.25">
      <c r="T699" s="75"/>
    </row>
    <row r="700" ht="11.25">
      <c r="T700" s="75"/>
    </row>
    <row r="701" ht="11.25">
      <c r="T701" s="75"/>
    </row>
    <row r="702" ht="11.25">
      <c r="T702" s="75"/>
    </row>
    <row r="703" ht="11.25">
      <c r="T703" s="75"/>
    </row>
    <row r="704" ht="11.25">
      <c r="T704" s="75"/>
    </row>
    <row r="705" ht="11.25">
      <c r="T705" s="75"/>
    </row>
    <row r="706" ht="11.25">
      <c r="T706" s="75"/>
    </row>
    <row r="707" ht="11.25">
      <c r="T707" s="75"/>
    </row>
    <row r="708" ht="11.25">
      <c r="T708" s="75"/>
    </row>
    <row r="709" ht="11.25">
      <c r="T709" s="75"/>
    </row>
    <row r="710" ht="11.25">
      <c r="T710" s="75"/>
    </row>
    <row r="711" ht="11.25">
      <c r="T711" s="75"/>
    </row>
    <row r="712" ht="11.25">
      <c r="T712" s="75"/>
    </row>
    <row r="713" ht="11.25">
      <c r="T713" s="75"/>
    </row>
    <row r="714" ht="11.25">
      <c r="T714" s="75"/>
    </row>
    <row r="715" ht="11.25">
      <c r="T715" s="75"/>
    </row>
    <row r="716" ht="11.25">
      <c r="T716" s="75"/>
    </row>
    <row r="717" ht="11.25">
      <c r="T717" s="75"/>
    </row>
    <row r="718" ht="11.25">
      <c r="T718" s="75"/>
    </row>
    <row r="719" ht="11.25">
      <c r="T719" s="75"/>
    </row>
    <row r="720" ht="11.25">
      <c r="T720" s="75"/>
    </row>
    <row r="721" ht="11.25">
      <c r="T721" s="75"/>
    </row>
    <row r="722" ht="11.25">
      <c r="T722" s="75"/>
    </row>
    <row r="723" ht="11.25">
      <c r="T723" s="75"/>
    </row>
    <row r="724" ht="11.25">
      <c r="T724" s="75"/>
    </row>
    <row r="725" ht="11.25">
      <c r="T725" s="75"/>
    </row>
    <row r="726" ht="11.25">
      <c r="T726" s="75"/>
    </row>
    <row r="727" ht="11.25">
      <c r="T727" s="75"/>
    </row>
    <row r="728" ht="11.25">
      <c r="T728" s="75"/>
    </row>
    <row r="729" ht="11.25">
      <c r="T729" s="75"/>
    </row>
    <row r="730" ht="11.25">
      <c r="T730" s="75"/>
    </row>
    <row r="731" ht="11.25">
      <c r="T731" s="75"/>
    </row>
    <row r="732" ht="11.25">
      <c r="T732" s="75"/>
    </row>
    <row r="733" ht="11.25">
      <c r="T733" s="75"/>
    </row>
    <row r="734" ht="11.25">
      <c r="T734" s="75"/>
    </row>
    <row r="735" ht="11.25">
      <c r="T735" s="75"/>
    </row>
    <row r="736" ht="11.25">
      <c r="T736" s="75"/>
    </row>
    <row r="737" ht="11.25">
      <c r="T737" s="75"/>
    </row>
    <row r="738" ht="11.25">
      <c r="T738" s="75"/>
    </row>
    <row r="739" ht="11.25">
      <c r="T739" s="75"/>
    </row>
    <row r="740" ht="11.25">
      <c r="T740" s="75"/>
    </row>
    <row r="741" ht="11.25">
      <c r="T741" s="75"/>
    </row>
    <row r="742" ht="11.25">
      <c r="T742" s="75"/>
    </row>
    <row r="743" ht="11.25">
      <c r="T743" s="75"/>
    </row>
    <row r="744" ht="11.25">
      <c r="T744" s="75"/>
    </row>
    <row r="745" ht="11.25">
      <c r="T745" s="75"/>
    </row>
    <row r="746" ht="11.25">
      <c r="T746" s="75"/>
    </row>
    <row r="747" ht="11.25">
      <c r="T747" s="75"/>
    </row>
    <row r="748" ht="11.25">
      <c r="T748" s="75"/>
    </row>
    <row r="749" ht="11.25">
      <c r="T749" s="75"/>
    </row>
    <row r="750" ht="11.25">
      <c r="T750" s="75"/>
    </row>
    <row r="751" ht="11.25">
      <c r="T751" s="75"/>
    </row>
    <row r="752" ht="11.25">
      <c r="T752" s="75"/>
    </row>
    <row r="753" ht="11.25">
      <c r="T753" s="75"/>
    </row>
    <row r="754" ht="11.25">
      <c r="T754" s="75"/>
    </row>
    <row r="755" ht="11.25">
      <c r="T755" s="75"/>
    </row>
    <row r="756" ht="11.25">
      <c r="T756" s="75"/>
    </row>
    <row r="757" ht="11.25">
      <c r="T757" s="75"/>
    </row>
    <row r="758" ht="11.25">
      <c r="T758" s="75"/>
    </row>
    <row r="759" ht="11.25">
      <c r="T759" s="75"/>
    </row>
    <row r="760" ht="11.25">
      <c r="T760" s="75"/>
    </row>
    <row r="761" ht="11.25">
      <c r="T761" s="75"/>
    </row>
    <row r="762" ht="11.25">
      <c r="T762" s="75"/>
    </row>
    <row r="763" ht="11.25">
      <c r="T763" s="75"/>
    </row>
    <row r="764" ht="11.25">
      <c r="T764" s="75"/>
    </row>
    <row r="765" ht="11.25">
      <c r="T765" s="75"/>
    </row>
    <row r="766" ht="11.25">
      <c r="T766" s="75"/>
    </row>
    <row r="767" ht="11.25">
      <c r="T767" s="75"/>
    </row>
    <row r="768" ht="11.25">
      <c r="T768" s="75"/>
    </row>
    <row r="769" ht="11.25">
      <c r="T769" s="75"/>
    </row>
    <row r="770" ht="11.25">
      <c r="T770" s="75"/>
    </row>
    <row r="771" ht="11.25">
      <c r="T771" s="75"/>
    </row>
    <row r="772" ht="11.25">
      <c r="T772" s="75"/>
    </row>
    <row r="773" ht="11.25">
      <c r="T773" s="75"/>
    </row>
    <row r="774" ht="11.25">
      <c r="T774" s="75"/>
    </row>
    <row r="775" ht="11.25">
      <c r="T775" s="75"/>
    </row>
    <row r="776" ht="11.25">
      <c r="T776" s="75"/>
    </row>
    <row r="777" ht="11.25">
      <c r="T777" s="75"/>
    </row>
    <row r="778" ht="11.25">
      <c r="T778" s="75"/>
    </row>
    <row r="779" ht="11.25">
      <c r="T779" s="75"/>
    </row>
    <row r="780" ht="11.25">
      <c r="T780" s="75"/>
    </row>
    <row r="781" ht="11.25">
      <c r="T781" s="75"/>
    </row>
    <row r="782" ht="11.25">
      <c r="T782" s="75"/>
    </row>
    <row r="783" ht="11.25">
      <c r="T783" s="75"/>
    </row>
    <row r="784" ht="11.25">
      <c r="T784" s="75"/>
    </row>
    <row r="785" ht="11.25">
      <c r="T785" s="75"/>
    </row>
    <row r="786" ht="11.25">
      <c r="T786" s="75"/>
    </row>
    <row r="787" ht="11.25">
      <c r="T787" s="75"/>
    </row>
    <row r="788" ht="11.25">
      <c r="T788" s="75"/>
    </row>
    <row r="789" ht="11.25">
      <c r="T789" s="75"/>
    </row>
    <row r="790" ht="11.25">
      <c r="T790" s="75"/>
    </row>
    <row r="791" ht="11.25">
      <c r="T791" s="75"/>
    </row>
    <row r="792" ht="11.25">
      <c r="T792" s="75"/>
    </row>
    <row r="793" ht="11.25">
      <c r="T793" s="75"/>
    </row>
    <row r="794" ht="11.25">
      <c r="T794" s="75"/>
    </row>
    <row r="795" ht="11.25">
      <c r="T795" s="75"/>
    </row>
    <row r="796" ht="11.25">
      <c r="T796" s="75"/>
    </row>
    <row r="797" ht="11.25">
      <c r="T797" s="75"/>
    </row>
    <row r="798" ht="11.25">
      <c r="T798" s="75"/>
    </row>
    <row r="799" ht="11.25">
      <c r="T799" s="75"/>
    </row>
    <row r="800" ht="11.25">
      <c r="T800" s="75"/>
    </row>
    <row r="801" ht="11.25">
      <c r="T801" s="75"/>
    </row>
    <row r="802" ht="11.25">
      <c r="T802" s="75"/>
    </row>
    <row r="803" ht="11.25">
      <c r="T803" s="75"/>
    </row>
    <row r="804" ht="11.25">
      <c r="T804" s="75"/>
    </row>
    <row r="805" ht="11.25">
      <c r="T805" s="75"/>
    </row>
    <row r="806" ht="11.25">
      <c r="T806" s="75"/>
    </row>
    <row r="807" ht="11.25">
      <c r="T807" s="75"/>
    </row>
    <row r="808" ht="11.25">
      <c r="T808" s="75"/>
    </row>
    <row r="809" ht="11.25">
      <c r="T809" s="75"/>
    </row>
    <row r="810" ht="11.25">
      <c r="T810" s="75"/>
    </row>
    <row r="811" ht="11.25">
      <c r="T811" s="75"/>
    </row>
    <row r="812" ht="11.25">
      <c r="T812" s="75"/>
    </row>
    <row r="813" ht="11.25">
      <c r="T813" s="75"/>
    </row>
    <row r="814" ht="11.25">
      <c r="T814" s="75"/>
    </row>
    <row r="815" ht="11.25">
      <c r="T815" s="75"/>
    </row>
    <row r="816" ht="11.25">
      <c r="T816" s="75"/>
    </row>
    <row r="817" ht="11.25">
      <c r="T817" s="75"/>
    </row>
    <row r="818" ht="11.25">
      <c r="T818" s="75"/>
    </row>
    <row r="819" ht="11.25">
      <c r="T819" s="75"/>
    </row>
    <row r="820" ht="11.25">
      <c r="T820" s="75"/>
    </row>
    <row r="821" ht="11.25">
      <c r="T821" s="75"/>
    </row>
    <row r="822" ht="11.25">
      <c r="T822" s="75"/>
    </row>
    <row r="823" ht="11.25">
      <c r="T823" s="75"/>
    </row>
    <row r="824" ht="11.25">
      <c r="T824" s="75"/>
    </row>
    <row r="825" ht="11.25">
      <c r="T825" s="75"/>
    </row>
    <row r="826" ht="11.25">
      <c r="T826" s="75"/>
    </row>
    <row r="827" ht="11.25">
      <c r="T827" s="75"/>
    </row>
    <row r="828" ht="11.25">
      <c r="T828" s="75"/>
    </row>
    <row r="829" ht="11.25">
      <c r="T829" s="75"/>
    </row>
    <row r="830" ht="11.25">
      <c r="T830" s="75"/>
    </row>
    <row r="831" ht="11.25">
      <c r="T831" s="75"/>
    </row>
    <row r="832" ht="11.25">
      <c r="T832" s="75"/>
    </row>
    <row r="833" ht="11.25">
      <c r="T833" s="75"/>
    </row>
    <row r="834" ht="11.25">
      <c r="T834" s="75"/>
    </row>
    <row r="835" ht="11.25">
      <c r="T835" s="75"/>
    </row>
    <row r="836" ht="11.25">
      <c r="T836" s="75"/>
    </row>
    <row r="837" ht="11.25">
      <c r="T837" s="75"/>
    </row>
    <row r="838" ht="11.25">
      <c r="T838" s="75"/>
    </row>
    <row r="839" ht="11.25">
      <c r="T839" s="75"/>
    </row>
    <row r="840" ht="11.25">
      <c r="T840" s="75"/>
    </row>
    <row r="841" ht="11.25">
      <c r="T841" s="75"/>
    </row>
    <row r="842" ht="11.25">
      <c r="T842" s="75"/>
    </row>
    <row r="843" ht="11.25">
      <c r="T843" s="75"/>
    </row>
    <row r="844" ht="11.25">
      <c r="T844" s="75"/>
    </row>
    <row r="845" ht="11.25">
      <c r="T845" s="75"/>
    </row>
    <row r="846" ht="11.25">
      <c r="T846" s="75"/>
    </row>
    <row r="847" ht="11.25">
      <c r="T847" s="75"/>
    </row>
    <row r="848" ht="11.25">
      <c r="T848" s="75"/>
    </row>
    <row r="849" ht="11.25">
      <c r="T849" s="75"/>
    </row>
    <row r="850" ht="11.25">
      <c r="T850" s="75"/>
    </row>
    <row r="851" ht="11.25">
      <c r="T851" s="75"/>
    </row>
    <row r="852" ht="11.25">
      <c r="T852" s="75"/>
    </row>
    <row r="853" ht="11.25">
      <c r="T853" s="75"/>
    </row>
    <row r="854" ht="11.25">
      <c r="T854" s="75"/>
    </row>
    <row r="855" ht="11.25">
      <c r="T855" s="75"/>
    </row>
    <row r="856" ht="11.25">
      <c r="T856" s="75"/>
    </row>
    <row r="857" ht="11.25">
      <c r="T857" s="75"/>
    </row>
    <row r="858" ht="11.25">
      <c r="T858" s="75"/>
    </row>
    <row r="859" ht="11.25">
      <c r="T859" s="75"/>
    </row>
    <row r="860" ht="11.25">
      <c r="T860" s="75"/>
    </row>
    <row r="861" ht="11.25">
      <c r="T861" s="75"/>
    </row>
    <row r="862" ht="11.25">
      <c r="T862" s="75"/>
    </row>
    <row r="863" ht="11.25">
      <c r="T863" s="75"/>
    </row>
    <row r="864" ht="11.25">
      <c r="T864" s="75"/>
    </row>
    <row r="865" ht="11.25">
      <c r="T865" s="75"/>
    </row>
    <row r="866" ht="11.25">
      <c r="T866" s="75"/>
    </row>
    <row r="867" ht="11.25">
      <c r="T867" s="75"/>
    </row>
    <row r="868" ht="11.25">
      <c r="T868" s="75"/>
    </row>
    <row r="869" ht="11.25">
      <c r="T869" s="75"/>
    </row>
    <row r="870" ht="11.25">
      <c r="T870" s="75"/>
    </row>
    <row r="871" ht="11.25">
      <c r="T871" s="75"/>
    </row>
    <row r="872" ht="11.25">
      <c r="T872" s="75"/>
    </row>
    <row r="873" ht="11.25">
      <c r="T873" s="75"/>
    </row>
    <row r="874" ht="11.25">
      <c r="T874" s="75"/>
    </row>
    <row r="875" ht="11.25">
      <c r="T875" s="75"/>
    </row>
    <row r="876" ht="11.25">
      <c r="T876" s="75"/>
    </row>
    <row r="877" ht="11.25">
      <c r="T877" s="75"/>
    </row>
    <row r="878" ht="11.25">
      <c r="T878" s="75"/>
    </row>
    <row r="879" ht="11.25">
      <c r="T879" s="75"/>
    </row>
    <row r="880" ht="11.25">
      <c r="T880" s="75"/>
    </row>
    <row r="881" ht="11.25">
      <c r="T881" s="75"/>
    </row>
    <row r="882" ht="11.25">
      <c r="T882" s="75"/>
    </row>
    <row r="883" ht="11.25">
      <c r="T883" s="75"/>
    </row>
    <row r="884" ht="11.25">
      <c r="T884" s="75"/>
    </row>
    <row r="885" ht="11.25">
      <c r="T885" s="75"/>
    </row>
    <row r="886" ht="11.25">
      <c r="T886" s="75"/>
    </row>
    <row r="887" ht="11.25">
      <c r="T887" s="75"/>
    </row>
  </sheetData>
  <mergeCells count="11">
    <mergeCell ref="A149:B149"/>
    <mergeCell ref="A6:B6"/>
    <mergeCell ref="A7:B7"/>
    <mergeCell ref="A94:B94"/>
    <mergeCell ref="A99:B99"/>
    <mergeCell ref="A2:P2"/>
    <mergeCell ref="A3:A4"/>
    <mergeCell ref="B3:B4"/>
    <mergeCell ref="C3:E3"/>
    <mergeCell ref="I3:L3"/>
    <mergeCell ref="F3:H3"/>
  </mergeCells>
  <printOptions/>
  <pageMargins left="0.7874015748031497" right="0.7874015748031497" top="0.57" bottom="0.3937007874015748" header="0.44" footer="0.15748031496062992"/>
  <pageSetup horizontalDpi="600" verticalDpi="600" orientation="landscape" paperSize="9" scale="90" r:id="rId1"/>
  <rowBreaks count="1" manualBreakCount="1"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dcterms:created xsi:type="dcterms:W3CDTF">2005-11-15T08:37:02Z</dcterms:created>
  <dcterms:modified xsi:type="dcterms:W3CDTF">2005-11-15T08:39:48Z</dcterms:modified>
  <cp:category/>
  <cp:version/>
  <cp:contentType/>
  <cp:contentStatus/>
</cp:coreProperties>
</file>