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6150" activeTab="0"/>
  </bookViews>
  <sheets>
    <sheet name="koniec czerwca " sheetId="1" r:id="rId1"/>
  </sheets>
  <definedNames>
    <definedName name="_xlnm.Print_Titles" localSheetId="0">'koniec czerwca '!$2:$3</definedName>
  </definedNames>
  <calcPr fullCalcOnLoad="1"/>
</workbook>
</file>

<file path=xl/sharedStrings.xml><?xml version="1.0" encoding="utf-8"?>
<sst xmlns="http://schemas.openxmlformats.org/spreadsheetml/2006/main" count="181" uniqueCount="171">
  <si>
    <t>Lp.</t>
  </si>
  <si>
    <t>Treść</t>
  </si>
  <si>
    <t>Gmina</t>
  </si>
  <si>
    <t>Powiat</t>
  </si>
  <si>
    <t>Razem</t>
  </si>
  <si>
    <t>DOCHODY OGÓŁEM</t>
  </si>
  <si>
    <t>Podatki i opłaty pobierane przez gminę</t>
  </si>
  <si>
    <t xml:space="preserve">podatek od nieruchomości </t>
  </si>
  <si>
    <t xml:space="preserve">podatek od środków transportowych </t>
  </si>
  <si>
    <t>opłata skarbowa</t>
  </si>
  <si>
    <t>opłaty lokalne</t>
  </si>
  <si>
    <t>pozostałe</t>
  </si>
  <si>
    <t>podatek rolny</t>
  </si>
  <si>
    <t xml:space="preserve">podatek leśny </t>
  </si>
  <si>
    <t>zaległości z podatków zniesionych</t>
  </si>
  <si>
    <t xml:space="preserve">opłata administracyjna </t>
  </si>
  <si>
    <t>podatek od posiadania psów</t>
  </si>
  <si>
    <t>odsetki i opłata prolongacyjna</t>
  </si>
  <si>
    <t>Podatki pobierane przez urzędy skarbowe</t>
  </si>
  <si>
    <t>karta podatkowa</t>
  </si>
  <si>
    <t>podatek od spadków i darowizn</t>
  </si>
  <si>
    <t xml:space="preserve">podatek od czynności cywilnoprawnych </t>
  </si>
  <si>
    <t>odsetki od należności podatkowych pobieranych przez US</t>
  </si>
  <si>
    <t xml:space="preserve">Dochody z majątku </t>
  </si>
  <si>
    <t>wpływy ze sprzedaży mienia komunalnego</t>
  </si>
  <si>
    <t>dochody z dzierżawy</t>
  </si>
  <si>
    <t>wpływy z lokali użytkowych</t>
  </si>
  <si>
    <t>użytkowanie wieczyste</t>
  </si>
  <si>
    <t>opłata adiacencka i renta planistyczna</t>
  </si>
  <si>
    <t xml:space="preserve">sprzedaż składników majątkowych </t>
  </si>
  <si>
    <t>dochody z najmu i dzierżawy skł. majątkowych gminy oddanych w użytkowanie jednostkom i zakł. budżetowym</t>
  </si>
  <si>
    <t>wpływy z czynszów za mieszkania służbowe</t>
  </si>
  <si>
    <t>dochody z najmu lokali mieszkalnych i pomieszczeń w szkołach i placówkach oświatowych</t>
  </si>
  <si>
    <t xml:space="preserve">Inne dochody własne </t>
  </si>
  <si>
    <t>opłaty administracyjne za miejsca na cmentarzach</t>
  </si>
  <si>
    <t>wpływy Zarządu Komunikacji Miejskiej</t>
  </si>
  <si>
    <t>wpływy z opłat rodziców za pobyt dzieci w żłobku</t>
  </si>
  <si>
    <t>wpływy z usług opiekuńczych i opłaty za pobyt w ośrodkach wsparcia</t>
  </si>
  <si>
    <t>wpływy z usług Gdyńskiego Centrum Innowacji</t>
  </si>
  <si>
    <t xml:space="preserve">wpływy z opłat za pobyt w domu opieki społecznej </t>
  </si>
  <si>
    <t xml:space="preserve">opłaty za wpis do rejestru działalności gospodarczej za egzaminy i dokumenty wydawane w związku z wykonywaniem transportu drogowego oraz inne opłaty pobierane przez UM </t>
  </si>
  <si>
    <t>25% dochodów z nieruchom.Skarbu Państwa</t>
  </si>
  <si>
    <t xml:space="preserve">5% dochodów uzysk. na rzecz budżetu państwa w związku z real. zad. zleconych </t>
  </si>
  <si>
    <t>dochody z tyt. ustawy o przeciwdziałaniu alkoholizmowi</t>
  </si>
  <si>
    <t>opłaty za tablice rejestracyjne, prawa jazdy, świadectwa kwal.itp.</t>
  </si>
  <si>
    <t>opłaty za usuwanie pojazdów z pasa drogowego</t>
  </si>
  <si>
    <t>środki z opłat za zajęcie pasa drogowego, umieszczanie reklam i stoisk w pasie drogowym i in.</t>
  </si>
  <si>
    <t>odsetki od środków na rachunkach bankowych</t>
  </si>
  <si>
    <t>wpływy z opłat za korzystanie z lodowiska</t>
  </si>
  <si>
    <t>pozostałe dochody</t>
  </si>
  <si>
    <t>grzywny i kary - Straż Miejska</t>
  </si>
  <si>
    <t>wpływy z opłat za pobyt dzieci w placówkach opiekuńczo - wychowawczych</t>
  </si>
  <si>
    <t>zwrot kosztów wyceny i kosztów postępowania sądowego</t>
  </si>
  <si>
    <t>otrzymane darowizny</t>
  </si>
  <si>
    <t>wpływy ze środków specjalnych</t>
  </si>
  <si>
    <t>różne dochody jednostek organizacyjnych miasta</t>
  </si>
  <si>
    <t>rozliczenia z lat ubiegłych</t>
  </si>
  <si>
    <t xml:space="preserve">zadania oświatowe </t>
  </si>
  <si>
    <t>Miejski Rzecznik Konsumentów</t>
  </si>
  <si>
    <t>obsługa mieszkańców Sopotu przez Powiatowy Urząd Pracy w Gdyni</t>
  </si>
  <si>
    <t xml:space="preserve">rodziny zastępcze </t>
  </si>
  <si>
    <t>środki dla Powiatowego Zespołu ds.. Orzekania o Niepełnosprawności zgodnie z zawartym porozumieniem pomiędzy Miastem Gdynia, a Mastem Sopot</t>
  </si>
  <si>
    <t>placówki opiekuńczo - wychowawcze</t>
  </si>
  <si>
    <t>środki z gmin ościennych na organizację usług komunikacyjnych na ich terenie przez ZKM w Gdyni na podstawie porozumień</t>
  </si>
  <si>
    <t>Dotacje i inne środki zewnętrzne na dofinansowanie zadań własnych</t>
  </si>
  <si>
    <t>z WFOŚ na projekt "Urząd przyjazny środowisku"</t>
  </si>
  <si>
    <t>z WFOŚ na wyposażenie laboratoriów badawczych w Pomorskim Parku Naukowo - Technologicznym</t>
  </si>
  <si>
    <t>wpłaty przychodni lekarskich na współfinansowanie realizacji inwestycji</t>
  </si>
  <si>
    <t>środki na rozbudowę ul. J.Wiśniewskiego (porozumienie z Zarządem Morskiego Portu Gdynia S.A.)</t>
  </si>
  <si>
    <t>wkład beneficjentów w realizację zadania: rozwój turystyki w rejonie Zatoki Gdańskiej</t>
  </si>
  <si>
    <t xml:space="preserve"> lokalne inicjatywy inwestycyjne</t>
  </si>
  <si>
    <t>dotacja z funduszu rozwoju kultury fizycznej na dofinansowanie budowy hali widowiskowo - sportowej</t>
  </si>
  <si>
    <t>Środki z UE na dofinansowanie zadań własnych</t>
  </si>
  <si>
    <t>środki na rozbudowę ul. J.Wiśniewskiego</t>
  </si>
  <si>
    <t>środki na realizację zadania: rozwój turystyki w rejonie Zatoki Gdańskiej współfinansowanego ze środków funduszu PHARE</t>
  </si>
  <si>
    <t>środki z wkładu UE na realizację projektu SEBTrans - Link - nowoczesny Terminal Promowy w Porcie Wschodnim w Gdyni</t>
  </si>
  <si>
    <t>środki na budowę Trasy Kwiatkowskigo</t>
  </si>
  <si>
    <t>środki na realizację zadania "Promocja zatrudnienia i rozwój zasobów ludzkich województwa pomorskiego"</t>
  </si>
  <si>
    <t>środki na dofinansowanie projektu SOCRATES COMENIUS</t>
  </si>
  <si>
    <t>środki na dofinansowanie projektu "Pomorski Park Naukowo - Technologiczny"</t>
  </si>
  <si>
    <t>Udziały we wpływach z podatków dochodowych</t>
  </si>
  <si>
    <t xml:space="preserve">udziały w podatku dochodowym od osób fizycznych </t>
  </si>
  <si>
    <t xml:space="preserve"> udziały w podatku dochodowym od osób prawnych</t>
  </si>
  <si>
    <t>II.  SUBWENCJA OGÓLNA</t>
  </si>
  <si>
    <t>część oświatowa</t>
  </si>
  <si>
    <t xml:space="preserve">uzupełnienie subwencji ogólnej </t>
  </si>
  <si>
    <t xml:space="preserve">część rekompensująca </t>
  </si>
  <si>
    <t>część równoważąca</t>
  </si>
  <si>
    <t>III.  DOTACJE CELOWE Z BUDŻETU PAŃSTWA</t>
  </si>
  <si>
    <t>NA ZADANIA ZLECONE</t>
  </si>
  <si>
    <t>Inspektorat Nadzoru Budowlanego</t>
  </si>
  <si>
    <t>Inspektorat Nadzoru Budowlanego - zakupy inwestycyjne</t>
  </si>
  <si>
    <t>Komenda Powiatowa Państwowej Straży Pożarnej (na zadania bieżące i inwestycyjne)</t>
  </si>
  <si>
    <t>oświetlenie ulic</t>
  </si>
  <si>
    <r>
      <t xml:space="preserve">opieka społeczna, </t>
    </r>
    <r>
      <rPr>
        <i/>
        <sz val="8"/>
        <rFont val="Arial CE"/>
        <family val="2"/>
      </rPr>
      <t>w tym:</t>
    </r>
  </si>
  <si>
    <t xml:space="preserve"> ośrodki wsparcia</t>
  </si>
  <si>
    <t xml:space="preserve"> składki na ubezp. zdrowotne</t>
  </si>
  <si>
    <t xml:space="preserve"> zasiłki i pomoc w naturze</t>
  </si>
  <si>
    <t>świadczenia rodzinne</t>
  </si>
  <si>
    <t>świadczenia rodzinne (zakupy inwestycyjne)</t>
  </si>
  <si>
    <t>zasiłki rodzinne, pielęgn.i wychow.</t>
  </si>
  <si>
    <t xml:space="preserve"> ośrodki pomocy społecznej</t>
  </si>
  <si>
    <t xml:space="preserve"> usługi opiekuńcze</t>
  </si>
  <si>
    <t>pomoc dla repatriantów</t>
  </si>
  <si>
    <t>zespół ds. orzekania o stopniu niepełnosprawn.</t>
  </si>
  <si>
    <t xml:space="preserve"> wyprawki szkolne</t>
  </si>
  <si>
    <t xml:space="preserve">składki na ubezpieczenia zdrowotne </t>
  </si>
  <si>
    <t>administracja państwowa</t>
  </si>
  <si>
    <t>wybory do Parlamentu Europejskiego</t>
  </si>
  <si>
    <t>wybory do Sejmu i Senatu</t>
  </si>
  <si>
    <t>wybory Prezydenta Rzeczypospolitej Polskiej</t>
  </si>
  <si>
    <t>rejestr wyborców</t>
  </si>
  <si>
    <t>funkcjonowanie Centrum Ratownictwa Medycznego</t>
  </si>
  <si>
    <t xml:space="preserve">prace geodezyjne i kartograficzne </t>
  </si>
  <si>
    <t>opracowania geodezyjne i kartograficzne</t>
  </si>
  <si>
    <t>gospodarka gruntami i nieruchomościami</t>
  </si>
  <si>
    <t>komisje poborowe</t>
  </si>
  <si>
    <t>NA ZADANIA REALIZOWANE NA MOCY POROZUMIEŃ Z ORGANAMI ADMINISTRACJI RZĄDOWEJ</t>
  </si>
  <si>
    <t>zadania z zakresu oświaty</t>
  </si>
  <si>
    <t>zakup książek do biblioteki</t>
  </si>
  <si>
    <t>dotacja dla Teatru Miejskiego</t>
  </si>
  <si>
    <t>utrzymanie grobów wojennych</t>
  </si>
  <si>
    <t>NA FINANSOWANIE LUB DOFINANSOWANIE ZADAŃ WŁASNYCH</t>
  </si>
  <si>
    <t>pomoc materialna dla uczniów</t>
  </si>
  <si>
    <t>uczniowskie praktyki zawodowe</t>
  </si>
  <si>
    <t>stypendia oraz inne formy pomocy pomocy dla uczniów</t>
  </si>
  <si>
    <t>budowa Muzeum miasta Gdyni</t>
  </si>
  <si>
    <t>komisje kwalifikacyjne i egzaminacyjne</t>
  </si>
  <si>
    <t>zadania z zakresu opieki społecznej:</t>
  </si>
  <si>
    <t>dożywianie uczniów</t>
  </si>
  <si>
    <t>DPS Legionów</t>
  </si>
  <si>
    <t>opieka w domach o zasięgu ponadgminnym</t>
  </si>
  <si>
    <t>zasiłki i pomoc w naturze</t>
  </si>
  <si>
    <t>ośrodki pomocy społecznej</t>
  </si>
  <si>
    <t>PRZYCHODY, w tym:</t>
  </si>
  <si>
    <t>wolne środki</t>
  </si>
  <si>
    <t xml:space="preserve">kredyt </t>
  </si>
  <si>
    <t>pożyczka z WFOŚ</t>
  </si>
  <si>
    <t>pożyczka na prefinansowanie</t>
  </si>
  <si>
    <t xml:space="preserve">RAZEM DOCHODY I PRZYCHODY </t>
  </si>
  <si>
    <r>
      <t xml:space="preserve">I. </t>
    </r>
    <r>
      <rPr>
        <b/>
        <sz val="10"/>
        <rFont val="Arial CE"/>
        <family val="2"/>
      </rPr>
      <t xml:space="preserve"> DOCHODY WŁASNE, w tym:</t>
    </r>
  </si>
  <si>
    <t>Centrum Powiadamiania Ratunkowego</t>
  </si>
  <si>
    <t>ośrodki interwencji kryzysowej</t>
  </si>
  <si>
    <t>wpłata właściciela na wykonanie remontu budynku prywatnoczynszowego przy ul. Reja 5, dofinansowanego z budżetu gminy</t>
  </si>
  <si>
    <t>środki na realizację zadania " Niepełnosprawny pracownik na rynku pracy"</t>
  </si>
  <si>
    <t>z Funduszu Pracy na finansowanie wynagrodzeń i składek na ubezpieczenie pracowników Powiatowego Urzędu Pracy</t>
  </si>
  <si>
    <t>środki na dofinansowanie projektów: "Tellus", " Otwarta platforma usług Urzędu udostępnianych drogą telefonii komórkowej"</t>
  </si>
  <si>
    <t xml:space="preserve">wkład krajowy na realizację projektu "Młodzież - lepszy start" </t>
  </si>
  <si>
    <t>Plan na 2006 rok</t>
  </si>
  <si>
    <t>% wykonania (kol.8:5)</t>
  </si>
  <si>
    <t>środki zwrócone przez Urząd Skarbowy na podstawie wyroku Sądu</t>
  </si>
  <si>
    <t>środki na realizację projektu SEBTrans - Link - nowoczesny Terminal Promowy w Porcie Wschodnim w Gdyni</t>
  </si>
  <si>
    <t>środki na dofinansowanie projektu " Szkolenia kompetencyjne w zakresie pomocy dziecku krzywdzonemu w Gdyni"</t>
  </si>
  <si>
    <t>środki na realizację projektu ABC II (Alians Miast Bałtyckich)</t>
  </si>
  <si>
    <t>środki na dofinansowanie projektu "Szkolenia kompetencyjne w zakresie pomocy dziecku krzywdzonemu w Gdyni"</t>
  </si>
  <si>
    <t xml:space="preserve">środki na dofinansowanie projektów: projekt "Fundusz stypendialny dla uczniów gdyńskich szkół ponadgimnazjalnych" </t>
  </si>
  <si>
    <t>wpłata części zysku gospodarstwa pomocniczego</t>
  </si>
  <si>
    <t>placówki opiekuńczo - wychowawcze (ośrodek socjalizacyjny)</t>
  </si>
  <si>
    <t>środki na realizację projektu "MariTour"</t>
  </si>
  <si>
    <t>środki przeznaczone na wsparcie osoby poszkodowanej w katastrofie budowlanej na terenie Międzynarodowych Targów Katowickich</t>
  </si>
  <si>
    <t>program "Posiłek dla potrzebujących", "Pomoc państwa w zakresie dożywiania"</t>
  </si>
  <si>
    <t>realizacja projektu "Szkolny monitoring zanieczyszczeń najbliższego otoczenia z wykorzystaniem prostych technik biologicznych i chemicznych"</t>
  </si>
  <si>
    <t>środki na realizację projektu "Gdański Spinaker - Aktywizacja długotrwale bezrobotnych, samotnych rodziców na rynku pracy"</t>
  </si>
  <si>
    <t xml:space="preserve">Wykonanie dochodów budżetu miasta Gdyni za okres I - VI 2006 roku wg źródeł                                </t>
  </si>
  <si>
    <t>Wykonanie za okres I-VI 2006 roku</t>
  </si>
  <si>
    <t xml:space="preserve">zwrot kosztów audytu zewnętrznego 4 projektów planowanych do realizacji przez PUP współfinansowanych ze środków Europejskiego Funduszu Społecznego </t>
  </si>
  <si>
    <t>środki na realizację projektu "Bustrip" wdrażanie i planowanie Bałtyckiego Miejskiego Zrównoważonego Transportu</t>
  </si>
  <si>
    <t>środki z PFRON-u - rekompensata utraconych dochodów z tytułu zwolnień w podatkach</t>
  </si>
  <si>
    <t>utrzymanie schroniska dla zwierząt "Ciapkowo"</t>
  </si>
  <si>
    <t>Dotacje od jednostek samorządu terytorialnego na realizację zadań na podstawie porozumień</t>
  </si>
  <si>
    <t>koszty wydawania decyzji w sprawie świadczeń zdrowotnych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</si>
</sst>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#,##0.0"/>
    <numFmt numFmtId="166" formatCode="0.0"/>
    <numFmt numFmtId="167" formatCode="yy\-mm\-dd"/>
    <numFmt numFmtId="168" formatCode="dd\-mmm\-yy"/>
    <numFmt numFmtId="169" formatCode="dd\-mmm"/>
    <numFmt numFmtId="170" formatCode="mmm\-yy"/>
    <numFmt numFmtId="171" formatCode="yy\-mm\-dd\ hh:mm"/>
    <numFmt numFmtId="172" formatCode="#,##0.0000"/>
    <numFmt numFmtId="173" formatCode="#,##0.0\ _z_ł;[Red]\-#,##0.0\ _z_ł"/>
    <numFmt numFmtId="174" formatCode="#,##0.00000"/>
    <numFmt numFmtId="175" formatCode="#,##0.000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0.0000%"/>
    <numFmt numFmtId="182" formatCode="0.00000%"/>
    <numFmt numFmtId="183" formatCode="0.000000%"/>
    <numFmt numFmtId="184" formatCode="0.0000000%"/>
    <numFmt numFmtId="185" formatCode="0.000%"/>
    <numFmt numFmtId="186" formatCode="d\-mmm\-yy"/>
    <numFmt numFmtId="187" formatCode="_-* #,##0.0\ _z_ł_-;\-* #,##0.0\ _z_ł_-;_-* &quot;-&quot;??\ _z_ł_-;_-@_-"/>
    <numFmt numFmtId="188" formatCode="_-* #,##0\ _z_ł_-;\-* #,##0\ _z_ł_-;_-* &quot;-&quot;??\ _z_ł_-;_-@_-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0.0000000000"/>
    <numFmt numFmtId="193" formatCode="_-* #,##0.000\ _z_ł_-;\-* #,##0.000\ _z_ł_-;_-* &quot;-&quot;??\ _z_ł_-;_-@_-"/>
    <numFmt numFmtId="194" formatCode="h:mm"/>
  </numFmts>
  <fonts count="18">
    <font>
      <sz val="8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b/>
      <i/>
      <sz val="11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b/>
      <i/>
      <sz val="9"/>
      <name val="Arial CE"/>
      <family val="2"/>
    </font>
    <font>
      <sz val="8"/>
      <name val="MS Sans Serif"/>
      <family val="2"/>
    </font>
    <font>
      <b/>
      <sz val="13"/>
      <name val="Arial CE"/>
      <family val="2"/>
    </font>
    <font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" fontId="0" fillId="0" borderId="0" xfId="19" applyNumberFormat="1" applyFont="1" applyFill="1" applyAlignment="1">
      <alignment horizontal="center" vertical="center"/>
      <protection/>
    </xf>
    <xf numFmtId="4" fontId="0" fillId="0" borderId="0" xfId="19" applyNumberFormat="1" applyFont="1" applyFill="1" applyAlignment="1">
      <alignment vertical="center"/>
      <protection/>
    </xf>
    <xf numFmtId="4" fontId="0" fillId="0" borderId="0" xfId="19" applyNumberFormat="1" applyFont="1" applyFill="1">
      <alignment/>
      <protection/>
    </xf>
    <xf numFmtId="4" fontId="0" fillId="0" borderId="0" xfId="19" applyNumberFormat="1" applyFont="1" applyFill="1" applyBorder="1" applyAlignment="1">
      <alignment vertical="center"/>
      <protection/>
    </xf>
    <xf numFmtId="1" fontId="5" fillId="0" borderId="1" xfId="19" applyNumberFormat="1" applyFont="1" applyFill="1" applyBorder="1" applyAlignment="1">
      <alignment horizontal="center" vertical="center" wrapText="1"/>
      <protection/>
    </xf>
    <xf numFmtId="1" fontId="5" fillId="0" borderId="0" xfId="19" applyNumberFormat="1" applyFont="1" applyFill="1">
      <alignment/>
      <protection/>
    </xf>
    <xf numFmtId="164" fontId="5" fillId="0" borderId="2" xfId="19" applyNumberFormat="1" applyFont="1" applyFill="1" applyBorder="1" applyAlignment="1">
      <alignment horizontal="center" vertical="center" wrapText="1"/>
      <protection/>
    </xf>
    <xf numFmtId="3" fontId="5" fillId="0" borderId="1" xfId="19" applyNumberFormat="1" applyFont="1" applyFill="1" applyBorder="1" applyAlignment="1">
      <alignment horizontal="center" vertical="center" wrapText="1"/>
      <protection/>
    </xf>
    <xf numFmtId="4" fontId="7" fillId="0" borderId="0" xfId="19" applyNumberFormat="1" applyFont="1" applyFill="1">
      <alignment/>
      <protection/>
    </xf>
    <xf numFmtId="3" fontId="6" fillId="0" borderId="3" xfId="19" applyNumberFormat="1" applyFont="1" applyFill="1" applyBorder="1" applyAlignment="1">
      <alignment horizontal="right" vertical="center" wrapText="1"/>
      <protection/>
    </xf>
    <xf numFmtId="3" fontId="10" fillId="0" borderId="0" xfId="19" applyNumberFormat="1" applyFont="1" applyFill="1" applyAlignment="1">
      <alignment horizontal="center" vertical="center" wrapText="1"/>
      <protection/>
    </xf>
    <xf numFmtId="3" fontId="11" fillId="0" borderId="3" xfId="19" applyNumberFormat="1" applyFont="1" applyFill="1" applyBorder="1" applyAlignment="1">
      <alignment vertical="center"/>
      <protection/>
    </xf>
    <xf numFmtId="4" fontId="5" fillId="0" borderId="0" xfId="19" applyNumberFormat="1" applyFont="1" applyFill="1" applyAlignment="1">
      <alignment vertical="center"/>
      <protection/>
    </xf>
    <xf numFmtId="3" fontId="6" fillId="0" borderId="1" xfId="19" applyNumberFormat="1" applyFont="1" applyFill="1" applyBorder="1" applyAlignment="1">
      <alignment vertical="center"/>
      <protection/>
    </xf>
    <xf numFmtId="4" fontId="9" fillId="0" borderId="0" xfId="19" applyNumberFormat="1" applyFont="1" applyFill="1" applyAlignment="1">
      <alignment vertical="center"/>
      <protection/>
    </xf>
    <xf numFmtId="4" fontId="10" fillId="0" borderId="0" xfId="19" applyNumberFormat="1" applyFont="1" applyFill="1" applyAlignment="1">
      <alignment vertical="center"/>
      <protection/>
    </xf>
    <xf numFmtId="0" fontId="0" fillId="0" borderId="1" xfId="18" applyFont="1" applyFill="1" applyBorder="1" applyAlignment="1">
      <alignment horizontal="left" vertical="center" wrapText="1"/>
      <protection/>
    </xf>
    <xf numFmtId="3" fontId="0" fillId="0" borderId="1" xfId="18" applyNumberFormat="1" applyFont="1" applyFill="1" applyBorder="1" applyAlignment="1">
      <alignment vertical="center"/>
      <protection/>
    </xf>
    <xf numFmtId="3" fontId="5" fillId="0" borderId="1" xfId="19" applyNumberFormat="1" applyFont="1" applyFill="1" applyBorder="1" applyAlignment="1">
      <alignment horizontal="right" vertical="center" wrapText="1"/>
      <protection/>
    </xf>
    <xf numFmtId="3" fontId="0" fillId="0" borderId="1" xfId="19" applyNumberFormat="1" applyFont="1" applyFill="1" applyBorder="1" applyAlignment="1">
      <alignment horizontal="right" vertical="center" wrapText="1"/>
      <protection/>
    </xf>
    <xf numFmtId="0" fontId="0" fillId="0" borderId="0" xfId="18" applyFont="1" applyFill="1">
      <alignment/>
      <protection/>
    </xf>
    <xf numFmtId="0" fontId="0" fillId="0" borderId="0" xfId="18" applyFont="1" applyFill="1" applyAlignment="1">
      <alignment vertical="center"/>
      <protection/>
    </xf>
    <xf numFmtId="0" fontId="0" fillId="0" borderId="1" xfId="18" applyFont="1" applyFill="1" applyBorder="1" applyAlignment="1">
      <alignment vertical="center" wrapText="1"/>
      <protection/>
    </xf>
    <xf numFmtId="0" fontId="7" fillId="0" borderId="1" xfId="18" applyFont="1" applyFill="1" applyBorder="1" applyAlignment="1">
      <alignment vertical="center" wrapText="1"/>
      <protection/>
    </xf>
    <xf numFmtId="3" fontId="13" fillId="0" borderId="1" xfId="19" applyNumberFormat="1" applyFont="1" applyFill="1" applyBorder="1" applyAlignment="1">
      <alignment horizontal="right" vertical="center" wrapText="1"/>
      <protection/>
    </xf>
    <xf numFmtId="3" fontId="7" fillId="0" borderId="1" xfId="19" applyNumberFormat="1" applyFont="1" applyFill="1" applyBorder="1" applyAlignment="1">
      <alignment horizontal="right" vertical="center" wrapText="1"/>
      <protection/>
    </xf>
    <xf numFmtId="0" fontId="7" fillId="0" borderId="0" xfId="18" applyFont="1" applyFill="1">
      <alignment/>
      <protection/>
    </xf>
    <xf numFmtId="0" fontId="7" fillId="0" borderId="1" xfId="18" applyFont="1" applyFill="1" applyBorder="1" applyAlignment="1">
      <alignment horizontal="left" vertical="center" wrapText="1"/>
      <protection/>
    </xf>
    <xf numFmtId="0" fontId="7" fillId="0" borderId="0" xfId="18" applyFont="1" applyFill="1" applyAlignment="1">
      <alignment vertical="center"/>
      <protection/>
    </xf>
    <xf numFmtId="4" fontId="7" fillId="0" borderId="1" xfId="19" applyNumberFormat="1" applyFont="1" applyFill="1" applyBorder="1" applyAlignment="1">
      <alignment vertical="center" wrapText="1"/>
      <protection/>
    </xf>
    <xf numFmtId="1" fontId="6" fillId="0" borderId="1" xfId="19" applyNumberFormat="1" applyFont="1" applyFill="1" applyBorder="1" applyAlignment="1">
      <alignment horizontal="center" vertical="center"/>
      <protection/>
    </xf>
    <xf numFmtId="4" fontId="6" fillId="0" borderId="1" xfId="19" applyNumberFormat="1" applyFont="1" applyFill="1" applyBorder="1" applyAlignment="1">
      <alignment horizontal="left" vertical="center" wrapText="1"/>
      <protection/>
    </xf>
    <xf numFmtId="4" fontId="6" fillId="0" borderId="1" xfId="19" applyNumberFormat="1" applyFont="1" applyFill="1" applyBorder="1" applyAlignment="1">
      <alignment vertical="center" wrapText="1"/>
      <protection/>
    </xf>
    <xf numFmtId="3" fontId="6" fillId="0" borderId="1" xfId="19" applyNumberFormat="1" applyFont="1" applyFill="1" applyBorder="1" applyAlignment="1">
      <alignment horizontal="right" vertical="center" wrapText="1"/>
      <protection/>
    </xf>
    <xf numFmtId="4" fontId="0" fillId="0" borderId="1" xfId="19" applyNumberFormat="1" applyFont="1" applyFill="1" applyBorder="1" applyAlignment="1">
      <alignment vertical="center" wrapText="1"/>
      <protection/>
    </xf>
    <xf numFmtId="0" fontId="15" fillId="0" borderId="1" xfId="18" applyFont="1" applyFill="1" applyBorder="1" applyAlignment="1">
      <alignment horizontal="left" vertical="center" wrapText="1"/>
      <protection/>
    </xf>
    <xf numFmtId="3" fontId="0" fillId="0" borderId="1" xfId="19" applyNumberFormat="1" applyFont="1" applyFill="1" applyBorder="1" applyAlignment="1">
      <alignment vertical="center"/>
      <protection/>
    </xf>
    <xf numFmtId="4" fontId="13" fillId="0" borderId="0" xfId="19" applyNumberFormat="1" applyFont="1" applyFill="1">
      <alignment/>
      <protection/>
    </xf>
    <xf numFmtId="0" fontId="15" fillId="0" borderId="1" xfId="18" applyFont="1" applyFill="1" applyBorder="1" applyAlignment="1">
      <alignment vertical="center" wrapText="1"/>
      <protection/>
    </xf>
    <xf numFmtId="4" fontId="0" fillId="0" borderId="1" xfId="19" applyNumberFormat="1" applyFont="1" applyFill="1" applyBorder="1" applyAlignment="1">
      <alignment horizontal="left" vertical="center" wrapText="1"/>
      <protection/>
    </xf>
    <xf numFmtId="4" fontId="0" fillId="0" borderId="0" xfId="19" applyNumberFormat="1" applyFont="1" applyFill="1" applyBorder="1">
      <alignment/>
      <protection/>
    </xf>
    <xf numFmtId="0" fontId="15" fillId="0" borderId="1" xfId="18" applyFont="1" applyFill="1" applyBorder="1" applyAlignment="1">
      <alignment horizontal="left" vertical="center" wrapText="1"/>
      <protection/>
    </xf>
    <xf numFmtId="4" fontId="13" fillId="0" borderId="0" xfId="19" applyNumberFormat="1" applyFont="1" applyFill="1" applyAlignment="1">
      <alignment vertical="center"/>
      <protection/>
    </xf>
    <xf numFmtId="3" fontId="11" fillId="0" borderId="1" xfId="19" applyNumberFormat="1" applyFont="1" applyFill="1" applyBorder="1" applyAlignment="1">
      <alignment vertical="center"/>
      <protection/>
    </xf>
    <xf numFmtId="3" fontId="11" fillId="0" borderId="1" xfId="19" applyNumberFormat="1" applyFont="1" applyFill="1" applyBorder="1" applyAlignment="1">
      <alignment horizontal="right" vertical="center" wrapText="1"/>
      <protection/>
    </xf>
    <xf numFmtId="4" fontId="7" fillId="0" borderId="0" xfId="19" applyNumberFormat="1" applyFont="1" applyFill="1" applyAlignment="1">
      <alignment vertical="center"/>
      <protection/>
    </xf>
    <xf numFmtId="3" fontId="6" fillId="0" borderId="1" xfId="19" applyNumberFormat="1" applyFont="1" applyFill="1" applyBorder="1" applyAlignment="1">
      <alignment horizontal="left" vertical="center" wrapText="1"/>
      <protection/>
    </xf>
    <xf numFmtId="3" fontId="5" fillId="0" borderId="0" xfId="19" applyNumberFormat="1" applyFont="1" applyFill="1" applyAlignment="1">
      <alignment vertical="center"/>
      <protection/>
    </xf>
    <xf numFmtId="1" fontId="0" fillId="0" borderId="1" xfId="19" applyNumberFormat="1" applyFont="1" applyFill="1" applyBorder="1" applyAlignment="1">
      <alignment vertical="center" wrapText="1"/>
      <protection/>
    </xf>
    <xf numFmtId="1" fontId="0" fillId="0" borderId="1" xfId="19" applyNumberFormat="1" applyFont="1" applyFill="1" applyBorder="1" applyAlignment="1">
      <alignment horizontal="left" vertical="center" wrapText="1"/>
      <protection/>
    </xf>
    <xf numFmtId="1" fontId="7" fillId="0" borderId="1" xfId="19" applyNumberFormat="1" applyFont="1" applyFill="1" applyBorder="1" applyAlignment="1">
      <alignment horizontal="right" vertical="center" wrapText="1"/>
      <protection/>
    </xf>
    <xf numFmtId="3" fontId="6" fillId="0" borderId="1" xfId="18" applyNumberFormat="1" applyFont="1" applyFill="1" applyBorder="1" applyAlignment="1">
      <alignment vertical="center"/>
      <protection/>
    </xf>
    <xf numFmtId="0" fontId="7" fillId="0" borderId="1" xfId="18" applyFont="1" applyFill="1" applyBorder="1" applyAlignment="1">
      <alignment horizontal="right" vertical="center" wrapText="1"/>
      <protection/>
    </xf>
    <xf numFmtId="4" fontId="0" fillId="0" borderId="0" xfId="19" applyNumberFormat="1" applyFont="1" applyFill="1" applyBorder="1" applyAlignment="1">
      <alignment vertical="center" wrapText="1"/>
      <protection/>
    </xf>
    <xf numFmtId="1" fontId="5" fillId="0" borderId="1" xfId="19" applyNumberFormat="1" applyFont="1" applyFill="1" applyBorder="1" applyAlignment="1">
      <alignment horizontal="center" vertical="center"/>
      <protection/>
    </xf>
    <xf numFmtId="0" fontId="5" fillId="0" borderId="1" xfId="18" applyFont="1" applyFill="1" applyBorder="1" applyAlignment="1">
      <alignment horizontal="center" vertical="center"/>
      <protection/>
    </xf>
    <xf numFmtId="0" fontId="13" fillId="0" borderId="1" xfId="18" applyFont="1" applyFill="1" applyBorder="1" applyAlignment="1">
      <alignment horizontal="center" vertical="center"/>
      <protection/>
    </xf>
    <xf numFmtId="1" fontId="7" fillId="0" borderId="1" xfId="19" applyNumberFormat="1" applyFont="1" applyFill="1" applyBorder="1" applyAlignment="1">
      <alignment horizontal="center" vertical="center"/>
      <protection/>
    </xf>
    <xf numFmtId="0" fontId="7" fillId="0" borderId="1" xfId="18" applyFont="1" applyFill="1" applyBorder="1" applyAlignment="1">
      <alignment horizontal="center" vertical="center"/>
      <protection/>
    </xf>
    <xf numFmtId="0" fontId="0" fillId="0" borderId="1" xfId="18" applyFont="1" applyFill="1" applyBorder="1" applyAlignment="1">
      <alignment horizontal="center" vertical="center"/>
      <protection/>
    </xf>
    <xf numFmtId="1" fontId="0" fillId="0" borderId="1" xfId="19" applyNumberFormat="1" applyFont="1" applyFill="1" applyBorder="1" applyAlignment="1">
      <alignment horizontal="center" vertical="center"/>
      <protection/>
    </xf>
    <xf numFmtId="1" fontId="13" fillId="0" borderId="1" xfId="19" applyNumberFormat="1" applyFont="1" applyFill="1" applyBorder="1" applyAlignment="1">
      <alignment horizontal="center" vertical="center"/>
      <protection/>
    </xf>
    <xf numFmtId="3" fontId="6" fillId="0" borderId="1" xfId="19" applyNumberFormat="1" applyFont="1" applyFill="1" applyBorder="1" applyAlignment="1">
      <alignment horizontal="center" vertical="center"/>
      <protection/>
    </xf>
    <xf numFmtId="4" fontId="0" fillId="0" borderId="1" xfId="19" applyNumberFormat="1" applyFont="1" applyFill="1" applyBorder="1" applyAlignment="1">
      <alignment horizontal="center" vertical="center"/>
      <protection/>
    </xf>
    <xf numFmtId="1" fontId="5" fillId="0" borderId="1" xfId="19" applyNumberFormat="1" applyFont="1" applyFill="1" applyBorder="1">
      <alignment/>
      <protection/>
    </xf>
    <xf numFmtId="0" fontId="7" fillId="0" borderId="1" xfId="18" applyFont="1" applyFill="1" applyBorder="1" applyAlignment="1">
      <alignment horizontal="center" vertical="center"/>
      <protection/>
    </xf>
    <xf numFmtId="0" fontId="7" fillId="0" borderId="1" xfId="18" applyFont="1" applyFill="1" applyBorder="1" applyAlignment="1">
      <alignment vertical="center" wrapText="1"/>
      <protection/>
    </xf>
    <xf numFmtId="3" fontId="7" fillId="0" borderId="1" xfId="19" applyNumberFormat="1" applyFont="1" applyFill="1" applyBorder="1" applyAlignment="1">
      <alignment horizontal="right" vertical="center" wrapText="1"/>
      <protection/>
    </xf>
    <xf numFmtId="3" fontId="13" fillId="0" borderId="1" xfId="19" applyNumberFormat="1" applyFont="1" applyFill="1" applyBorder="1" applyAlignment="1">
      <alignment horizontal="right" vertical="center" wrapText="1"/>
      <protection/>
    </xf>
    <xf numFmtId="164" fontId="13" fillId="0" borderId="2" xfId="19" applyNumberFormat="1" applyFont="1" applyFill="1" applyBorder="1" applyAlignment="1">
      <alignment horizontal="center" vertical="center" wrapText="1"/>
      <protection/>
    </xf>
    <xf numFmtId="0" fontId="7" fillId="0" borderId="0" xfId="18" applyFont="1" applyFill="1" applyAlignment="1">
      <alignment vertical="center"/>
      <protection/>
    </xf>
    <xf numFmtId="4" fontId="0" fillId="0" borderId="1" xfId="19" applyNumberFormat="1" applyFont="1" applyFill="1" applyBorder="1" applyAlignment="1">
      <alignment vertical="center"/>
      <protection/>
    </xf>
    <xf numFmtId="3" fontId="0" fillId="0" borderId="0" xfId="18" applyNumberFormat="1" applyFont="1" applyFill="1">
      <alignment/>
      <protection/>
    </xf>
    <xf numFmtId="0" fontId="17" fillId="0" borderId="1" xfId="18" applyFont="1" applyFill="1" applyBorder="1" applyAlignment="1">
      <alignment horizontal="right" vertical="center" wrapText="1"/>
      <protection/>
    </xf>
    <xf numFmtId="1" fontId="17" fillId="0" borderId="1" xfId="19" applyNumberFormat="1" applyFont="1" applyFill="1" applyBorder="1" applyAlignment="1">
      <alignment horizontal="right" vertical="center" wrapText="1"/>
      <protection/>
    </xf>
    <xf numFmtId="3" fontId="0" fillId="0" borderId="1" xfId="18" applyNumberFormat="1" applyFont="1" applyFill="1" applyBorder="1">
      <alignment/>
      <protection/>
    </xf>
    <xf numFmtId="0" fontId="0" fillId="0" borderId="0" xfId="18" applyFont="1" applyFill="1" applyBorder="1">
      <alignment/>
      <protection/>
    </xf>
    <xf numFmtId="1" fontId="9" fillId="0" borderId="1" xfId="19" applyNumberFormat="1" applyFont="1" applyFill="1" applyBorder="1" applyAlignment="1">
      <alignment horizontal="center" vertical="center"/>
      <protection/>
    </xf>
    <xf numFmtId="3" fontId="0" fillId="0" borderId="1" xfId="19" applyNumberFormat="1" applyFont="1" applyFill="1" applyBorder="1" applyAlignment="1">
      <alignment horizontal="right" vertical="center" wrapText="1"/>
      <protection/>
    </xf>
    <xf numFmtId="3" fontId="6" fillId="2" borderId="1" xfId="19" applyNumberFormat="1" applyFont="1" applyFill="1" applyBorder="1" applyAlignment="1">
      <alignment horizontal="right" vertical="center" wrapText="1"/>
      <protection/>
    </xf>
    <xf numFmtId="164" fontId="5" fillId="2" borderId="2" xfId="19" applyNumberFormat="1" applyFont="1" applyFill="1" applyBorder="1" applyAlignment="1">
      <alignment horizontal="center" vertical="center" wrapText="1"/>
      <protection/>
    </xf>
    <xf numFmtId="0" fontId="0" fillId="2" borderId="0" xfId="18" applyFont="1" applyFill="1" applyAlignment="1">
      <alignment vertical="center"/>
      <protection/>
    </xf>
    <xf numFmtId="1" fontId="5" fillId="2" borderId="1" xfId="19" applyNumberFormat="1" applyFont="1" applyFill="1" applyBorder="1" applyAlignment="1">
      <alignment horizontal="center" vertical="center"/>
      <protection/>
    </xf>
    <xf numFmtId="4" fontId="0" fillId="2" borderId="1" xfId="19" applyNumberFormat="1" applyFont="1" applyFill="1" applyBorder="1" applyAlignment="1">
      <alignment vertical="center" wrapText="1"/>
      <protection/>
    </xf>
    <xf numFmtId="3" fontId="0" fillId="2" borderId="1" xfId="19" applyNumberFormat="1" applyFont="1" applyFill="1" applyBorder="1" applyAlignment="1">
      <alignment horizontal="right" vertical="center" wrapText="1"/>
      <protection/>
    </xf>
    <xf numFmtId="3" fontId="5" fillId="2" borderId="1" xfId="19" applyNumberFormat="1" applyFont="1" applyFill="1" applyBorder="1" applyAlignment="1">
      <alignment horizontal="right" vertical="center" wrapText="1"/>
      <protection/>
    </xf>
    <xf numFmtId="4" fontId="0" fillId="2" borderId="0" xfId="19" applyNumberFormat="1" applyFont="1" applyFill="1" applyAlignment="1">
      <alignment vertical="center"/>
      <protection/>
    </xf>
    <xf numFmtId="3" fontId="0" fillId="2" borderId="1" xfId="19" applyNumberFormat="1" applyFont="1" applyFill="1" applyBorder="1" applyAlignment="1">
      <alignment vertical="center"/>
      <protection/>
    </xf>
    <xf numFmtId="3" fontId="13" fillId="2" borderId="1" xfId="19" applyNumberFormat="1" applyFont="1" applyFill="1" applyBorder="1" applyAlignment="1">
      <alignment horizontal="center" vertical="center"/>
      <protection/>
    </xf>
    <xf numFmtId="3" fontId="14" fillId="2" borderId="1" xfId="19" applyNumberFormat="1" applyFont="1" applyFill="1" applyBorder="1" applyAlignment="1">
      <alignment horizontal="left" vertical="center" wrapText="1"/>
      <protection/>
    </xf>
    <xf numFmtId="3" fontId="14" fillId="2" borderId="1" xfId="19" applyNumberFormat="1" applyFont="1" applyFill="1" applyBorder="1" applyAlignment="1">
      <alignment vertical="center"/>
      <protection/>
    </xf>
    <xf numFmtId="3" fontId="13" fillId="2" borderId="0" xfId="19" applyNumberFormat="1" applyFont="1" applyFill="1">
      <alignment/>
      <protection/>
    </xf>
    <xf numFmtId="1" fontId="6" fillId="0" borderId="1" xfId="19" applyNumberFormat="1" applyFont="1" applyFill="1" applyBorder="1" applyAlignment="1">
      <alignment horizontal="center" vertical="center" wrapText="1"/>
      <protection/>
    </xf>
    <xf numFmtId="4" fontId="12" fillId="0" borderId="1" xfId="19" applyNumberFormat="1" applyFont="1" applyFill="1" applyBorder="1" applyAlignment="1">
      <alignment horizontal="left" vertical="center" wrapText="1"/>
      <protection/>
    </xf>
    <xf numFmtId="4" fontId="5" fillId="0" borderId="1" xfId="19" applyNumberFormat="1" applyFont="1" applyFill="1" applyBorder="1" applyAlignment="1">
      <alignment horizontal="left" vertical="center" wrapText="1"/>
      <protection/>
    </xf>
    <xf numFmtId="1" fontId="12" fillId="0" borderId="1" xfId="19" applyNumberFormat="1" applyFont="1" applyFill="1" applyBorder="1" applyAlignment="1">
      <alignment horizontal="left" vertical="center" wrapText="1"/>
      <protection/>
    </xf>
    <xf numFmtId="1" fontId="0" fillId="0" borderId="1" xfId="19" applyNumberFormat="1" applyFont="1" applyFill="1" applyBorder="1" applyAlignment="1">
      <alignment horizontal="center" vertical="center" wrapText="1"/>
      <protection/>
    </xf>
    <xf numFmtId="4" fontId="5" fillId="0" borderId="1" xfId="19" applyNumberFormat="1" applyFont="1" applyFill="1" applyBorder="1" applyAlignment="1">
      <alignment horizontal="center" vertical="center" wrapText="1"/>
      <protection/>
    </xf>
    <xf numFmtId="1" fontId="6" fillId="0" borderId="4" xfId="19" applyNumberFormat="1" applyFont="1" applyFill="1" applyBorder="1" applyAlignment="1">
      <alignment horizontal="center" vertical="center" wrapText="1"/>
      <protection/>
    </xf>
    <xf numFmtId="1" fontId="6" fillId="0" borderId="5" xfId="19" applyNumberFormat="1" applyFont="1" applyFill="1" applyBorder="1" applyAlignment="1">
      <alignment horizontal="center" vertical="center" wrapText="1"/>
      <protection/>
    </xf>
    <xf numFmtId="4" fontId="16" fillId="0" borderId="6" xfId="19" applyNumberFormat="1" applyFont="1" applyFill="1" applyBorder="1" applyAlignment="1">
      <alignment horizontal="center" vertical="center" wrapText="1"/>
      <protection/>
    </xf>
    <xf numFmtId="4" fontId="8" fillId="0" borderId="4" xfId="19" applyNumberFormat="1" applyFont="1" applyFill="1" applyBorder="1" applyAlignment="1">
      <alignment horizontal="center" vertical="center" wrapText="1"/>
      <protection/>
    </xf>
    <xf numFmtId="4" fontId="8" fillId="0" borderId="3" xfId="19" applyNumberFormat="1" applyFont="1" applyFill="1" applyBorder="1" applyAlignment="1">
      <alignment horizontal="center" vertical="center" wrapText="1"/>
      <protection/>
    </xf>
    <xf numFmtId="0" fontId="12" fillId="2" borderId="1" xfId="18" applyFont="1" applyFill="1" applyBorder="1" applyAlignment="1">
      <alignment horizontal="center" vertical="center" wrapText="1"/>
      <protection/>
    </xf>
  </cellXfs>
  <cellStyles count="10">
    <cellStyle name="Normal" xfId="0"/>
    <cellStyle name="Comma" xfId="15"/>
    <cellStyle name="Comma [0]" xfId="16"/>
    <cellStyle name="Hyperlink" xfId="17"/>
    <cellStyle name="Normalny_B_99" xfId="18"/>
    <cellStyle name="Normalny_d_stawkimax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3"/>
  <sheetViews>
    <sheetView tabSelected="1" workbookViewId="0" topLeftCell="A2">
      <pane xSplit="2" ySplit="2" topLeftCell="I4" activePane="bottomRight" state="frozen"/>
      <selection pane="topLeft" activeCell="A2" sqref="A2"/>
      <selection pane="topRight" activeCell="C2" sqref="C2"/>
      <selection pane="bottomLeft" activeCell="A4" sqref="A4"/>
      <selection pane="bottomRight" activeCell="I8" sqref="I8"/>
    </sheetView>
  </sheetViews>
  <sheetFormatPr defaultColWidth="9.140625" defaultRowHeight="12"/>
  <cols>
    <col min="1" max="1" width="4.7109375" style="1" customWidth="1"/>
    <col min="2" max="2" width="57.421875" style="54" customWidth="1"/>
    <col min="3" max="3" width="18.00390625" style="2" customWidth="1"/>
    <col min="4" max="4" width="16.8515625" style="2" customWidth="1"/>
    <col min="5" max="5" width="18.7109375" style="2" customWidth="1"/>
    <col min="6" max="6" width="18.140625" style="2" customWidth="1"/>
    <col min="7" max="7" width="16.421875" style="2" customWidth="1"/>
    <col min="8" max="8" width="18.00390625" style="2" customWidth="1"/>
    <col min="9" max="9" width="13.140625" style="3" customWidth="1"/>
    <col min="10" max="16384" width="9.28125" style="3" customWidth="1"/>
  </cols>
  <sheetData>
    <row r="1" spans="1:9" s="4" customFormat="1" ht="29.25" customHeight="1">
      <c r="A1" s="101" t="s">
        <v>163</v>
      </c>
      <c r="B1" s="101"/>
      <c r="C1" s="101"/>
      <c r="D1" s="101"/>
      <c r="E1" s="101"/>
      <c r="F1" s="101"/>
      <c r="G1" s="101"/>
      <c r="H1" s="101"/>
      <c r="I1" s="101"/>
    </row>
    <row r="2" spans="1:9" s="6" customFormat="1" ht="29.25" customHeight="1">
      <c r="A2" s="97" t="s">
        <v>0</v>
      </c>
      <c r="B2" s="98" t="s">
        <v>1</v>
      </c>
      <c r="C2" s="99" t="s">
        <v>148</v>
      </c>
      <c r="D2" s="100"/>
      <c r="E2" s="100"/>
      <c r="F2" s="93" t="s">
        <v>164</v>
      </c>
      <c r="G2" s="93"/>
      <c r="H2" s="93"/>
      <c r="I2" s="65"/>
    </row>
    <row r="3" spans="1:9" s="6" customFormat="1" ht="32.25" customHeight="1">
      <c r="A3" s="97"/>
      <c r="B3" s="98"/>
      <c r="C3" s="5" t="s">
        <v>2</v>
      </c>
      <c r="D3" s="5" t="s">
        <v>3</v>
      </c>
      <c r="E3" s="5" t="s">
        <v>4</v>
      </c>
      <c r="F3" s="5" t="s">
        <v>2</v>
      </c>
      <c r="G3" s="5" t="s">
        <v>3</v>
      </c>
      <c r="H3" s="5" t="s">
        <v>4</v>
      </c>
      <c r="I3" s="5" t="s">
        <v>149</v>
      </c>
    </row>
    <row r="4" spans="1:9" s="9" customFormat="1" ht="12.75" customHeight="1">
      <c r="A4" s="55">
        <v>1</v>
      </c>
      <c r="B4" s="78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8">
        <v>8</v>
      </c>
      <c r="I4" s="8">
        <v>9</v>
      </c>
    </row>
    <row r="5" spans="1:9" s="11" customFormat="1" ht="16.5" customHeight="1">
      <c r="A5" s="102" t="s">
        <v>5</v>
      </c>
      <c r="B5" s="103"/>
      <c r="C5" s="10">
        <f>SUM(C6,C109,C114)</f>
        <v>567877729</v>
      </c>
      <c r="D5" s="10">
        <f>SUM(D6,D109,D114)</f>
        <v>223208162</v>
      </c>
      <c r="E5" s="10">
        <f>SUM(C5:D5)</f>
        <v>791085891</v>
      </c>
      <c r="F5" s="10">
        <f>SUM(F6,F109,F114)</f>
        <v>297524473</v>
      </c>
      <c r="G5" s="10">
        <f>SUM(G6,G109,G114)</f>
        <v>83728510</v>
      </c>
      <c r="H5" s="10">
        <f>SUM(F5:G5)</f>
        <v>381252983</v>
      </c>
      <c r="I5" s="7">
        <f aca="true" t="shared" si="0" ref="I5:I32">H5/E5</f>
        <v>0.4819362692944299</v>
      </c>
    </row>
    <row r="6" spans="1:9" s="13" customFormat="1" ht="18" customHeight="1">
      <c r="A6" s="94" t="s">
        <v>140</v>
      </c>
      <c r="B6" s="95"/>
      <c r="C6" s="12">
        <f>SUM(C7,C19,C24,C36,C73,C88,C62,C106)</f>
        <v>448843284</v>
      </c>
      <c r="D6" s="12">
        <f>SUM(D7,D19,D24,D36,D73,D88,D62,D106)</f>
        <v>142935428</v>
      </c>
      <c r="E6" s="12">
        <f>SUM(C6:D6)</f>
        <v>591778712</v>
      </c>
      <c r="F6" s="12">
        <f>SUM(F7,F19,F24,F36,F73,F88,F62,F106)</f>
        <v>230924157</v>
      </c>
      <c r="G6" s="12">
        <f>SUM(G7,G19,G24,G36,G73,G88,G62,G106)</f>
        <v>33699115</v>
      </c>
      <c r="H6" s="12">
        <f>SUM(F6:G6)</f>
        <v>264623272</v>
      </c>
      <c r="I6" s="7">
        <f t="shared" si="0"/>
        <v>0.44716591968249103</v>
      </c>
    </row>
    <row r="7" spans="1:9" s="16" customFormat="1" ht="12">
      <c r="A7" s="31">
        <v>1</v>
      </c>
      <c r="B7" s="33" t="s">
        <v>6</v>
      </c>
      <c r="C7" s="14">
        <f aca="true" t="shared" si="1" ref="C7:H7">SUM(C8:C12)</f>
        <v>109715600</v>
      </c>
      <c r="D7" s="14">
        <f t="shared" si="1"/>
        <v>0</v>
      </c>
      <c r="E7" s="14">
        <f t="shared" si="1"/>
        <v>109715600</v>
      </c>
      <c r="F7" s="14">
        <f t="shared" si="1"/>
        <v>54551106</v>
      </c>
      <c r="G7" s="14">
        <f t="shared" si="1"/>
        <v>0</v>
      </c>
      <c r="H7" s="14">
        <f t="shared" si="1"/>
        <v>54551106</v>
      </c>
      <c r="I7" s="7">
        <f t="shared" si="0"/>
        <v>0.49720464546518456</v>
      </c>
    </row>
    <row r="8" spans="1:9" s="21" customFormat="1" ht="15" customHeight="1">
      <c r="A8" s="56"/>
      <c r="B8" s="17" t="s">
        <v>7</v>
      </c>
      <c r="C8" s="20">
        <f>83100000+13350000</f>
        <v>96450000</v>
      </c>
      <c r="D8" s="20">
        <v>0</v>
      </c>
      <c r="E8" s="19">
        <f aca="true" t="shared" si="2" ref="E8:E39">SUM(C8:D8)</f>
        <v>96450000</v>
      </c>
      <c r="F8" s="20">
        <f>38509832+8562596</f>
        <v>47072428</v>
      </c>
      <c r="G8" s="20">
        <v>0</v>
      </c>
      <c r="H8" s="19">
        <f aca="true" t="shared" si="3" ref="H8:H39">SUM(F8:G8)</f>
        <v>47072428</v>
      </c>
      <c r="I8" s="7">
        <f t="shared" si="0"/>
        <v>0.48805005702436494</v>
      </c>
    </row>
    <row r="9" spans="1:9" s="21" customFormat="1" ht="15" customHeight="1">
      <c r="A9" s="56"/>
      <c r="B9" s="17" t="s">
        <v>8</v>
      </c>
      <c r="C9" s="20">
        <f>2000000+3600000</f>
        <v>5600000</v>
      </c>
      <c r="D9" s="20">
        <v>0</v>
      </c>
      <c r="E9" s="19">
        <f t="shared" si="2"/>
        <v>5600000</v>
      </c>
      <c r="F9" s="20">
        <f>2222431+1092895</f>
        <v>3315326</v>
      </c>
      <c r="G9" s="20">
        <v>0</v>
      </c>
      <c r="H9" s="19">
        <f t="shared" si="3"/>
        <v>3315326</v>
      </c>
      <c r="I9" s="7">
        <f t="shared" si="0"/>
        <v>0.5920225</v>
      </c>
    </row>
    <row r="10" spans="1:9" s="21" customFormat="1" ht="12" customHeight="1">
      <c r="A10" s="56"/>
      <c r="B10" s="17" t="s">
        <v>9</v>
      </c>
      <c r="C10" s="20">
        <v>4738000</v>
      </c>
      <c r="D10" s="20">
        <v>0</v>
      </c>
      <c r="E10" s="19">
        <f t="shared" si="2"/>
        <v>4738000</v>
      </c>
      <c r="F10" s="20">
        <v>2726781</v>
      </c>
      <c r="G10" s="20">
        <v>0</v>
      </c>
      <c r="H10" s="19">
        <f t="shared" si="3"/>
        <v>2726781</v>
      </c>
      <c r="I10" s="7">
        <f t="shared" si="0"/>
        <v>0.5755130856901646</v>
      </c>
    </row>
    <row r="11" spans="1:9" s="21" customFormat="1" ht="12.75" customHeight="1">
      <c r="A11" s="56"/>
      <c r="B11" s="23" t="s">
        <v>10</v>
      </c>
      <c r="C11" s="20">
        <f>1300000+220000</f>
        <v>1520000</v>
      </c>
      <c r="D11" s="20">
        <v>0</v>
      </c>
      <c r="E11" s="19">
        <f t="shared" si="2"/>
        <v>1520000</v>
      </c>
      <c r="F11" s="20">
        <f>375174+49556</f>
        <v>424730</v>
      </c>
      <c r="G11" s="20">
        <v>0</v>
      </c>
      <c r="H11" s="19">
        <f t="shared" si="3"/>
        <v>424730</v>
      </c>
      <c r="I11" s="7">
        <f t="shared" si="0"/>
        <v>0.27942763157894734</v>
      </c>
    </row>
    <row r="12" spans="1:9" s="21" customFormat="1" ht="12" customHeight="1">
      <c r="A12" s="56"/>
      <c r="B12" s="23" t="s">
        <v>11</v>
      </c>
      <c r="C12" s="20">
        <f>SUM(C13:C18)</f>
        <v>1407600</v>
      </c>
      <c r="D12" s="20">
        <f>SUM(D13:D18)</f>
        <v>0</v>
      </c>
      <c r="E12" s="19">
        <f t="shared" si="2"/>
        <v>1407600</v>
      </c>
      <c r="F12" s="20">
        <f>SUM(F13:F18)</f>
        <v>1011841</v>
      </c>
      <c r="G12" s="20">
        <f>SUM(G13:G18)</f>
        <v>0</v>
      </c>
      <c r="H12" s="19">
        <f t="shared" si="3"/>
        <v>1011841</v>
      </c>
      <c r="I12" s="7">
        <f t="shared" si="0"/>
        <v>0.7188412901392441</v>
      </c>
    </row>
    <row r="13" spans="1:9" s="27" customFormat="1" ht="12" customHeight="1">
      <c r="A13" s="57"/>
      <c r="B13" s="24" t="s">
        <v>12</v>
      </c>
      <c r="C13" s="26">
        <f>400+29000</f>
        <v>29400</v>
      </c>
      <c r="D13" s="26">
        <v>0</v>
      </c>
      <c r="E13" s="25">
        <f t="shared" si="2"/>
        <v>29400</v>
      </c>
      <c r="F13" s="26">
        <f>743+19313</f>
        <v>20056</v>
      </c>
      <c r="G13" s="26">
        <v>0</v>
      </c>
      <c r="H13" s="25">
        <f t="shared" si="3"/>
        <v>20056</v>
      </c>
      <c r="I13" s="7">
        <f t="shared" si="0"/>
        <v>0.6821768707482994</v>
      </c>
    </row>
    <row r="14" spans="1:9" s="27" customFormat="1" ht="11.25" customHeight="1">
      <c r="A14" s="57"/>
      <c r="B14" s="28" t="s">
        <v>13</v>
      </c>
      <c r="C14" s="26">
        <f>3200+67000</f>
        <v>70200</v>
      </c>
      <c r="D14" s="26">
        <v>0</v>
      </c>
      <c r="E14" s="25">
        <f t="shared" si="2"/>
        <v>70200</v>
      </c>
      <c r="F14" s="26">
        <f>36949+2397</f>
        <v>39346</v>
      </c>
      <c r="G14" s="26">
        <v>0</v>
      </c>
      <c r="H14" s="25">
        <f t="shared" si="3"/>
        <v>39346</v>
      </c>
      <c r="I14" s="7">
        <f t="shared" si="0"/>
        <v>0.5604843304843304</v>
      </c>
    </row>
    <row r="15" spans="1:9" s="29" customFormat="1" ht="12.75" customHeight="1">
      <c r="A15" s="57"/>
      <c r="B15" s="24" t="s">
        <v>14</v>
      </c>
      <c r="C15" s="26">
        <v>2000</v>
      </c>
      <c r="D15" s="26">
        <v>0</v>
      </c>
      <c r="E15" s="25">
        <f t="shared" si="2"/>
        <v>2000</v>
      </c>
      <c r="F15" s="26">
        <v>880</v>
      </c>
      <c r="G15" s="26">
        <v>0</v>
      </c>
      <c r="H15" s="25">
        <f t="shared" si="3"/>
        <v>880</v>
      </c>
      <c r="I15" s="7">
        <f t="shared" si="0"/>
        <v>0.44</v>
      </c>
    </row>
    <row r="16" spans="1:9" s="27" customFormat="1" ht="12.75" customHeight="1">
      <c r="A16" s="57"/>
      <c r="B16" s="24" t="s">
        <v>15</v>
      </c>
      <c r="C16" s="26">
        <v>6000</v>
      </c>
      <c r="D16" s="26">
        <v>0</v>
      </c>
      <c r="E16" s="25">
        <f t="shared" si="2"/>
        <v>6000</v>
      </c>
      <c r="F16" s="26">
        <v>4866</v>
      </c>
      <c r="G16" s="26">
        <v>0</v>
      </c>
      <c r="H16" s="25">
        <f t="shared" si="3"/>
        <v>4866</v>
      </c>
      <c r="I16" s="7">
        <f t="shared" si="0"/>
        <v>0.811</v>
      </c>
    </row>
    <row r="17" spans="1:9" s="27" customFormat="1" ht="12.75" customHeight="1">
      <c r="A17" s="57"/>
      <c r="B17" s="24" t="s">
        <v>16</v>
      </c>
      <c r="C17" s="26">
        <v>100000</v>
      </c>
      <c r="D17" s="26">
        <v>0</v>
      </c>
      <c r="E17" s="25">
        <f t="shared" si="2"/>
        <v>100000</v>
      </c>
      <c r="F17" s="26">
        <v>75057</v>
      </c>
      <c r="G17" s="26">
        <v>0</v>
      </c>
      <c r="H17" s="25">
        <f t="shared" si="3"/>
        <v>75057</v>
      </c>
      <c r="I17" s="7">
        <f t="shared" si="0"/>
        <v>0.75057</v>
      </c>
    </row>
    <row r="18" spans="1:9" s="9" customFormat="1" ht="12" customHeight="1">
      <c r="A18" s="58"/>
      <c r="B18" s="30" t="s">
        <v>17</v>
      </c>
      <c r="C18" s="26">
        <f>1200000</f>
        <v>1200000</v>
      </c>
      <c r="D18" s="26">
        <v>0</v>
      </c>
      <c r="E18" s="25">
        <f t="shared" si="2"/>
        <v>1200000</v>
      </c>
      <c r="F18" s="26">
        <f>633073+238563</f>
        <v>871636</v>
      </c>
      <c r="G18" s="26">
        <v>0</v>
      </c>
      <c r="H18" s="25">
        <f t="shared" si="3"/>
        <v>871636</v>
      </c>
      <c r="I18" s="7">
        <f t="shared" si="0"/>
        <v>0.7263633333333334</v>
      </c>
    </row>
    <row r="19" spans="1:9" s="15" customFormat="1" ht="18" customHeight="1">
      <c r="A19" s="31">
        <v>2</v>
      </c>
      <c r="B19" s="32" t="s">
        <v>18</v>
      </c>
      <c r="C19" s="14">
        <f>SUM(C20:C23)</f>
        <v>21600000</v>
      </c>
      <c r="D19" s="14">
        <f>SUM(D20:D23)</f>
        <v>0</v>
      </c>
      <c r="E19" s="14">
        <f t="shared" si="2"/>
        <v>21600000</v>
      </c>
      <c r="F19" s="14">
        <f>SUM(F20:F23)</f>
        <v>14383740</v>
      </c>
      <c r="G19" s="14">
        <f>SUM(G20:G23)</f>
        <v>0</v>
      </c>
      <c r="H19" s="14">
        <f t="shared" si="3"/>
        <v>14383740</v>
      </c>
      <c r="I19" s="7">
        <f t="shared" si="0"/>
        <v>0.6659138888888889</v>
      </c>
    </row>
    <row r="20" spans="1:9" s="21" customFormat="1" ht="12" customHeight="1">
      <c r="A20" s="56"/>
      <c r="B20" s="23" t="s">
        <v>19</v>
      </c>
      <c r="C20" s="20">
        <f>900000+100000</f>
        <v>1000000</v>
      </c>
      <c r="D20" s="20"/>
      <c r="E20" s="19">
        <f t="shared" si="2"/>
        <v>1000000</v>
      </c>
      <c r="F20" s="20">
        <v>483567</v>
      </c>
      <c r="G20" s="20"/>
      <c r="H20" s="19">
        <f t="shared" si="3"/>
        <v>483567</v>
      </c>
      <c r="I20" s="7">
        <f t="shared" si="0"/>
        <v>0.483567</v>
      </c>
    </row>
    <row r="21" spans="1:9" s="21" customFormat="1" ht="14.25" customHeight="1">
      <c r="A21" s="56"/>
      <c r="B21" s="23" t="s">
        <v>20</v>
      </c>
      <c r="C21" s="20">
        <f>3200000+200000+100000</f>
        <v>3500000</v>
      </c>
      <c r="D21" s="20"/>
      <c r="E21" s="19">
        <f t="shared" si="2"/>
        <v>3500000</v>
      </c>
      <c r="F21" s="20">
        <v>2620956</v>
      </c>
      <c r="G21" s="20"/>
      <c r="H21" s="19">
        <f t="shared" si="3"/>
        <v>2620956</v>
      </c>
      <c r="I21" s="7">
        <f t="shared" si="0"/>
        <v>0.7488445714285714</v>
      </c>
    </row>
    <row r="22" spans="1:9" s="21" customFormat="1" ht="12.75" customHeight="1">
      <c r="A22" s="56"/>
      <c r="B22" s="23" t="s">
        <v>21</v>
      </c>
      <c r="C22" s="20">
        <f>14000000+3000000</f>
        <v>17000000</v>
      </c>
      <c r="D22" s="20"/>
      <c r="E22" s="19">
        <f t="shared" si="2"/>
        <v>17000000</v>
      </c>
      <c r="F22" s="20">
        <f>8236352+3018036</f>
        <v>11254388</v>
      </c>
      <c r="G22" s="20"/>
      <c r="H22" s="19">
        <f t="shared" si="3"/>
        <v>11254388</v>
      </c>
      <c r="I22" s="7">
        <f t="shared" si="0"/>
        <v>0.6620228235294118</v>
      </c>
    </row>
    <row r="23" spans="1:9" s="21" customFormat="1" ht="21" customHeight="1">
      <c r="A23" s="56"/>
      <c r="B23" s="23" t="s">
        <v>22</v>
      </c>
      <c r="C23" s="20">
        <f>60000+40000</f>
        <v>100000</v>
      </c>
      <c r="D23" s="20"/>
      <c r="E23" s="19">
        <f t="shared" si="2"/>
        <v>100000</v>
      </c>
      <c r="F23" s="20">
        <f>19655+5234-60</f>
        <v>24829</v>
      </c>
      <c r="G23" s="20"/>
      <c r="H23" s="19">
        <f t="shared" si="3"/>
        <v>24829</v>
      </c>
      <c r="I23" s="7">
        <f t="shared" si="0"/>
        <v>0.24829</v>
      </c>
    </row>
    <row r="24" spans="1:9" s="16" customFormat="1" ht="14.25" customHeight="1">
      <c r="A24" s="31">
        <v>3</v>
      </c>
      <c r="B24" s="33" t="s">
        <v>23</v>
      </c>
      <c r="C24" s="14">
        <f>SUM(C25:C30)</f>
        <v>51934235</v>
      </c>
      <c r="D24" s="14">
        <f>SUM(D25:D30)</f>
        <v>98361</v>
      </c>
      <c r="E24" s="34">
        <f t="shared" si="2"/>
        <v>52032596</v>
      </c>
      <c r="F24" s="14">
        <f>SUM(F25:F30)</f>
        <v>36545489</v>
      </c>
      <c r="G24" s="14">
        <f>SUM(G25:G30)</f>
        <v>105702</v>
      </c>
      <c r="H24" s="34">
        <f t="shared" si="3"/>
        <v>36651191</v>
      </c>
      <c r="I24" s="7">
        <f t="shared" si="0"/>
        <v>0.7043890525854216</v>
      </c>
    </row>
    <row r="25" spans="1:9" s="21" customFormat="1" ht="13.5" customHeight="1">
      <c r="A25" s="56"/>
      <c r="B25" s="23" t="s">
        <v>24</v>
      </c>
      <c r="C25" s="20">
        <f>23410000+1200000+1000000</f>
        <v>25610000</v>
      </c>
      <c r="D25" s="20"/>
      <c r="E25" s="19">
        <f t="shared" si="2"/>
        <v>25610000</v>
      </c>
      <c r="F25" s="20">
        <f>857852+22039411</f>
        <v>22897263</v>
      </c>
      <c r="G25" s="20"/>
      <c r="H25" s="19">
        <f t="shared" si="3"/>
        <v>22897263</v>
      </c>
      <c r="I25" s="7">
        <f t="shared" si="0"/>
        <v>0.8940750878563062</v>
      </c>
    </row>
    <row r="26" spans="1:9" s="21" customFormat="1" ht="12" customHeight="1">
      <c r="A26" s="56"/>
      <c r="B26" s="23" t="s">
        <v>25</v>
      </c>
      <c r="C26" s="20">
        <v>6800000</v>
      </c>
      <c r="D26" s="20"/>
      <c r="E26" s="19">
        <f t="shared" si="2"/>
        <v>6800000</v>
      </c>
      <c r="F26" s="20">
        <v>3412758</v>
      </c>
      <c r="G26" s="20"/>
      <c r="H26" s="19">
        <f t="shared" si="3"/>
        <v>3412758</v>
      </c>
      <c r="I26" s="7">
        <f t="shared" si="0"/>
        <v>0.5018761764705882</v>
      </c>
    </row>
    <row r="27" spans="1:9" s="21" customFormat="1" ht="13.5" customHeight="1">
      <c r="A27" s="56"/>
      <c r="B27" s="23" t="s">
        <v>26</v>
      </c>
      <c r="C27" s="20">
        <v>5550000</v>
      </c>
      <c r="D27" s="20"/>
      <c r="E27" s="19">
        <f t="shared" si="2"/>
        <v>5550000</v>
      </c>
      <c r="F27" s="20">
        <v>2404038</v>
      </c>
      <c r="G27" s="20"/>
      <c r="H27" s="19">
        <f t="shared" si="3"/>
        <v>2404038</v>
      </c>
      <c r="I27" s="7">
        <f t="shared" si="0"/>
        <v>0.43316</v>
      </c>
    </row>
    <row r="28" spans="1:9" s="21" customFormat="1" ht="12.75" customHeight="1">
      <c r="A28" s="56"/>
      <c r="B28" s="23" t="s">
        <v>27</v>
      </c>
      <c r="C28" s="20">
        <v>2200000</v>
      </c>
      <c r="D28" s="20"/>
      <c r="E28" s="19">
        <f t="shared" si="2"/>
        <v>2200000</v>
      </c>
      <c r="F28" s="20">
        <v>2271352</v>
      </c>
      <c r="G28" s="20"/>
      <c r="H28" s="19">
        <f t="shared" si="3"/>
        <v>2271352</v>
      </c>
      <c r="I28" s="7">
        <f t="shared" si="0"/>
        <v>1.0324327272727272</v>
      </c>
    </row>
    <row r="29" spans="1:9" s="29" customFormat="1" ht="11.25" customHeight="1">
      <c r="A29" s="59"/>
      <c r="B29" s="17" t="s">
        <v>28</v>
      </c>
      <c r="C29" s="20">
        <v>250000</v>
      </c>
      <c r="D29" s="20"/>
      <c r="E29" s="19">
        <f t="shared" si="2"/>
        <v>250000</v>
      </c>
      <c r="F29" s="20">
        <v>0</v>
      </c>
      <c r="G29" s="20"/>
      <c r="H29" s="19">
        <f t="shared" si="3"/>
        <v>0</v>
      </c>
      <c r="I29" s="7">
        <f t="shared" si="0"/>
        <v>0</v>
      </c>
    </row>
    <row r="30" spans="1:9" s="21" customFormat="1" ht="11.25" customHeight="1">
      <c r="A30" s="56"/>
      <c r="B30" s="23" t="s">
        <v>11</v>
      </c>
      <c r="C30" s="20">
        <f>SUM(C31:C35)</f>
        <v>11524235</v>
      </c>
      <c r="D30" s="20">
        <f>SUM(D31:D35)</f>
        <v>98361</v>
      </c>
      <c r="E30" s="19">
        <f t="shared" si="2"/>
        <v>11622596</v>
      </c>
      <c r="F30" s="20">
        <f>SUM(F31:F35)</f>
        <v>5560078</v>
      </c>
      <c r="G30" s="20">
        <f>SUM(G31:G35)</f>
        <v>105702</v>
      </c>
      <c r="H30" s="19">
        <f t="shared" si="3"/>
        <v>5665780</v>
      </c>
      <c r="I30" s="7">
        <f t="shared" si="0"/>
        <v>0.48747973344337187</v>
      </c>
    </row>
    <row r="31" spans="1:9" s="27" customFormat="1" ht="10.5" customHeight="1">
      <c r="A31" s="59"/>
      <c r="B31" s="24" t="s">
        <v>29</v>
      </c>
      <c r="C31" s="26">
        <v>460000</v>
      </c>
      <c r="D31" s="26"/>
      <c r="E31" s="25">
        <f t="shared" si="2"/>
        <v>460000</v>
      </c>
      <c r="F31" s="26">
        <f>5500+270677</f>
        <v>276177</v>
      </c>
      <c r="G31" s="26">
        <v>2500</v>
      </c>
      <c r="H31" s="25">
        <f t="shared" si="3"/>
        <v>278677</v>
      </c>
      <c r="I31" s="7">
        <f t="shared" si="0"/>
        <v>0.6058195652173913</v>
      </c>
    </row>
    <row r="32" spans="1:9" s="71" customFormat="1" ht="24" customHeight="1">
      <c r="A32" s="66"/>
      <c r="B32" s="67" t="s">
        <v>30</v>
      </c>
      <c r="C32" s="26">
        <f>31200+26620+290000+510000+736+10059812+18893</f>
        <v>10937261</v>
      </c>
      <c r="D32" s="68">
        <v>82000</v>
      </c>
      <c r="E32" s="69">
        <f t="shared" si="2"/>
        <v>11019261</v>
      </c>
      <c r="F32" s="26">
        <f>13657+4691223+135818+162226+46444+14537+110011+5371+7506+9514</f>
        <v>5196307</v>
      </c>
      <c r="G32" s="26">
        <f>50111+1081+1649+900+11385+11824</f>
        <v>76950</v>
      </c>
      <c r="H32" s="25">
        <f t="shared" si="3"/>
        <v>5273257</v>
      </c>
      <c r="I32" s="70">
        <f t="shared" si="0"/>
        <v>0.4785490605948983</v>
      </c>
    </row>
    <row r="33" spans="1:9" s="71" customFormat="1" ht="12.75" customHeight="1">
      <c r="A33" s="66"/>
      <c r="B33" s="67" t="s">
        <v>156</v>
      </c>
      <c r="C33" s="68"/>
      <c r="D33" s="68"/>
      <c r="E33" s="69">
        <f t="shared" si="2"/>
        <v>0</v>
      </c>
      <c r="F33" s="26">
        <v>17035</v>
      </c>
      <c r="G33" s="26"/>
      <c r="H33" s="25">
        <f t="shared" si="3"/>
        <v>17035</v>
      </c>
      <c r="I33" s="70"/>
    </row>
    <row r="34" spans="1:9" s="29" customFormat="1" ht="13.5" customHeight="1">
      <c r="A34" s="59"/>
      <c r="B34" s="24" t="s">
        <v>31</v>
      </c>
      <c r="C34" s="26">
        <f>96488+8095+7506+9514+5371</f>
        <v>126974</v>
      </c>
      <c r="D34" s="26">
        <f>11700+4661</f>
        <v>16361</v>
      </c>
      <c r="E34" s="25">
        <f t="shared" si="2"/>
        <v>143335</v>
      </c>
      <c r="F34" s="26">
        <f>73233-5371-7506-9514+19717</f>
        <v>70559</v>
      </c>
      <c r="G34" s="26">
        <f>15607+10645</f>
        <v>26252</v>
      </c>
      <c r="H34" s="25">
        <f t="shared" si="3"/>
        <v>96811</v>
      </c>
      <c r="I34" s="7">
        <f aca="true" t="shared" si="4" ref="I34:I59">H34/E34</f>
        <v>0.6754177277008407</v>
      </c>
    </row>
    <row r="35" spans="1:9" s="29" customFormat="1" ht="27" customHeight="1" hidden="1">
      <c r="A35" s="59"/>
      <c r="B35" s="28" t="s">
        <v>32</v>
      </c>
      <c r="C35" s="26"/>
      <c r="D35" s="26"/>
      <c r="E35" s="25">
        <f t="shared" si="2"/>
        <v>0</v>
      </c>
      <c r="F35" s="26"/>
      <c r="G35" s="26"/>
      <c r="H35" s="25">
        <f t="shared" si="3"/>
        <v>0</v>
      </c>
      <c r="I35" s="7" t="e">
        <f t="shared" si="4"/>
        <v>#DIV/0!</v>
      </c>
    </row>
    <row r="36" spans="1:9" s="16" customFormat="1" ht="13.5" customHeight="1">
      <c r="A36" s="31">
        <v>4</v>
      </c>
      <c r="B36" s="33" t="s">
        <v>33</v>
      </c>
      <c r="C36" s="14">
        <f>SUM(C37:C53)</f>
        <v>74027308</v>
      </c>
      <c r="D36" s="14">
        <f>SUM(D37:D53)</f>
        <v>7935500</v>
      </c>
      <c r="E36" s="34">
        <f t="shared" si="2"/>
        <v>81962808</v>
      </c>
      <c r="F36" s="14">
        <f>SUM(F37:F53)</f>
        <v>40840941</v>
      </c>
      <c r="G36" s="14">
        <f>SUM(G37:G53)</f>
        <v>6372588</v>
      </c>
      <c r="H36" s="34">
        <f t="shared" si="3"/>
        <v>47213529</v>
      </c>
      <c r="I36" s="7">
        <f t="shared" si="4"/>
        <v>0.5760360113577367</v>
      </c>
    </row>
    <row r="37" spans="1:9" s="21" customFormat="1" ht="18" customHeight="1" hidden="1">
      <c r="A37" s="56"/>
      <c r="B37" s="23" t="s">
        <v>34</v>
      </c>
      <c r="C37" s="19"/>
      <c r="D37" s="19"/>
      <c r="E37" s="19">
        <f t="shared" si="2"/>
        <v>0</v>
      </c>
      <c r="F37" s="19"/>
      <c r="G37" s="19"/>
      <c r="H37" s="19">
        <f t="shared" si="3"/>
        <v>0</v>
      </c>
      <c r="I37" s="7" t="e">
        <f t="shared" si="4"/>
        <v>#DIV/0!</v>
      </c>
    </row>
    <row r="38" spans="1:9" s="21" customFormat="1" ht="11.25" customHeight="1">
      <c r="A38" s="56"/>
      <c r="B38" s="23" t="s">
        <v>35</v>
      </c>
      <c r="C38" s="20">
        <f>64092607-26620+880195</f>
        <v>64946182</v>
      </c>
      <c r="D38" s="20"/>
      <c r="E38" s="19">
        <f t="shared" si="2"/>
        <v>64946182</v>
      </c>
      <c r="F38" s="20">
        <f>31393035+50698+398293</f>
        <v>31842026</v>
      </c>
      <c r="G38" s="20"/>
      <c r="H38" s="19">
        <f t="shared" si="3"/>
        <v>31842026</v>
      </c>
      <c r="I38" s="7">
        <f t="shared" si="4"/>
        <v>0.49028326253266125</v>
      </c>
    </row>
    <row r="39" spans="1:9" s="21" customFormat="1" ht="13.5" customHeight="1">
      <c r="A39" s="56"/>
      <c r="B39" s="23" t="s">
        <v>36</v>
      </c>
      <c r="C39" s="20">
        <v>184000</v>
      </c>
      <c r="D39" s="20"/>
      <c r="E39" s="19">
        <f t="shared" si="2"/>
        <v>184000</v>
      </c>
      <c r="F39" s="20">
        <v>89979</v>
      </c>
      <c r="G39" s="20"/>
      <c r="H39" s="19">
        <f t="shared" si="3"/>
        <v>89979</v>
      </c>
      <c r="I39" s="7">
        <f t="shared" si="4"/>
        <v>0.4890163043478261</v>
      </c>
    </row>
    <row r="40" spans="1:9" s="21" customFormat="1" ht="21.75" customHeight="1">
      <c r="A40" s="56"/>
      <c r="B40" s="23" t="s">
        <v>37</v>
      </c>
      <c r="C40" s="20">
        <v>700000</v>
      </c>
      <c r="D40" s="20"/>
      <c r="E40" s="19">
        <f aca="true" t="shared" si="5" ref="E40:E73">SUM(C40:D40)</f>
        <v>700000</v>
      </c>
      <c r="F40" s="20">
        <f>168524+188332</f>
        <v>356856</v>
      </c>
      <c r="G40" s="20"/>
      <c r="H40" s="19">
        <f aca="true" t="shared" si="6" ref="H40:H73">SUM(F40:G40)</f>
        <v>356856</v>
      </c>
      <c r="I40" s="7">
        <f t="shared" si="4"/>
        <v>0.5097942857142858</v>
      </c>
    </row>
    <row r="41" spans="1:9" s="21" customFormat="1" ht="11.25" customHeight="1">
      <c r="A41" s="56"/>
      <c r="B41" s="23" t="s">
        <v>38</v>
      </c>
      <c r="C41" s="20">
        <f>990000-510000</f>
        <v>480000</v>
      </c>
      <c r="D41" s="20"/>
      <c r="E41" s="19">
        <f t="shared" si="5"/>
        <v>480000</v>
      </c>
      <c r="F41" s="20">
        <v>229047</v>
      </c>
      <c r="G41" s="20"/>
      <c r="H41" s="19">
        <f t="shared" si="6"/>
        <v>229047</v>
      </c>
      <c r="I41" s="7">
        <f t="shared" si="4"/>
        <v>0.47718125</v>
      </c>
    </row>
    <row r="42" spans="1:9" s="21" customFormat="1" ht="13.5" customHeight="1">
      <c r="A42" s="56"/>
      <c r="B42" s="23" t="s">
        <v>39</v>
      </c>
      <c r="C42" s="20"/>
      <c r="D42" s="20">
        <v>420000</v>
      </c>
      <c r="E42" s="19">
        <f t="shared" si="5"/>
        <v>420000</v>
      </c>
      <c r="F42" s="20"/>
      <c r="G42" s="20">
        <v>221921</v>
      </c>
      <c r="H42" s="19">
        <f t="shared" si="6"/>
        <v>221921</v>
      </c>
      <c r="I42" s="7">
        <f t="shared" si="4"/>
        <v>0.5283833333333333</v>
      </c>
    </row>
    <row r="43" spans="1:9" s="21" customFormat="1" ht="35.25" customHeight="1">
      <c r="A43" s="56"/>
      <c r="B43" s="23" t="s">
        <v>40</v>
      </c>
      <c r="C43" s="20">
        <f>9000+26000+420000</f>
        <v>455000</v>
      </c>
      <c r="D43" s="20">
        <f>33000+2000+23000</f>
        <v>58000</v>
      </c>
      <c r="E43" s="19">
        <f t="shared" si="5"/>
        <v>513000</v>
      </c>
      <c r="F43" s="20">
        <f>2956+11583+328084</f>
        <v>342623</v>
      </c>
      <c r="G43" s="20">
        <f>94139+24630</f>
        <v>118769</v>
      </c>
      <c r="H43" s="19">
        <f t="shared" si="6"/>
        <v>461392</v>
      </c>
      <c r="I43" s="7">
        <f t="shared" si="4"/>
        <v>0.8993996101364522</v>
      </c>
    </row>
    <row r="44" spans="1:9" s="21" customFormat="1" ht="12" customHeight="1">
      <c r="A44" s="60"/>
      <c r="B44" s="17" t="s">
        <v>41</v>
      </c>
      <c r="C44" s="20"/>
      <c r="D44" s="20">
        <v>2125000</v>
      </c>
      <c r="E44" s="19">
        <f t="shared" si="5"/>
        <v>2125000</v>
      </c>
      <c r="F44" s="20"/>
      <c r="G44" s="20">
        <v>1834580</v>
      </c>
      <c r="H44" s="19">
        <f t="shared" si="6"/>
        <v>1834580</v>
      </c>
      <c r="I44" s="7">
        <f t="shared" si="4"/>
        <v>0.8633317647058824</v>
      </c>
    </row>
    <row r="45" spans="1:9" s="21" customFormat="1" ht="21" customHeight="1">
      <c r="A45" s="60"/>
      <c r="B45" s="23" t="s">
        <v>42</v>
      </c>
      <c r="C45" s="20">
        <f>61325+325+460-9225-40</f>
        <v>52845</v>
      </c>
      <c r="D45" s="20">
        <f>850+150</f>
        <v>1000</v>
      </c>
      <c r="E45" s="19">
        <f t="shared" si="5"/>
        <v>53845</v>
      </c>
      <c r="F45" s="20">
        <f>25266+229+409</f>
        <v>25904</v>
      </c>
      <c r="G45" s="20">
        <f>33622+595</f>
        <v>34217</v>
      </c>
      <c r="H45" s="19">
        <f t="shared" si="6"/>
        <v>60121</v>
      </c>
      <c r="I45" s="7">
        <f t="shared" si="4"/>
        <v>1.1165567833596435</v>
      </c>
    </row>
    <row r="46" spans="1:9" s="21" customFormat="1" ht="13.5" customHeight="1">
      <c r="A46" s="56"/>
      <c r="B46" s="17" t="s">
        <v>43</v>
      </c>
      <c r="C46" s="20">
        <v>4180000</v>
      </c>
      <c r="D46" s="20"/>
      <c r="E46" s="19">
        <f t="shared" si="5"/>
        <v>4180000</v>
      </c>
      <c r="F46" s="20">
        <v>3340363</v>
      </c>
      <c r="G46" s="20"/>
      <c r="H46" s="19">
        <f t="shared" si="6"/>
        <v>3340363</v>
      </c>
      <c r="I46" s="7">
        <f t="shared" si="4"/>
        <v>0.7991299043062201</v>
      </c>
    </row>
    <row r="47" spans="1:9" s="21" customFormat="1" ht="22.5" customHeight="1">
      <c r="A47" s="61"/>
      <c r="B47" s="35" t="s">
        <v>44</v>
      </c>
      <c r="C47" s="20"/>
      <c r="D47" s="20">
        <v>4500000</v>
      </c>
      <c r="E47" s="19">
        <f t="shared" si="5"/>
        <v>4500000</v>
      </c>
      <c r="F47" s="20"/>
      <c r="G47" s="20">
        <v>3138403</v>
      </c>
      <c r="H47" s="19">
        <f t="shared" si="6"/>
        <v>3138403</v>
      </c>
      <c r="I47" s="7">
        <f t="shared" si="4"/>
        <v>0.6974228888888889</v>
      </c>
    </row>
    <row r="48" spans="1:9" s="21" customFormat="1" ht="13.5" customHeight="1">
      <c r="A48" s="56"/>
      <c r="B48" s="23" t="s">
        <v>45</v>
      </c>
      <c r="C48" s="20">
        <v>70000</v>
      </c>
      <c r="D48" s="20"/>
      <c r="E48" s="19">
        <f t="shared" si="5"/>
        <v>70000</v>
      </c>
      <c r="F48" s="20">
        <v>40214</v>
      </c>
      <c r="G48" s="20"/>
      <c r="H48" s="19">
        <f t="shared" si="6"/>
        <v>40214</v>
      </c>
      <c r="I48" s="7">
        <f t="shared" si="4"/>
        <v>0.5744857142857143</v>
      </c>
    </row>
    <row r="49" spans="1:9" s="22" customFormat="1" ht="26.25" customHeight="1">
      <c r="A49" s="60"/>
      <c r="B49" s="23" t="s">
        <v>46</v>
      </c>
      <c r="C49" s="20"/>
      <c r="D49" s="20">
        <f>790000+41500</f>
        <v>831500</v>
      </c>
      <c r="E49" s="19">
        <f t="shared" si="5"/>
        <v>831500</v>
      </c>
      <c r="F49" s="20"/>
      <c r="G49" s="20">
        <f>388078+277352</f>
        <v>665430</v>
      </c>
      <c r="H49" s="19">
        <f t="shared" si="6"/>
        <v>665430</v>
      </c>
      <c r="I49" s="7">
        <f t="shared" si="4"/>
        <v>0.8002766085387854</v>
      </c>
    </row>
    <row r="50" spans="1:9" s="2" customFormat="1" ht="12" customHeight="1">
      <c r="A50" s="61"/>
      <c r="B50" s="35" t="s">
        <v>47</v>
      </c>
      <c r="C50" s="20">
        <v>700000</v>
      </c>
      <c r="D50" s="20"/>
      <c r="E50" s="19">
        <f t="shared" si="5"/>
        <v>700000</v>
      </c>
      <c r="F50" s="20">
        <f>1620276+8</f>
        <v>1620284</v>
      </c>
      <c r="G50" s="20">
        <v>53</v>
      </c>
      <c r="H50" s="19">
        <f t="shared" si="6"/>
        <v>1620337</v>
      </c>
      <c r="I50" s="7">
        <f t="shared" si="4"/>
        <v>2.314767142857143</v>
      </c>
    </row>
    <row r="51" spans="1:9" s="2" customFormat="1" ht="21" customHeight="1">
      <c r="A51" s="61"/>
      <c r="B51" s="23" t="s">
        <v>150</v>
      </c>
      <c r="C51" s="20">
        <v>2209281</v>
      </c>
      <c r="D51" s="20"/>
      <c r="E51" s="19">
        <f t="shared" si="5"/>
        <v>2209281</v>
      </c>
      <c r="F51" s="20">
        <f>295983+1983097</f>
        <v>2279080</v>
      </c>
      <c r="G51" s="20"/>
      <c r="H51" s="19">
        <f t="shared" si="6"/>
        <v>2279080</v>
      </c>
      <c r="I51" s="7">
        <f t="shared" si="4"/>
        <v>1.031593536539716</v>
      </c>
    </row>
    <row r="52" spans="1:9" s="21" customFormat="1" ht="14.25" customHeight="1" hidden="1">
      <c r="A52" s="56"/>
      <c r="B52" s="23" t="s">
        <v>48</v>
      </c>
      <c r="C52" s="20">
        <f>110000-110000</f>
        <v>0</v>
      </c>
      <c r="D52" s="20"/>
      <c r="E52" s="19">
        <f t="shared" si="5"/>
        <v>0</v>
      </c>
      <c r="F52" s="20">
        <f>110000-110000</f>
        <v>0</v>
      </c>
      <c r="G52" s="20"/>
      <c r="H52" s="19">
        <f t="shared" si="6"/>
        <v>0</v>
      </c>
      <c r="I52" s="7" t="e">
        <f t="shared" si="4"/>
        <v>#DIV/0!</v>
      </c>
    </row>
    <row r="53" spans="1:9" s="21" customFormat="1" ht="12" customHeight="1">
      <c r="A53" s="56"/>
      <c r="B53" s="23" t="s">
        <v>49</v>
      </c>
      <c r="C53" s="20">
        <f>SUM(C54:C61)</f>
        <v>50000</v>
      </c>
      <c r="D53" s="20">
        <f>SUM(D54:D61)</f>
        <v>0</v>
      </c>
      <c r="E53" s="19">
        <f t="shared" si="5"/>
        <v>50000</v>
      </c>
      <c r="F53" s="20">
        <f>SUM(F54:F61)</f>
        <v>674565</v>
      </c>
      <c r="G53" s="20">
        <f>SUM(G54:G61)</f>
        <v>359215</v>
      </c>
      <c r="H53" s="19">
        <f t="shared" si="6"/>
        <v>1033780</v>
      </c>
      <c r="I53" s="7">
        <f t="shared" si="4"/>
        <v>20.6756</v>
      </c>
    </row>
    <row r="54" spans="1:9" s="27" customFormat="1" ht="12.75" customHeight="1">
      <c r="A54" s="59"/>
      <c r="B54" s="24" t="s">
        <v>50</v>
      </c>
      <c r="C54" s="26">
        <v>50000</v>
      </c>
      <c r="D54" s="26"/>
      <c r="E54" s="25">
        <f t="shared" si="5"/>
        <v>50000</v>
      </c>
      <c r="F54" s="26">
        <v>51158</v>
      </c>
      <c r="G54" s="26"/>
      <c r="H54" s="25">
        <f t="shared" si="6"/>
        <v>51158</v>
      </c>
      <c r="I54" s="7">
        <f t="shared" si="4"/>
        <v>1.02316</v>
      </c>
    </row>
    <row r="55" spans="1:9" s="27" customFormat="1" ht="22.5" hidden="1">
      <c r="A55" s="57"/>
      <c r="B55" s="24" t="s">
        <v>51</v>
      </c>
      <c r="C55" s="26"/>
      <c r="D55" s="26"/>
      <c r="E55" s="25">
        <f t="shared" si="5"/>
        <v>0</v>
      </c>
      <c r="F55" s="26"/>
      <c r="G55" s="26"/>
      <c r="H55" s="25">
        <f t="shared" si="6"/>
        <v>0</v>
      </c>
      <c r="I55" s="7" t="e">
        <f t="shared" si="4"/>
        <v>#DIV/0!</v>
      </c>
    </row>
    <row r="56" spans="1:9" s="27" customFormat="1" ht="11.25" hidden="1">
      <c r="A56" s="57"/>
      <c r="B56" s="24" t="s">
        <v>52</v>
      </c>
      <c r="C56" s="26"/>
      <c r="D56" s="26"/>
      <c r="E56" s="25">
        <f t="shared" si="5"/>
        <v>0</v>
      </c>
      <c r="F56" s="26"/>
      <c r="G56" s="26"/>
      <c r="H56" s="25">
        <f t="shared" si="6"/>
        <v>0</v>
      </c>
      <c r="I56" s="7" t="e">
        <f t="shared" si="4"/>
        <v>#DIV/0!</v>
      </c>
    </row>
    <row r="57" spans="1:9" s="27" customFormat="1" ht="12" customHeight="1" hidden="1">
      <c r="A57" s="57"/>
      <c r="B57" s="24" t="s">
        <v>53</v>
      </c>
      <c r="C57" s="26"/>
      <c r="D57" s="26"/>
      <c r="E57" s="25">
        <f t="shared" si="5"/>
        <v>0</v>
      </c>
      <c r="F57" s="26"/>
      <c r="G57" s="26"/>
      <c r="H57" s="25">
        <f t="shared" si="6"/>
        <v>0</v>
      </c>
      <c r="I57" s="7" t="e">
        <f t="shared" si="4"/>
        <v>#DIV/0!</v>
      </c>
    </row>
    <row r="58" spans="1:9" s="27" customFormat="1" ht="22.5" customHeight="1" hidden="1">
      <c r="A58" s="57"/>
      <c r="B58" s="24" t="s">
        <v>52</v>
      </c>
      <c r="C58" s="26"/>
      <c r="D58" s="26"/>
      <c r="E58" s="25">
        <f t="shared" si="5"/>
        <v>0</v>
      </c>
      <c r="F58" s="26"/>
      <c r="G58" s="26"/>
      <c r="H58" s="25">
        <f t="shared" si="6"/>
        <v>0</v>
      </c>
      <c r="I58" s="7" t="e">
        <f t="shared" si="4"/>
        <v>#DIV/0!</v>
      </c>
    </row>
    <row r="59" spans="1:9" s="27" customFormat="1" ht="15" customHeight="1" hidden="1">
      <c r="A59" s="57"/>
      <c r="B59" s="24" t="s">
        <v>54</v>
      </c>
      <c r="C59" s="26"/>
      <c r="D59" s="26"/>
      <c r="E59" s="25">
        <f t="shared" si="5"/>
        <v>0</v>
      </c>
      <c r="F59" s="26"/>
      <c r="G59" s="26"/>
      <c r="H59" s="25">
        <f t="shared" si="6"/>
        <v>0</v>
      </c>
      <c r="I59" s="7" t="e">
        <f t="shared" si="4"/>
        <v>#DIV/0!</v>
      </c>
    </row>
    <row r="60" spans="1:9" s="27" customFormat="1" ht="15" customHeight="1">
      <c r="A60" s="57"/>
      <c r="B60" s="24" t="s">
        <v>55</v>
      </c>
      <c r="C60" s="26"/>
      <c r="D60" s="26"/>
      <c r="E60" s="25">
        <f t="shared" si="5"/>
        <v>0</v>
      </c>
      <c r="F60" s="26">
        <f>430+5+13961+41303+41745+17626+724+4011+364+38027+50+145259+17+10608+7445+290+663+13219+833+290+7180+851+22540+1140+717+27575+12036+1678+155+5515+250+900+26+16504+8798+703+12126+36640+2582+6+3330+5762+2834+2+111+85</f>
        <v>506916</v>
      </c>
      <c r="G60" s="26">
        <f>5744+245420+85+347+16801+3915+1+1111+13778+2446+14025+1247+948+166+532+45+587+1624+2176+826+879+1188+3074+21115+3257+1661+90+5054+471+5795+802+62+252+441+2900-4+268+86</f>
        <v>359215</v>
      </c>
      <c r="H60" s="25">
        <f t="shared" si="6"/>
        <v>866131</v>
      </c>
      <c r="I60" s="7"/>
    </row>
    <row r="61" spans="1:9" s="27" customFormat="1" ht="12.75" customHeight="1">
      <c r="A61" s="57"/>
      <c r="B61" s="24" t="s">
        <v>56</v>
      </c>
      <c r="C61" s="26"/>
      <c r="D61" s="26"/>
      <c r="E61" s="25">
        <f t="shared" si="5"/>
        <v>0</v>
      </c>
      <c r="F61" s="26">
        <f>112245+535+558+554+432+2019+148</f>
        <v>116491</v>
      </c>
      <c r="G61" s="26"/>
      <c r="H61" s="25">
        <f t="shared" si="6"/>
        <v>116491</v>
      </c>
      <c r="I61" s="7"/>
    </row>
    <row r="62" spans="1:9" s="16" customFormat="1" ht="27.75" customHeight="1">
      <c r="A62" s="31">
        <v>5</v>
      </c>
      <c r="B62" s="33" t="s">
        <v>169</v>
      </c>
      <c r="C62" s="14">
        <f>SUM(C63:C72)</f>
        <v>3853284</v>
      </c>
      <c r="D62" s="14">
        <f>SUM(D63:D72)</f>
        <v>1070025</v>
      </c>
      <c r="E62" s="34">
        <f t="shared" si="5"/>
        <v>4923309</v>
      </c>
      <c r="F62" s="14">
        <f>SUM(F63:F72)</f>
        <v>4987981</v>
      </c>
      <c r="G62" s="14">
        <f>SUM(G63:G72)</f>
        <v>350052</v>
      </c>
      <c r="H62" s="34">
        <f t="shared" si="6"/>
        <v>5338033</v>
      </c>
      <c r="I62" s="7">
        <f aca="true" t="shared" si="7" ref="I62:I85">H62/E62</f>
        <v>1.0842368415226427</v>
      </c>
    </row>
    <row r="63" spans="1:9" s="38" customFormat="1" ht="14.25" customHeight="1">
      <c r="A63" s="61"/>
      <c r="B63" s="36" t="s">
        <v>57</v>
      </c>
      <c r="C63" s="20">
        <v>78420</v>
      </c>
      <c r="D63" s="20">
        <f>507500+56265</f>
        <v>563765</v>
      </c>
      <c r="E63" s="19">
        <f t="shared" si="5"/>
        <v>642185</v>
      </c>
      <c r="F63" s="20">
        <v>17208</v>
      </c>
      <c r="G63" s="20">
        <v>33000</v>
      </c>
      <c r="H63" s="19">
        <f t="shared" si="6"/>
        <v>50208</v>
      </c>
      <c r="I63" s="7">
        <f t="shared" si="7"/>
        <v>0.07818307808497552</v>
      </c>
    </row>
    <row r="64" spans="1:9" ht="14.25" customHeight="1">
      <c r="A64" s="61"/>
      <c r="B64" s="39" t="s">
        <v>58</v>
      </c>
      <c r="C64" s="20"/>
      <c r="D64" s="20">
        <v>12500</v>
      </c>
      <c r="E64" s="19">
        <f t="shared" si="5"/>
        <v>12500</v>
      </c>
      <c r="F64" s="20"/>
      <c r="G64" s="20">
        <v>8788</v>
      </c>
      <c r="H64" s="19">
        <f t="shared" si="6"/>
        <v>8788</v>
      </c>
      <c r="I64" s="7">
        <f t="shared" si="7"/>
        <v>0.70304</v>
      </c>
    </row>
    <row r="65" spans="1:9" s="9" customFormat="1" ht="24" customHeight="1">
      <c r="A65" s="61"/>
      <c r="B65" s="40" t="s">
        <v>59</v>
      </c>
      <c r="C65" s="20"/>
      <c r="D65" s="20">
        <f>150000+97000</f>
        <v>247000</v>
      </c>
      <c r="E65" s="19">
        <f t="shared" si="5"/>
        <v>247000</v>
      </c>
      <c r="F65" s="20"/>
      <c r="G65" s="20">
        <v>123468</v>
      </c>
      <c r="H65" s="19">
        <f t="shared" si="6"/>
        <v>123468</v>
      </c>
      <c r="I65" s="7">
        <f t="shared" si="7"/>
        <v>0.49987044534412955</v>
      </c>
    </row>
    <row r="66" spans="1:9" s="9" customFormat="1" ht="12" customHeight="1">
      <c r="A66" s="61"/>
      <c r="B66" s="40" t="s">
        <v>60</v>
      </c>
      <c r="C66" s="20"/>
      <c r="D66" s="20">
        <v>162560</v>
      </c>
      <c r="E66" s="19">
        <f t="shared" si="5"/>
        <v>162560</v>
      </c>
      <c r="F66" s="20"/>
      <c r="G66" s="20">
        <v>105938</v>
      </c>
      <c r="H66" s="19">
        <f t="shared" si="6"/>
        <v>105938</v>
      </c>
      <c r="I66" s="7">
        <f t="shared" si="7"/>
        <v>0.651685531496063</v>
      </c>
    </row>
    <row r="67" spans="1:9" s="21" customFormat="1" ht="22.5" customHeight="1">
      <c r="A67" s="60"/>
      <c r="B67" s="17" t="s">
        <v>69</v>
      </c>
      <c r="C67" s="18"/>
      <c r="D67" s="18"/>
      <c r="E67" s="19">
        <f>SUM(C67:D67)</f>
        <v>0</v>
      </c>
      <c r="F67" s="18">
        <v>3080165</v>
      </c>
      <c r="G67" s="18"/>
      <c r="H67" s="19">
        <f>SUM(F67:G67)</f>
        <v>3080165</v>
      </c>
      <c r="I67" s="7"/>
    </row>
    <row r="68" spans="1:9" s="9" customFormat="1" ht="36" customHeight="1">
      <c r="A68" s="61"/>
      <c r="B68" s="40" t="s">
        <v>61</v>
      </c>
      <c r="C68" s="20"/>
      <c r="D68" s="20">
        <v>45000</v>
      </c>
      <c r="E68" s="19">
        <f t="shared" si="5"/>
        <v>45000</v>
      </c>
      <c r="F68" s="20"/>
      <c r="G68" s="20">
        <v>23010</v>
      </c>
      <c r="H68" s="19">
        <f t="shared" si="6"/>
        <v>23010</v>
      </c>
      <c r="I68" s="7">
        <f t="shared" si="7"/>
        <v>0.5113333333333333</v>
      </c>
    </row>
    <row r="69" spans="1:9" s="9" customFormat="1" ht="12.75" customHeight="1">
      <c r="A69" s="61"/>
      <c r="B69" s="40" t="s">
        <v>62</v>
      </c>
      <c r="C69" s="20"/>
      <c r="D69" s="20">
        <v>39200</v>
      </c>
      <c r="E69" s="19">
        <f t="shared" si="5"/>
        <v>39200</v>
      </c>
      <c r="F69" s="20"/>
      <c r="G69" s="20">
        <v>55848</v>
      </c>
      <c r="H69" s="19">
        <f t="shared" si="6"/>
        <v>55848</v>
      </c>
      <c r="I69" s="7">
        <f t="shared" si="7"/>
        <v>1.4246938775510205</v>
      </c>
    </row>
    <row r="70" spans="1:9" s="9" customFormat="1" ht="12.75" customHeight="1">
      <c r="A70" s="61"/>
      <c r="B70" s="40" t="s">
        <v>168</v>
      </c>
      <c r="C70" s="20"/>
      <c r="D70" s="20"/>
      <c r="E70" s="19">
        <f t="shared" si="5"/>
        <v>0</v>
      </c>
      <c r="F70" s="20">
        <v>30270</v>
      </c>
      <c r="G70" s="20"/>
      <c r="H70" s="19">
        <f t="shared" si="6"/>
        <v>30270</v>
      </c>
      <c r="I70" s="7"/>
    </row>
    <row r="71" spans="1:9" s="9" customFormat="1" ht="33" customHeight="1">
      <c r="A71" s="61"/>
      <c r="B71" s="40" t="s">
        <v>159</v>
      </c>
      <c r="C71" s="20">
        <v>11200</v>
      </c>
      <c r="D71" s="20"/>
      <c r="E71" s="19">
        <f t="shared" si="5"/>
        <v>11200</v>
      </c>
      <c r="F71" s="20">
        <v>11200</v>
      </c>
      <c r="G71" s="20"/>
      <c r="H71" s="19">
        <f t="shared" si="6"/>
        <v>11200</v>
      </c>
      <c r="I71" s="7">
        <f t="shared" si="7"/>
        <v>1</v>
      </c>
    </row>
    <row r="72" spans="1:9" s="21" customFormat="1" ht="32.25" customHeight="1">
      <c r="A72" s="60"/>
      <c r="B72" s="17" t="s">
        <v>63</v>
      </c>
      <c r="C72" s="20">
        <v>3763664</v>
      </c>
      <c r="D72" s="20"/>
      <c r="E72" s="19">
        <f t="shared" si="5"/>
        <v>3763664</v>
      </c>
      <c r="F72" s="20">
        <v>1849138</v>
      </c>
      <c r="G72" s="20"/>
      <c r="H72" s="19">
        <f t="shared" si="6"/>
        <v>1849138</v>
      </c>
      <c r="I72" s="7">
        <f t="shared" si="7"/>
        <v>0.4913132521925443</v>
      </c>
    </row>
    <row r="73" spans="1:9" s="16" customFormat="1" ht="27.75" customHeight="1">
      <c r="A73" s="31">
        <v>6</v>
      </c>
      <c r="B73" s="33" t="s">
        <v>64</v>
      </c>
      <c r="C73" s="14">
        <f>SUM(C74:C87)</f>
        <v>10643835</v>
      </c>
      <c r="D73" s="14">
        <f>SUM(D74:D87)</f>
        <v>9232113</v>
      </c>
      <c r="E73" s="34">
        <f t="shared" si="5"/>
        <v>19875948</v>
      </c>
      <c r="F73" s="14">
        <f>SUM(F74:F87)</f>
        <v>432180</v>
      </c>
      <c r="G73" s="14">
        <f>SUM(G74:G87)</f>
        <v>6058975</v>
      </c>
      <c r="H73" s="34">
        <f t="shared" si="6"/>
        <v>6491155</v>
      </c>
      <c r="I73" s="7">
        <f t="shared" si="7"/>
        <v>0.32658341629792953</v>
      </c>
    </row>
    <row r="74" spans="1:9" s="9" customFormat="1" ht="21.75" customHeight="1" hidden="1">
      <c r="A74" s="61"/>
      <c r="B74" s="40" t="s">
        <v>65</v>
      </c>
      <c r="C74" s="20"/>
      <c r="D74" s="20"/>
      <c r="E74" s="19">
        <f aca="true" t="shared" si="8" ref="E74:E105">SUM(C74:D74)</f>
        <v>0</v>
      </c>
      <c r="F74" s="20"/>
      <c r="G74" s="20"/>
      <c r="H74" s="19">
        <f aca="true" t="shared" si="9" ref="H74:H105">SUM(F74:G74)</f>
        <v>0</v>
      </c>
      <c r="I74" s="7" t="e">
        <f t="shared" si="7"/>
        <v>#DIV/0!</v>
      </c>
    </row>
    <row r="75" spans="1:9" s="9" customFormat="1" ht="24" customHeight="1">
      <c r="A75" s="61"/>
      <c r="B75" s="40" t="s">
        <v>145</v>
      </c>
      <c r="C75" s="20"/>
      <c r="D75" s="20">
        <v>202900</v>
      </c>
      <c r="E75" s="19">
        <f t="shared" si="8"/>
        <v>202900</v>
      </c>
      <c r="F75" s="20"/>
      <c r="G75" s="20">
        <v>101400</v>
      </c>
      <c r="H75" s="19">
        <f t="shared" si="9"/>
        <v>101400</v>
      </c>
      <c r="I75" s="7">
        <f t="shared" si="7"/>
        <v>0.49975357318876296</v>
      </c>
    </row>
    <row r="76" spans="1:9" s="9" customFormat="1" ht="24" customHeight="1">
      <c r="A76" s="61"/>
      <c r="B76" s="17" t="s">
        <v>68</v>
      </c>
      <c r="C76" s="20"/>
      <c r="D76" s="20">
        <f>2630000+6313323</f>
        <v>8943323</v>
      </c>
      <c r="E76" s="19">
        <f t="shared" si="8"/>
        <v>8943323</v>
      </c>
      <c r="F76" s="20"/>
      <c r="G76" s="20">
        <v>5940397</v>
      </c>
      <c r="H76" s="19">
        <f t="shared" si="9"/>
        <v>5940397</v>
      </c>
      <c r="I76" s="7">
        <f t="shared" si="7"/>
        <v>0.6642270440193203</v>
      </c>
    </row>
    <row r="77" spans="1:9" s="9" customFormat="1" ht="36" customHeight="1" hidden="1">
      <c r="A77" s="61"/>
      <c r="B77" s="17" t="s">
        <v>71</v>
      </c>
      <c r="C77" s="20"/>
      <c r="D77" s="20"/>
      <c r="E77" s="19">
        <f t="shared" si="8"/>
        <v>0</v>
      </c>
      <c r="F77" s="20"/>
      <c r="G77" s="20"/>
      <c r="H77" s="19">
        <f t="shared" si="9"/>
        <v>0</v>
      </c>
      <c r="I77" s="7" t="e">
        <f t="shared" si="7"/>
        <v>#DIV/0!</v>
      </c>
    </row>
    <row r="78" spans="1:9" s="9" customFormat="1" ht="25.5" customHeight="1">
      <c r="A78" s="61"/>
      <c r="B78" s="40" t="s">
        <v>71</v>
      </c>
      <c r="C78" s="20">
        <v>8000000</v>
      </c>
      <c r="D78" s="37"/>
      <c r="E78" s="19">
        <f t="shared" si="8"/>
        <v>8000000</v>
      </c>
      <c r="F78" s="37"/>
      <c r="G78" s="37">
        <v>0</v>
      </c>
      <c r="H78" s="19">
        <f t="shared" si="9"/>
        <v>0</v>
      </c>
      <c r="I78" s="7">
        <f t="shared" si="7"/>
        <v>0</v>
      </c>
    </row>
    <row r="79" spans="1:9" s="9" customFormat="1" ht="24" customHeight="1">
      <c r="A79" s="61"/>
      <c r="B79" s="40" t="s">
        <v>151</v>
      </c>
      <c r="C79" s="20">
        <v>4379</v>
      </c>
      <c r="D79" s="37"/>
      <c r="E79" s="19">
        <f t="shared" si="8"/>
        <v>4379</v>
      </c>
      <c r="F79" s="37"/>
      <c r="G79" s="37">
        <v>0</v>
      </c>
      <c r="H79" s="19">
        <f t="shared" si="9"/>
        <v>0</v>
      </c>
      <c r="I79" s="7">
        <f t="shared" si="7"/>
        <v>0</v>
      </c>
    </row>
    <row r="80" spans="1:9" s="9" customFormat="1" ht="26.25" customHeight="1">
      <c r="A80" s="61"/>
      <c r="B80" s="17" t="s">
        <v>152</v>
      </c>
      <c r="C80" s="18"/>
      <c r="D80" s="18">
        <v>85890</v>
      </c>
      <c r="E80" s="19">
        <f t="shared" si="8"/>
        <v>85890</v>
      </c>
      <c r="F80" s="37"/>
      <c r="G80" s="37">
        <v>17178</v>
      </c>
      <c r="H80" s="19">
        <f t="shared" si="9"/>
        <v>17178</v>
      </c>
      <c r="I80" s="7">
        <f t="shared" si="7"/>
        <v>0.2</v>
      </c>
    </row>
    <row r="81" spans="1:9" s="9" customFormat="1" ht="33" customHeight="1">
      <c r="A81" s="61"/>
      <c r="B81" s="17" t="s">
        <v>161</v>
      </c>
      <c r="C81" s="18">
        <v>10000</v>
      </c>
      <c r="D81" s="18"/>
      <c r="E81" s="19">
        <f t="shared" si="8"/>
        <v>10000</v>
      </c>
      <c r="F81" s="37">
        <v>4000</v>
      </c>
      <c r="G81" s="37"/>
      <c r="H81" s="19">
        <f t="shared" si="9"/>
        <v>4000</v>
      </c>
      <c r="I81" s="7">
        <f t="shared" si="7"/>
        <v>0.4</v>
      </c>
    </row>
    <row r="82" spans="1:9" s="21" customFormat="1" ht="23.25" customHeight="1">
      <c r="A82" s="60"/>
      <c r="B82" s="40" t="s">
        <v>67</v>
      </c>
      <c r="C82" s="20">
        <v>4943</v>
      </c>
      <c r="D82" s="20"/>
      <c r="E82" s="19">
        <f t="shared" si="8"/>
        <v>4943</v>
      </c>
      <c r="F82" s="20">
        <v>4943</v>
      </c>
      <c r="G82" s="20"/>
      <c r="H82" s="19">
        <f t="shared" si="9"/>
        <v>4943</v>
      </c>
      <c r="I82" s="7">
        <f t="shared" si="7"/>
        <v>1</v>
      </c>
    </row>
    <row r="83" spans="1:9" s="21" customFormat="1" ht="24.75" customHeight="1" hidden="1">
      <c r="A83" s="60"/>
      <c r="B83" s="17" t="s">
        <v>66</v>
      </c>
      <c r="C83" s="20"/>
      <c r="D83" s="20"/>
      <c r="E83" s="19">
        <f t="shared" si="8"/>
        <v>0</v>
      </c>
      <c r="F83" s="20"/>
      <c r="G83" s="20"/>
      <c r="H83" s="19">
        <f t="shared" si="9"/>
        <v>0</v>
      </c>
      <c r="I83" s="7" t="e">
        <f t="shared" si="7"/>
        <v>#DIV/0!</v>
      </c>
    </row>
    <row r="84" spans="1:9" s="21" customFormat="1" ht="21" customHeight="1">
      <c r="A84" s="60"/>
      <c r="B84" s="40" t="s">
        <v>167</v>
      </c>
      <c r="C84" s="20"/>
      <c r="D84" s="20"/>
      <c r="E84" s="19">
        <f t="shared" si="8"/>
        <v>0</v>
      </c>
      <c r="F84" s="20">
        <v>200286</v>
      </c>
      <c r="G84" s="20"/>
      <c r="H84" s="19">
        <f t="shared" si="9"/>
        <v>200286</v>
      </c>
      <c r="I84" s="7"/>
    </row>
    <row r="85" spans="1:9" s="21" customFormat="1" ht="34.5" customHeight="1" hidden="1">
      <c r="A85" s="60"/>
      <c r="B85" s="40" t="s">
        <v>143</v>
      </c>
      <c r="C85" s="20"/>
      <c r="D85" s="20"/>
      <c r="E85" s="19">
        <f t="shared" si="8"/>
        <v>0</v>
      </c>
      <c r="F85" s="20"/>
      <c r="G85" s="20"/>
      <c r="H85" s="19">
        <f t="shared" si="9"/>
        <v>0</v>
      </c>
      <c r="I85" s="7" t="e">
        <f t="shared" si="7"/>
        <v>#DIV/0!</v>
      </c>
    </row>
    <row r="86" spans="1:9" s="21" customFormat="1" ht="22.5" customHeight="1" hidden="1">
      <c r="A86" s="60"/>
      <c r="B86" s="17" t="s">
        <v>147</v>
      </c>
      <c r="C86" s="18"/>
      <c r="D86" s="18"/>
      <c r="E86" s="19">
        <f t="shared" si="8"/>
        <v>0</v>
      </c>
      <c r="F86" s="18"/>
      <c r="G86" s="18"/>
      <c r="H86" s="19">
        <f t="shared" si="9"/>
        <v>0</v>
      </c>
      <c r="I86" s="7" t="e">
        <f aca="true" t="shared" si="10" ref="I86:I100">H86/E86</f>
        <v>#DIV/0!</v>
      </c>
    </row>
    <row r="87" spans="1:9" s="21" customFormat="1" ht="12" customHeight="1">
      <c r="A87" s="60"/>
      <c r="B87" s="17" t="s">
        <v>70</v>
      </c>
      <c r="C87" s="20">
        <v>2624513</v>
      </c>
      <c r="D87" s="20"/>
      <c r="E87" s="19">
        <f t="shared" si="8"/>
        <v>2624513</v>
      </c>
      <c r="F87" s="20">
        <v>222951</v>
      </c>
      <c r="G87" s="20"/>
      <c r="H87" s="19">
        <f t="shared" si="9"/>
        <v>222951</v>
      </c>
      <c r="I87" s="7">
        <f t="shared" si="10"/>
        <v>0.08494947443582866</v>
      </c>
    </row>
    <row r="88" spans="1:9" s="16" customFormat="1" ht="15.75" customHeight="1">
      <c r="A88" s="31">
        <v>7</v>
      </c>
      <c r="B88" s="33" t="s">
        <v>72</v>
      </c>
      <c r="C88" s="34">
        <f>SUM(C89:C105)</f>
        <v>5749390</v>
      </c>
      <c r="D88" s="34">
        <f>SUM(D89:D105)</f>
        <v>76199421</v>
      </c>
      <c r="E88" s="34">
        <f t="shared" si="8"/>
        <v>81948811</v>
      </c>
      <c r="F88" s="34">
        <f>SUM(F89:F105)</f>
        <v>2620317</v>
      </c>
      <c r="G88" s="34">
        <f>SUM(G89:G105)</f>
        <v>72169</v>
      </c>
      <c r="H88" s="34">
        <f t="shared" si="9"/>
        <v>2692486</v>
      </c>
      <c r="I88" s="7">
        <f t="shared" si="10"/>
        <v>0.03285570549644704</v>
      </c>
    </row>
    <row r="89" spans="1:9" ht="14.25" customHeight="1">
      <c r="A89" s="61"/>
      <c r="B89" s="35" t="s">
        <v>73</v>
      </c>
      <c r="C89" s="20"/>
      <c r="D89" s="20">
        <f>22053605+4751702</f>
        <v>26805307</v>
      </c>
      <c r="E89" s="19">
        <f t="shared" si="8"/>
        <v>26805307</v>
      </c>
      <c r="F89" s="20"/>
      <c r="G89" s="20">
        <v>0</v>
      </c>
      <c r="H89" s="19">
        <f t="shared" si="9"/>
        <v>0</v>
      </c>
      <c r="I89" s="7">
        <f t="shared" si="10"/>
        <v>0</v>
      </c>
    </row>
    <row r="90" spans="1:9" ht="11.25" customHeight="1">
      <c r="A90" s="61"/>
      <c r="B90" s="35" t="s">
        <v>76</v>
      </c>
      <c r="C90" s="20"/>
      <c r="D90" s="20">
        <f>33939900+15000000</f>
        <v>48939900</v>
      </c>
      <c r="E90" s="19">
        <f t="shared" si="8"/>
        <v>48939900</v>
      </c>
      <c r="F90" s="20"/>
      <c r="G90" s="20">
        <v>0</v>
      </c>
      <c r="H90" s="19">
        <f t="shared" si="9"/>
        <v>0</v>
      </c>
      <c r="I90" s="7">
        <f t="shared" si="10"/>
        <v>0</v>
      </c>
    </row>
    <row r="91" spans="1:9" ht="33" customHeight="1" hidden="1">
      <c r="A91" s="61"/>
      <c r="B91" s="35" t="s">
        <v>74</v>
      </c>
      <c r="C91" s="20"/>
      <c r="D91" s="20"/>
      <c r="E91" s="19">
        <f t="shared" si="8"/>
        <v>0</v>
      </c>
      <c r="F91" s="20"/>
      <c r="G91" s="20"/>
      <c r="H91" s="19">
        <f t="shared" si="9"/>
        <v>0</v>
      </c>
      <c r="I91" s="7" t="e">
        <f t="shared" si="10"/>
        <v>#DIV/0!</v>
      </c>
    </row>
    <row r="92" spans="1:9" ht="39" customHeight="1" hidden="1">
      <c r="A92" s="61"/>
      <c r="B92" s="35" t="s">
        <v>75</v>
      </c>
      <c r="C92" s="20"/>
      <c r="D92" s="20"/>
      <c r="E92" s="19">
        <f t="shared" si="8"/>
        <v>0</v>
      </c>
      <c r="F92" s="20"/>
      <c r="G92" s="20"/>
      <c r="H92" s="19">
        <f t="shared" si="9"/>
        <v>0</v>
      </c>
      <c r="I92" s="7" t="e">
        <f t="shared" si="10"/>
        <v>#DIV/0!</v>
      </c>
    </row>
    <row r="93" spans="1:9" ht="25.5" customHeight="1">
      <c r="A93" s="61"/>
      <c r="B93" s="17" t="s">
        <v>155</v>
      </c>
      <c r="C93" s="20"/>
      <c r="D93" s="20">
        <v>119839</v>
      </c>
      <c r="E93" s="19">
        <f t="shared" si="8"/>
        <v>119839</v>
      </c>
      <c r="F93" s="20"/>
      <c r="G93" s="20">
        <v>0</v>
      </c>
      <c r="H93" s="19">
        <f t="shared" si="9"/>
        <v>0</v>
      </c>
      <c r="I93" s="7">
        <f t="shared" si="10"/>
        <v>0</v>
      </c>
    </row>
    <row r="94" spans="1:9" s="21" customFormat="1" ht="33.75" customHeight="1">
      <c r="A94" s="60"/>
      <c r="B94" s="40" t="s">
        <v>146</v>
      </c>
      <c r="C94" s="20">
        <v>10000</v>
      </c>
      <c r="D94" s="20">
        <v>61200</v>
      </c>
      <c r="E94" s="19">
        <f t="shared" si="8"/>
        <v>71200</v>
      </c>
      <c r="F94" s="20">
        <v>-27</v>
      </c>
      <c r="G94" s="20">
        <f>10317+9518</f>
        <v>19835</v>
      </c>
      <c r="H94" s="19">
        <f t="shared" si="9"/>
        <v>19808</v>
      </c>
      <c r="I94" s="7">
        <f t="shared" si="10"/>
        <v>0.2782022471910112</v>
      </c>
    </row>
    <row r="95" spans="1:9" ht="23.25" customHeight="1">
      <c r="A95" s="61"/>
      <c r="B95" s="17" t="s">
        <v>144</v>
      </c>
      <c r="C95" s="20">
        <v>103324</v>
      </c>
      <c r="D95" s="20"/>
      <c r="E95" s="19">
        <f t="shared" si="8"/>
        <v>103324</v>
      </c>
      <c r="F95" s="20">
        <v>42364</v>
      </c>
      <c r="G95" s="20"/>
      <c r="H95" s="19">
        <f t="shared" si="9"/>
        <v>42364</v>
      </c>
      <c r="I95" s="7">
        <f t="shared" si="10"/>
        <v>0.410011226820487</v>
      </c>
    </row>
    <row r="96" spans="1:9" s="21" customFormat="1" ht="25.5" customHeight="1" hidden="1">
      <c r="A96" s="60"/>
      <c r="B96" s="17" t="s">
        <v>77</v>
      </c>
      <c r="C96" s="18"/>
      <c r="D96" s="18"/>
      <c r="E96" s="19">
        <f t="shared" si="8"/>
        <v>0</v>
      </c>
      <c r="F96" s="18"/>
      <c r="G96" s="18"/>
      <c r="H96" s="19">
        <f t="shared" si="9"/>
        <v>0</v>
      </c>
      <c r="I96" s="7" t="e">
        <f t="shared" si="10"/>
        <v>#DIV/0!</v>
      </c>
    </row>
    <row r="97" spans="1:9" s="21" customFormat="1" ht="27" customHeight="1">
      <c r="A97" s="60"/>
      <c r="B97" s="17" t="s">
        <v>162</v>
      </c>
      <c r="C97" s="18">
        <v>138343</v>
      </c>
      <c r="D97" s="18"/>
      <c r="E97" s="19">
        <f t="shared" si="8"/>
        <v>138343</v>
      </c>
      <c r="F97" s="18">
        <v>0</v>
      </c>
      <c r="G97" s="18"/>
      <c r="H97" s="19">
        <f t="shared" si="9"/>
        <v>0</v>
      </c>
      <c r="I97" s="7">
        <f t="shared" si="10"/>
        <v>0</v>
      </c>
    </row>
    <row r="98" spans="1:9" s="21" customFormat="1" ht="14.25" customHeight="1">
      <c r="A98" s="60"/>
      <c r="B98" s="17" t="s">
        <v>78</v>
      </c>
      <c r="C98" s="18">
        <f>6277+3601</f>
        <v>9878</v>
      </c>
      <c r="D98" s="18">
        <f>12532+2973</f>
        <v>15505</v>
      </c>
      <c r="E98" s="19">
        <f t="shared" si="8"/>
        <v>25383</v>
      </c>
      <c r="F98" s="18"/>
      <c r="G98" s="18"/>
      <c r="H98" s="19">
        <f t="shared" si="9"/>
        <v>0</v>
      </c>
      <c r="I98" s="7">
        <f t="shared" si="10"/>
        <v>0</v>
      </c>
    </row>
    <row r="99" spans="1:9" s="21" customFormat="1" ht="24.75" customHeight="1">
      <c r="A99" s="60"/>
      <c r="B99" s="17" t="s">
        <v>154</v>
      </c>
      <c r="C99" s="18"/>
      <c r="D99" s="18">
        <f>343560-85890</f>
        <v>257670</v>
      </c>
      <c r="E99" s="19">
        <f t="shared" si="8"/>
        <v>257670</v>
      </c>
      <c r="F99" s="18"/>
      <c r="G99" s="18">
        <v>51534</v>
      </c>
      <c r="H99" s="19">
        <f t="shared" si="9"/>
        <v>51534</v>
      </c>
      <c r="I99" s="7">
        <f t="shared" si="10"/>
        <v>0.2</v>
      </c>
    </row>
    <row r="100" spans="1:18" s="21" customFormat="1" ht="14.25" customHeight="1">
      <c r="A100" s="60"/>
      <c r="B100" s="17" t="s">
        <v>158</v>
      </c>
      <c r="C100" s="18">
        <v>26800</v>
      </c>
      <c r="D100" s="18"/>
      <c r="E100" s="19">
        <f t="shared" si="8"/>
        <v>26800</v>
      </c>
      <c r="F100" s="18">
        <v>0</v>
      </c>
      <c r="G100" s="18"/>
      <c r="H100" s="19">
        <f t="shared" si="9"/>
        <v>0</v>
      </c>
      <c r="I100" s="7">
        <f t="shared" si="10"/>
        <v>0</v>
      </c>
      <c r="J100" s="76">
        <f>SUM(F100:I100)</f>
        <v>0</v>
      </c>
      <c r="K100" s="73">
        <f>J100-E100</f>
        <v>-26800</v>
      </c>
      <c r="L100" s="77"/>
      <c r="M100" s="77"/>
      <c r="N100" s="77"/>
      <c r="O100" s="77"/>
      <c r="P100" s="77"/>
      <c r="Q100" s="77"/>
      <c r="R100" s="77"/>
    </row>
    <row r="101" spans="1:9" s="21" customFormat="1" ht="26.25" customHeight="1">
      <c r="A101" s="60"/>
      <c r="B101" s="40" t="s">
        <v>151</v>
      </c>
      <c r="C101" s="18">
        <v>44743</v>
      </c>
      <c r="D101" s="18"/>
      <c r="E101" s="19">
        <f t="shared" si="8"/>
        <v>44743</v>
      </c>
      <c r="F101" s="18">
        <v>45463</v>
      </c>
      <c r="G101" s="18"/>
      <c r="H101" s="19">
        <f t="shared" si="9"/>
        <v>45463</v>
      </c>
      <c r="I101" s="7">
        <f aca="true" t="shared" si="11" ref="I101:I135">H101/E101</f>
        <v>1.016091902643989</v>
      </c>
    </row>
    <row r="102" spans="1:9" s="21" customFormat="1" ht="16.5" customHeight="1">
      <c r="A102" s="60"/>
      <c r="B102" s="40" t="s">
        <v>153</v>
      </c>
      <c r="C102" s="18">
        <v>6302</v>
      </c>
      <c r="D102" s="18"/>
      <c r="E102" s="19">
        <f t="shared" si="8"/>
        <v>6302</v>
      </c>
      <c r="F102" s="18">
        <v>6635</v>
      </c>
      <c r="G102" s="18"/>
      <c r="H102" s="19">
        <f t="shared" si="9"/>
        <v>6635</v>
      </c>
      <c r="I102" s="7">
        <f t="shared" si="11"/>
        <v>1.0528403681370992</v>
      </c>
    </row>
    <row r="103" spans="1:9" ht="20.25" customHeight="1">
      <c r="A103" s="61"/>
      <c r="B103" s="35" t="s">
        <v>79</v>
      </c>
      <c r="C103" s="20">
        <v>5410000</v>
      </c>
      <c r="D103" s="72"/>
      <c r="E103" s="19">
        <f t="shared" si="8"/>
        <v>5410000</v>
      </c>
      <c r="F103" s="20">
        <v>2517078</v>
      </c>
      <c r="G103" s="72"/>
      <c r="H103" s="19">
        <f t="shared" si="9"/>
        <v>2517078</v>
      </c>
      <c r="I103" s="7">
        <f t="shared" si="11"/>
        <v>0.46526395563770795</v>
      </c>
    </row>
    <row r="104" spans="1:9" ht="27" customHeight="1">
      <c r="A104" s="61"/>
      <c r="B104" s="35" t="s">
        <v>166</v>
      </c>
      <c r="C104" s="20"/>
      <c r="D104" s="72"/>
      <c r="E104" s="19">
        <f t="shared" si="8"/>
        <v>0</v>
      </c>
      <c r="F104" s="20">
        <v>8804</v>
      </c>
      <c r="G104" s="72"/>
      <c r="H104" s="19">
        <f t="shared" si="9"/>
        <v>8804</v>
      </c>
      <c r="I104" s="7"/>
    </row>
    <row r="105" spans="1:9" ht="36" customHeight="1">
      <c r="A105" s="61"/>
      <c r="B105" s="35" t="s">
        <v>165</v>
      </c>
      <c r="C105" s="20"/>
      <c r="D105" s="20"/>
      <c r="E105" s="19">
        <f t="shared" si="8"/>
        <v>0</v>
      </c>
      <c r="F105" s="20"/>
      <c r="G105" s="20">
        <v>800</v>
      </c>
      <c r="H105" s="19">
        <f t="shared" si="9"/>
        <v>800</v>
      </c>
      <c r="I105" s="7"/>
    </row>
    <row r="106" spans="1:9" s="16" customFormat="1" ht="19.5" customHeight="1">
      <c r="A106" s="31">
        <v>8</v>
      </c>
      <c r="B106" s="33" t="s">
        <v>80</v>
      </c>
      <c r="C106" s="34">
        <f>SUM(C107:C108)</f>
        <v>171319632</v>
      </c>
      <c r="D106" s="34">
        <f>SUM(D107:D108)</f>
        <v>48400008</v>
      </c>
      <c r="E106" s="34">
        <f aca="true" t="shared" si="12" ref="E106:E138">SUM(C106:D106)</f>
        <v>219719640</v>
      </c>
      <c r="F106" s="34">
        <f>SUM(F107:F108)</f>
        <v>76562403</v>
      </c>
      <c r="G106" s="34">
        <f>SUM(G107:G108)</f>
        <v>20739629</v>
      </c>
      <c r="H106" s="34">
        <f aca="true" t="shared" si="13" ref="H106:H138">SUM(F106:G106)</f>
        <v>97302032</v>
      </c>
      <c r="I106" s="7">
        <f t="shared" si="11"/>
        <v>0.442846310871436</v>
      </c>
    </row>
    <row r="107" spans="1:9" ht="15.75" customHeight="1">
      <c r="A107" s="61"/>
      <c r="B107" s="35" t="s">
        <v>81</v>
      </c>
      <c r="C107" s="20">
        <f>158895170+1494462</f>
        <v>160389632</v>
      </c>
      <c r="D107" s="20">
        <f>45303908+426100</f>
        <v>45730008</v>
      </c>
      <c r="E107" s="19">
        <f t="shared" si="12"/>
        <v>206119640</v>
      </c>
      <c r="F107" s="20">
        <v>67954075</v>
      </c>
      <c r="G107" s="20">
        <v>19374945</v>
      </c>
      <c r="H107" s="19">
        <f t="shared" si="13"/>
        <v>87329020</v>
      </c>
      <c r="I107" s="7">
        <f t="shared" si="11"/>
        <v>0.4236812173745306</v>
      </c>
    </row>
    <row r="108" spans="1:9" ht="18" customHeight="1">
      <c r="A108" s="61"/>
      <c r="B108" s="35" t="s">
        <v>82</v>
      </c>
      <c r="C108" s="20">
        <v>10930000</v>
      </c>
      <c r="D108" s="20">
        <v>2670000</v>
      </c>
      <c r="E108" s="19">
        <f t="shared" si="12"/>
        <v>13600000</v>
      </c>
      <c r="F108" s="20">
        <v>8608328</v>
      </c>
      <c r="G108" s="20">
        <v>1364684</v>
      </c>
      <c r="H108" s="19">
        <f t="shared" si="13"/>
        <v>9973012</v>
      </c>
      <c r="I108" s="7">
        <f t="shared" si="11"/>
        <v>0.7333097058823529</v>
      </c>
    </row>
    <row r="109" spans="1:9" s="13" customFormat="1" ht="13.5" customHeight="1">
      <c r="A109" s="94" t="s">
        <v>83</v>
      </c>
      <c r="B109" s="94"/>
      <c r="C109" s="45">
        <f>SUM(C110:C113)</f>
        <v>71318195</v>
      </c>
      <c r="D109" s="45">
        <f>SUM(D110:D113)</f>
        <v>63157956</v>
      </c>
      <c r="E109" s="45">
        <f t="shared" si="12"/>
        <v>134476151</v>
      </c>
      <c r="F109" s="45">
        <f>SUM(F110:F113)</f>
        <v>43888120</v>
      </c>
      <c r="G109" s="45">
        <f>SUM(G110:G113)</f>
        <v>38657738</v>
      </c>
      <c r="H109" s="45">
        <f t="shared" si="13"/>
        <v>82545858</v>
      </c>
      <c r="I109" s="7">
        <f t="shared" si="11"/>
        <v>0.6138326936498948</v>
      </c>
    </row>
    <row r="110" spans="1:9" s="2" customFormat="1" ht="12.75" customHeight="1">
      <c r="A110" s="61">
        <v>1</v>
      </c>
      <c r="B110" s="35" t="s">
        <v>84</v>
      </c>
      <c r="C110" s="20">
        <f>70256679+1061516</f>
        <v>71318195</v>
      </c>
      <c r="D110" s="20">
        <f>62042698-693454</f>
        <v>61349244</v>
      </c>
      <c r="E110" s="19">
        <f t="shared" si="12"/>
        <v>132667439</v>
      </c>
      <c r="F110" s="20">
        <v>43888120</v>
      </c>
      <c r="G110" s="20">
        <v>37753382</v>
      </c>
      <c r="H110" s="19">
        <f t="shared" si="13"/>
        <v>81641502</v>
      </c>
      <c r="I110" s="7">
        <f t="shared" si="11"/>
        <v>0.6153846235020788</v>
      </c>
    </row>
    <row r="111" spans="1:9" s="2" customFormat="1" ht="12.75" customHeight="1" hidden="1">
      <c r="A111" s="61">
        <v>2</v>
      </c>
      <c r="B111" s="35" t="s">
        <v>85</v>
      </c>
      <c r="C111" s="20"/>
      <c r="D111" s="20"/>
      <c r="E111" s="19">
        <f t="shared" si="12"/>
        <v>0</v>
      </c>
      <c r="F111" s="20"/>
      <c r="G111" s="20"/>
      <c r="H111" s="19">
        <f t="shared" si="13"/>
        <v>0</v>
      </c>
      <c r="I111" s="7" t="e">
        <f t="shared" si="11"/>
        <v>#DIV/0!</v>
      </c>
    </row>
    <row r="112" spans="1:9" s="2" customFormat="1" ht="12.75" customHeight="1" hidden="1">
      <c r="A112" s="61">
        <v>3</v>
      </c>
      <c r="B112" s="39" t="s">
        <v>86</v>
      </c>
      <c r="C112" s="20"/>
      <c r="D112" s="20"/>
      <c r="E112" s="19">
        <f t="shared" si="12"/>
        <v>0</v>
      </c>
      <c r="F112" s="20"/>
      <c r="G112" s="20"/>
      <c r="H112" s="19">
        <f t="shared" si="13"/>
        <v>0</v>
      </c>
      <c r="I112" s="7" t="e">
        <f t="shared" si="11"/>
        <v>#DIV/0!</v>
      </c>
    </row>
    <row r="113" spans="1:9" s="2" customFormat="1" ht="11.25" customHeight="1">
      <c r="A113" s="61">
        <v>3</v>
      </c>
      <c r="B113" s="39" t="s">
        <v>87</v>
      </c>
      <c r="C113" s="20"/>
      <c r="D113" s="20">
        <f>1809347-635</f>
        <v>1808712</v>
      </c>
      <c r="E113" s="19">
        <f t="shared" si="12"/>
        <v>1808712</v>
      </c>
      <c r="F113" s="20"/>
      <c r="G113" s="20">
        <v>904356</v>
      </c>
      <c r="H113" s="19">
        <f t="shared" si="13"/>
        <v>904356</v>
      </c>
      <c r="I113" s="7">
        <f t="shared" si="11"/>
        <v>0.5</v>
      </c>
    </row>
    <row r="114" spans="1:9" s="46" customFormat="1" ht="24.75" customHeight="1">
      <c r="A114" s="96" t="s">
        <v>88</v>
      </c>
      <c r="B114" s="96"/>
      <c r="C114" s="44">
        <f>C115+C145+C150</f>
        <v>47716250</v>
      </c>
      <c r="D114" s="44">
        <f>D115+D145+D150</f>
        <v>17114778</v>
      </c>
      <c r="E114" s="45">
        <f t="shared" si="12"/>
        <v>64831028</v>
      </c>
      <c r="F114" s="44">
        <f>F115+F145+F150</f>
        <v>22712196</v>
      </c>
      <c r="G114" s="44">
        <f>G115+G145+G150</f>
        <v>11371657</v>
      </c>
      <c r="H114" s="45">
        <f t="shared" si="13"/>
        <v>34083853</v>
      </c>
      <c r="I114" s="7">
        <f t="shared" si="11"/>
        <v>0.5257336502515432</v>
      </c>
    </row>
    <row r="115" spans="1:9" s="48" customFormat="1" ht="16.5" customHeight="1">
      <c r="A115" s="63">
        <v>1</v>
      </c>
      <c r="B115" s="47" t="s">
        <v>89</v>
      </c>
      <c r="C115" s="14">
        <f>SUM(C116:C121,C133:C144)</f>
        <v>45128813</v>
      </c>
      <c r="D115" s="14">
        <f>SUM(D116:D121,D133:D144)</f>
        <v>15826278</v>
      </c>
      <c r="E115" s="34">
        <f t="shared" si="12"/>
        <v>60955091</v>
      </c>
      <c r="F115" s="14">
        <f>SUM(F116:F121,F133:F144)</f>
        <v>20920914</v>
      </c>
      <c r="G115" s="14">
        <f>SUM(G116:G121,G133:G144)</f>
        <v>10626767</v>
      </c>
      <c r="H115" s="34">
        <f t="shared" si="13"/>
        <v>31547681</v>
      </c>
      <c r="I115" s="7">
        <f t="shared" si="11"/>
        <v>0.5175561299711618</v>
      </c>
    </row>
    <row r="116" spans="1:9" s="2" customFormat="1" ht="12.75" customHeight="1">
      <c r="A116" s="61"/>
      <c r="B116" s="49" t="s">
        <v>90</v>
      </c>
      <c r="C116" s="20"/>
      <c r="D116" s="20">
        <v>492000</v>
      </c>
      <c r="E116" s="19">
        <f t="shared" si="12"/>
        <v>492000</v>
      </c>
      <c r="F116" s="20"/>
      <c r="G116" s="20">
        <v>263700</v>
      </c>
      <c r="H116" s="19">
        <f t="shared" si="13"/>
        <v>263700</v>
      </c>
      <c r="I116" s="7">
        <f t="shared" si="11"/>
        <v>0.5359756097560976</v>
      </c>
    </row>
    <row r="117" spans="1:9" s="2" customFormat="1" ht="15" customHeight="1" hidden="1">
      <c r="A117" s="61"/>
      <c r="B117" s="49" t="s">
        <v>91</v>
      </c>
      <c r="C117" s="20"/>
      <c r="D117" s="20"/>
      <c r="E117" s="19">
        <f t="shared" si="12"/>
        <v>0</v>
      </c>
      <c r="F117" s="20"/>
      <c r="G117" s="20"/>
      <c r="H117" s="19">
        <f t="shared" si="13"/>
        <v>0</v>
      </c>
      <c r="I117" s="7" t="e">
        <f t="shared" si="11"/>
        <v>#DIV/0!</v>
      </c>
    </row>
    <row r="118" spans="1:9" s="2" customFormat="1" ht="11.25" customHeight="1" hidden="1">
      <c r="A118" s="61"/>
      <c r="B118" s="49" t="s">
        <v>141</v>
      </c>
      <c r="C118" s="20"/>
      <c r="D118" s="20"/>
      <c r="E118" s="19">
        <f t="shared" si="12"/>
        <v>0</v>
      </c>
      <c r="F118" s="20"/>
      <c r="G118" s="20"/>
      <c r="H118" s="19">
        <f t="shared" si="13"/>
        <v>0</v>
      </c>
      <c r="I118" s="7" t="e">
        <f t="shared" si="11"/>
        <v>#DIV/0!</v>
      </c>
    </row>
    <row r="119" spans="1:9" ht="22.5" customHeight="1">
      <c r="A119" s="61"/>
      <c r="B119" s="35" t="s">
        <v>92</v>
      </c>
      <c r="C119" s="20"/>
      <c r="D119" s="20">
        <f>8195000+300000-189000+30000</f>
        <v>8336000</v>
      </c>
      <c r="E119" s="19">
        <f t="shared" si="12"/>
        <v>8336000</v>
      </c>
      <c r="F119" s="20"/>
      <c r="G119" s="20">
        <f>4905129+83170</f>
        <v>4988299</v>
      </c>
      <c r="H119" s="19">
        <f t="shared" si="13"/>
        <v>4988299</v>
      </c>
      <c r="I119" s="7">
        <f t="shared" si="11"/>
        <v>0.5984043905950096</v>
      </c>
    </row>
    <row r="120" spans="1:9" ht="11.25" customHeight="1" hidden="1">
      <c r="A120" s="64"/>
      <c r="B120" s="50" t="s">
        <v>93</v>
      </c>
      <c r="C120" s="20"/>
      <c r="D120" s="20"/>
      <c r="E120" s="19">
        <f t="shared" si="12"/>
        <v>0</v>
      </c>
      <c r="F120" s="20"/>
      <c r="G120" s="20"/>
      <c r="H120" s="19">
        <f t="shared" si="13"/>
        <v>0</v>
      </c>
      <c r="I120" s="7" t="e">
        <f t="shared" si="11"/>
        <v>#DIV/0!</v>
      </c>
    </row>
    <row r="121" spans="1:9" ht="10.5" customHeight="1">
      <c r="A121" s="61"/>
      <c r="B121" s="35" t="s">
        <v>94</v>
      </c>
      <c r="C121" s="20">
        <f>SUM(C122:C132)</f>
        <v>43990870</v>
      </c>
      <c r="D121" s="20">
        <f>SUM(D122:D132)</f>
        <v>265000</v>
      </c>
      <c r="E121" s="19">
        <f t="shared" si="12"/>
        <v>44255870</v>
      </c>
      <c r="F121" s="20">
        <f>SUM(F122:F132)</f>
        <v>20355875</v>
      </c>
      <c r="G121" s="20">
        <f>SUM(G122:G132)</f>
        <v>139170</v>
      </c>
      <c r="H121" s="19">
        <f t="shared" si="13"/>
        <v>20495045</v>
      </c>
      <c r="I121" s="7">
        <f t="shared" si="11"/>
        <v>0.4631034256020727</v>
      </c>
    </row>
    <row r="122" spans="1:9" s="9" customFormat="1" ht="12" customHeight="1">
      <c r="A122" s="58"/>
      <c r="B122" s="51" t="s">
        <v>95</v>
      </c>
      <c r="C122" s="26">
        <f>558360-122760</f>
        <v>435600</v>
      </c>
      <c r="D122" s="26"/>
      <c r="E122" s="25">
        <f t="shared" si="12"/>
        <v>435600</v>
      </c>
      <c r="F122" s="26">
        <v>216400</v>
      </c>
      <c r="G122" s="26"/>
      <c r="H122" s="25">
        <f t="shared" si="13"/>
        <v>216400</v>
      </c>
      <c r="I122" s="7">
        <f t="shared" si="11"/>
        <v>0.4967860422405877</v>
      </c>
    </row>
    <row r="123" spans="1:9" s="9" customFormat="1" ht="12" customHeight="1">
      <c r="A123" s="58"/>
      <c r="B123" s="51" t="s">
        <v>96</v>
      </c>
      <c r="C123" s="26">
        <v>490390</v>
      </c>
      <c r="D123" s="26"/>
      <c r="E123" s="25">
        <f t="shared" si="12"/>
        <v>490390</v>
      </c>
      <c r="F123" s="26">
        <v>247655</v>
      </c>
      <c r="G123" s="26"/>
      <c r="H123" s="25">
        <f t="shared" si="13"/>
        <v>247655</v>
      </c>
      <c r="I123" s="7">
        <f t="shared" si="11"/>
        <v>0.5050164155060258</v>
      </c>
    </row>
    <row r="124" spans="1:9" s="9" customFormat="1" ht="13.5" customHeight="1">
      <c r="A124" s="58"/>
      <c r="B124" s="51" t="s">
        <v>97</v>
      </c>
      <c r="C124" s="26">
        <v>5160000</v>
      </c>
      <c r="D124" s="26"/>
      <c r="E124" s="25">
        <f t="shared" si="12"/>
        <v>5160000</v>
      </c>
      <c r="F124" s="26">
        <v>2605800</v>
      </c>
      <c r="G124" s="26"/>
      <c r="H124" s="25">
        <f t="shared" si="13"/>
        <v>2605800</v>
      </c>
      <c r="I124" s="7">
        <f t="shared" si="11"/>
        <v>0.505</v>
      </c>
    </row>
    <row r="125" spans="1:9" s="9" customFormat="1" ht="11.25" customHeight="1">
      <c r="A125" s="58"/>
      <c r="B125" s="51" t="s">
        <v>98</v>
      </c>
      <c r="C125" s="26">
        <v>37603050</v>
      </c>
      <c r="D125" s="26"/>
      <c r="E125" s="25">
        <f t="shared" si="12"/>
        <v>37603050</v>
      </c>
      <c r="F125" s="26">
        <v>17132910</v>
      </c>
      <c r="G125" s="26"/>
      <c r="H125" s="25">
        <f t="shared" si="13"/>
        <v>17132910</v>
      </c>
      <c r="I125" s="7">
        <f t="shared" si="11"/>
        <v>0.45562554101329544</v>
      </c>
    </row>
    <row r="126" spans="1:9" s="9" customFormat="1" ht="13.5" customHeight="1" hidden="1">
      <c r="A126" s="58"/>
      <c r="B126" s="51" t="s">
        <v>99</v>
      </c>
      <c r="C126" s="26"/>
      <c r="D126" s="26"/>
      <c r="E126" s="25">
        <f t="shared" si="12"/>
        <v>0</v>
      </c>
      <c r="F126" s="26">
        <f aca="true" t="shared" si="14" ref="F126:G128">C126*101.5%</f>
        <v>0</v>
      </c>
      <c r="G126" s="26">
        <f t="shared" si="14"/>
        <v>0</v>
      </c>
      <c r="H126" s="25">
        <f t="shared" si="13"/>
        <v>0</v>
      </c>
      <c r="I126" s="7" t="e">
        <f t="shared" si="11"/>
        <v>#DIV/0!</v>
      </c>
    </row>
    <row r="127" spans="1:9" s="9" customFormat="1" ht="13.5" customHeight="1" hidden="1">
      <c r="A127" s="58"/>
      <c r="B127" s="51" t="s">
        <v>100</v>
      </c>
      <c r="C127" s="26"/>
      <c r="D127" s="26"/>
      <c r="E127" s="25">
        <f t="shared" si="12"/>
        <v>0</v>
      </c>
      <c r="F127" s="26">
        <f t="shared" si="14"/>
        <v>0</v>
      </c>
      <c r="G127" s="26">
        <f t="shared" si="14"/>
        <v>0</v>
      </c>
      <c r="H127" s="25">
        <f t="shared" si="13"/>
        <v>0</v>
      </c>
      <c r="I127" s="7" t="e">
        <f t="shared" si="11"/>
        <v>#DIV/0!</v>
      </c>
    </row>
    <row r="128" spans="1:9" s="9" customFormat="1" ht="13.5" customHeight="1" hidden="1">
      <c r="A128" s="58"/>
      <c r="B128" s="51" t="s">
        <v>101</v>
      </c>
      <c r="C128" s="26"/>
      <c r="D128" s="26"/>
      <c r="E128" s="25">
        <f t="shared" si="12"/>
        <v>0</v>
      </c>
      <c r="F128" s="26">
        <f t="shared" si="14"/>
        <v>0</v>
      </c>
      <c r="G128" s="26">
        <f t="shared" si="14"/>
        <v>0</v>
      </c>
      <c r="H128" s="25">
        <f t="shared" si="13"/>
        <v>0</v>
      </c>
      <c r="I128" s="7" t="e">
        <f t="shared" si="11"/>
        <v>#DIV/0!</v>
      </c>
    </row>
    <row r="129" spans="1:9" s="9" customFormat="1" ht="14.25" customHeight="1">
      <c r="A129" s="58"/>
      <c r="B129" s="51" t="s">
        <v>102</v>
      </c>
      <c r="C129" s="26">
        <v>301830</v>
      </c>
      <c r="D129" s="26"/>
      <c r="E129" s="25">
        <f t="shared" si="12"/>
        <v>301830</v>
      </c>
      <c r="F129" s="26">
        <v>153110</v>
      </c>
      <c r="G129" s="26"/>
      <c r="H129" s="25">
        <f t="shared" si="13"/>
        <v>153110</v>
      </c>
      <c r="I129" s="7">
        <f t="shared" si="11"/>
        <v>0.5072723056024915</v>
      </c>
    </row>
    <row r="130" spans="1:9" s="9" customFormat="1" ht="13.5" customHeight="1" hidden="1">
      <c r="A130" s="58"/>
      <c r="B130" s="51" t="s">
        <v>103</v>
      </c>
      <c r="C130" s="26"/>
      <c r="D130" s="26"/>
      <c r="E130" s="25">
        <f t="shared" si="12"/>
        <v>0</v>
      </c>
      <c r="F130" s="26">
        <f>C130*101.5%</f>
        <v>0</v>
      </c>
      <c r="G130" s="26">
        <f>D130*101.5%</f>
        <v>0</v>
      </c>
      <c r="H130" s="25">
        <f t="shared" si="13"/>
        <v>0</v>
      </c>
      <c r="I130" s="7" t="e">
        <f t="shared" si="11"/>
        <v>#DIV/0!</v>
      </c>
    </row>
    <row r="131" spans="1:9" s="9" customFormat="1" ht="15" customHeight="1">
      <c r="A131" s="58"/>
      <c r="B131" s="51" t="s">
        <v>104</v>
      </c>
      <c r="C131" s="26"/>
      <c r="D131" s="26">
        <v>265000</v>
      </c>
      <c r="E131" s="25">
        <f t="shared" si="12"/>
        <v>265000</v>
      </c>
      <c r="F131" s="26"/>
      <c r="G131" s="26">
        <v>139170</v>
      </c>
      <c r="H131" s="25">
        <f t="shared" si="13"/>
        <v>139170</v>
      </c>
      <c r="I131" s="7">
        <f t="shared" si="11"/>
        <v>0.5251698113207547</v>
      </c>
    </row>
    <row r="132" spans="1:9" s="9" customFormat="1" ht="11.25" customHeight="1" hidden="1">
      <c r="A132" s="58"/>
      <c r="B132" s="51" t="s">
        <v>105</v>
      </c>
      <c r="C132" s="20"/>
      <c r="D132" s="20"/>
      <c r="E132" s="19">
        <f t="shared" si="12"/>
        <v>0</v>
      </c>
      <c r="F132" s="20"/>
      <c r="G132" s="20"/>
      <c r="H132" s="19">
        <f t="shared" si="13"/>
        <v>0</v>
      </c>
      <c r="I132" s="7" t="e">
        <f t="shared" si="11"/>
        <v>#DIV/0!</v>
      </c>
    </row>
    <row r="133" spans="1:9" ht="14.25" customHeight="1">
      <c r="A133" s="61"/>
      <c r="B133" s="35" t="s">
        <v>106</v>
      </c>
      <c r="C133" s="20"/>
      <c r="D133" s="20">
        <v>1820260</v>
      </c>
      <c r="E133" s="19">
        <f t="shared" si="12"/>
        <v>1820260</v>
      </c>
      <c r="F133" s="20"/>
      <c r="G133" s="20">
        <v>903100</v>
      </c>
      <c r="H133" s="19">
        <f t="shared" si="13"/>
        <v>903100</v>
      </c>
      <c r="I133" s="7">
        <f t="shared" si="11"/>
        <v>0.4961379143638821</v>
      </c>
    </row>
    <row r="134" spans="1:9" ht="14.25" customHeight="1">
      <c r="A134" s="61"/>
      <c r="B134" s="35" t="s">
        <v>170</v>
      </c>
      <c r="C134" s="79">
        <v>2253</v>
      </c>
      <c r="D134" s="20"/>
      <c r="E134" s="19">
        <f t="shared" si="12"/>
        <v>2253</v>
      </c>
      <c r="F134" s="20">
        <v>2253</v>
      </c>
      <c r="G134" s="20"/>
      <c r="H134" s="19">
        <f t="shared" si="13"/>
        <v>2253</v>
      </c>
      <c r="I134" s="7">
        <f t="shared" si="11"/>
        <v>1</v>
      </c>
    </row>
    <row r="135" spans="1:9" ht="12" customHeight="1">
      <c r="A135" s="61"/>
      <c r="B135" s="35" t="s">
        <v>107</v>
      </c>
      <c r="C135" s="20">
        <v>1099500</v>
      </c>
      <c r="D135" s="20">
        <v>537200</v>
      </c>
      <c r="E135" s="19">
        <f t="shared" si="12"/>
        <v>1636700</v>
      </c>
      <c r="F135" s="20">
        <v>544690</v>
      </c>
      <c r="G135" s="20">
        <v>268200</v>
      </c>
      <c r="H135" s="19">
        <f t="shared" si="13"/>
        <v>812890</v>
      </c>
      <c r="I135" s="7">
        <f t="shared" si="11"/>
        <v>0.4966640190627482</v>
      </c>
    </row>
    <row r="136" spans="1:9" ht="20.25" customHeight="1" hidden="1">
      <c r="A136" s="61"/>
      <c r="B136" s="35" t="s">
        <v>108</v>
      </c>
      <c r="C136" s="20"/>
      <c r="D136" s="20"/>
      <c r="E136" s="19">
        <f t="shared" si="12"/>
        <v>0</v>
      </c>
      <c r="F136" s="20">
        <f>C136*101.5%</f>
        <v>0</v>
      </c>
      <c r="G136" s="20">
        <f>D136*101.5%</f>
        <v>0</v>
      </c>
      <c r="H136" s="19">
        <f t="shared" si="13"/>
        <v>0</v>
      </c>
      <c r="I136" s="7" t="e">
        <f aca="true" t="shared" si="15" ref="I136:I167">H136/E136</f>
        <v>#DIV/0!</v>
      </c>
    </row>
    <row r="137" spans="1:9" ht="12" customHeight="1" hidden="1">
      <c r="A137" s="61"/>
      <c r="B137" s="35" t="s">
        <v>109</v>
      </c>
      <c r="C137" s="20"/>
      <c r="D137" s="20"/>
      <c r="E137" s="19">
        <f t="shared" si="12"/>
        <v>0</v>
      </c>
      <c r="F137" s="20"/>
      <c r="G137" s="20"/>
      <c r="H137" s="19">
        <f t="shared" si="13"/>
        <v>0</v>
      </c>
      <c r="I137" s="7" t="e">
        <f t="shared" si="15"/>
        <v>#DIV/0!</v>
      </c>
    </row>
    <row r="138" spans="1:9" ht="14.25" customHeight="1" hidden="1">
      <c r="A138" s="61"/>
      <c r="B138" s="35" t="s">
        <v>110</v>
      </c>
      <c r="C138" s="20"/>
      <c r="D138" s="20"/>
      <c r="E138" s="19">
        <f t="shared" si="12"/>
        <v>0</v>
      </c>
      <c r="F138" s="20"/>
      <c r="G138" s="20"/>
      <c r="H138" s="19">
        <f t="shared" si="13"/>
        <v>0</v>
      </c>
      <c r="I138" s="7" t="e">
        <f t="shared" si="15"/>
        <v>#DIV/0!</v>
      </c>
    </row>
    <row r="139" spans="1:9" s="41" customFormat="1" ht="12" customHeight="1">
      <c r="A139" s="61"/>
      <c r="B139" s="35" t="s">
        <v>111</v>
      </c>
      <c r="C139" s="20">
        <f>38340-2150</f>
        <v>36190</v>
      </c>
      <c r="D139" s="20"/>
      <c r="E139" s="19">
        <f aca="true" t="shared" si="16" ref="E139:E170">SUM(C139:D139)</f>
        <v>36190</v>
      </c>
      <c r="F139" s="20">
        <v>18096</v>
      </c>
      <c r="G139" s="20"/>
      <c r="H139" s="19">
        <f aca="true" t="shared" si="17" ref="H139:H170">SUM(F139:G139)</f>
        <v>18096</v>
      </c>
      <c r="I139" s="7">
        <f t="shared" si="15"/>
        <v>0.5000276319425255</v>
      </c>
    </row>
    <row r="140" spans="1:9" s="41" customFormat="1" ht="11.25" hidden="1">
      <c r="A140" s="61"/>
      <c r="B140" s="35" t="s">
        <v>112</v>
      </c>
      <c r="C140" s="20"/>
      <c r="D140" s="20"/>
      <c r="E140" s="19">
        <f t="shared" si="16"/>
        <v>0</v>
      </c>
      <c r="F140" s="20">
        <f>C140*101.5%</f>
        <v>0</v>
      </c>
      <c r="G140" s="20">
        <f>D140*101.5%</f>
        <v>0</v>
      </c>
      <c r="H140" s="19">
        <f t="shared" si="17"/>
        <v>0</v>
      </c>
      <c r="I140" s="7" t="e">
        <f t="shared" si="15"/>
        <v>#DIV/0!</v>
      </c>
    </row>
    <row r="141" spans="1:9" ht="10.5" customHeight="1">
      <c r="A141" s="64"/>
      <c r="B141" s="50" t="s">
        <v>113</v>
      </c>
      <c r="C141" s="20"/>
      <c r="D141" s="20">
        <v>175000</v>
      </c>
      <c r="E141" s="19">
        <f t="shared" si="16"/>
        <v>175000</v>
      </c>
      <c r="F141" s="20"/>
      <c r="G141" s="20"/>
      <c r="H141" s="19">
        <f t="shared" si="17"/>
        <v>0</v>
      </c>
      <c r="I141" s="7">
        <f t="shared" si="15"/>
        <v>0</v>
      </c>
    </row>
    <row r="142" spans="1:9" ht="14.25" customHeight="1">
      <c r="A142" s="64"/>
      <c r="B142" s="50" t="s">
        <v>114</v>
      </c>
      <c r="C142" s="20"/>
      <c r="D142" s="20">
        <v>60000</v>
      </c>
      <c r="E142" s="19">
        <f t="shared" si="16"/>
        <v>60000</v>
      </c>
      <c r="F142" s="20"/>
      <c r="G142" s="20"/>
      <c r="H142" s="19">
        <f t="shared" si="17"/>
        <v>0</v>
      </c>
      <c r="I142" s="7">
        <f t="shared" si="15"/>
        <v>0</v>
      </c>
    </row>
    <row r="143" spans="1:9" ht="12" customHeight="1">
      <c r="A143" s="64"/>
      <c r="B143" s="50" t="s">
        <v>115</v>
      </c>
      <c r="C143" s="20"/>
      <c r="D143" s="20">
        <f>130000+203600+51739+3658279</f>
        <v>4043618</v>
      </c>
      <c r="E143" s="19">
        <f t="shared" si="16"/>
        <v>4043618</v>
      </c>
      <c r="F143" s="20"/>
      <c r="G143" s="20">
        <v>3967098</v>
      </c>
      <c r="H143" s="19">
        <f t="shared" si="17"/>
        <v>3967098</v>
      </c>
      <c r="I143" s="7">
        <f t="shared" si="15"/>
        <v>0.9810763529096962</v>
      </c>
    </row>
    <row r="144" spans="1:9" s="38" customFormat="1" ht="10.5" customHeight="1">
      <c r="A144" s="62"/>
      <c r="B144" s="40" t="s">
        <v>116</v>
      </c>
      <c r="C144" s="20"/>
      <c r="D144" s="20">
        <v>97200</v>
      </c>
      <c r="E144" s="19">
        <f t="shared" si="16"/>
        <v>97200</v>
      </c>
      <c r="F144" s="20"/>
      <c r="G144" s="20">
        <v>97200</v>
      </c>
      <c r="H144" s="19">
        <f t="shared" si="17"/>
        <v>97200</v>
      </c>
      <c r="I144" s="7">
        <f t="shared" si="15"/>
        <v>1</v>
      </c>
    </row>
    <row r="145" spans="1:9" s="38" customFormat="1" ht="39" customHeight="1" hidden="1">
      <c r="A145" s="31">
        <v>2</v>
      </c>
      <c r="B145" s="33" t="s">
        <v>117</v>
      </c>
      <c r="C145" s="52">
        <f>SUM(C146:C149)</f>
        <v>0</v>
      </c>
      <c r="D145" s="52">
        <f>SUM(D146:D149)</f>
        <v>0</v>
      </c>
      <c r="E145" s="34">
        <f t="shared" si="16"/>
        <v>0</v>
      </c>
      <c r="F145" s="52">
        <f>SUM(F146:F149)</f>
        <v>0</v>
      </c>
      <c r="G145" s="52">
        <f>SUM(G146:G149)</f>
        <v>0</v>
      </c>
      <c r="H145" s="34">
        <f t="shared" si="17"/>
        <v>0</v>
      </c>
      <c r="I145" s="7" t="e">
        <f t="shared" si="15"/>
        <v>#DIV/0!</v>
      </c>
    </row>
    <row r="146" spans="1:9" s="43" customFormat="1" ht="13.5" customHeight="1" hidden="1">
      <c r="A146" s="62"/>
      <c r="B146" s="42" t="s">
        <v>118</v>
      </c>
      <c r="C146" s="20"/>
      <c r="D146" s="20"/>
      <c r="E146" s="34">
        <f t="shared" si="16"/>
        <v>0</v>
      </c>
      <c r="F146" s="20">
        <f>C146*101.5%</f>
        <v>0</v>
      </c>
      <c r="G146" s="20">
        <f>D146*101.5%</f>
        <v>0</v>
      </c>
      <c r="H146" s="34">
        <f t="shared" si="17"/>
        <v>0</v>
      </c>
      <c r="I146" s="7" t="e">
        <f t="shared" si="15"/>
        <v>#DIV/0!</v>
      </c>
    </row>
    <row r="147" spans="1:9" s="43" customFormat="1" ht="12" customHeight="1" hidden="1">
      <c r="A147" s="62"/>
      <c r="B147" s="42" t="s">
        <v>119</v>
      </c>
      <c r="C147" s="20"/>
      <c r="D147" s="20"/>
      <c r="E147" s="19">
        <f t="shared" si="16"/>
        <v>0</v>
      </c>
      <c r="F147" s="20"/>
      <c r="G147" s="20"/>
      <c r="H147" s="19">
        <f t="shared" si="17"/>
        <v>0</v>
      </c>
      <c r="I147" s="7" t="e">
        <f t="shared" si="15"/>
        <v>#DIV/0!</v>
      </c>
    </row>
    <row r="148" spans="1:9" s="43" customFormat="1" ht="13.5" customHeight="1" hidden="1">
      <c r="A148" s="62"/>
      <c r="B148" s="42" t="s">
        <v>120</v>
      </c>
      <c r="C148" s="20"/>
      <c r="D148" s="20"/>
      <c r="E148" s="19">
        <f t="shared" si="16"/>
        <v>0</v>
      </c>
      <c r="F148" s="20"/>
      <c r="G148" s="20"/>
      <c r="H148" s="19">
        <f t="shared" si="17"/>
        <v>0</v>
      </c>
      <c r="I148" s="7" t="e">
        <f t="shared" si="15"/>
        <v>#DIV/0!</v>
      </c>
    </row>
    <row r="149" spans="1:9" ht="11.25" customHeight="1" hidden="1">
      <c r="A149" s="61"/>
      <c r="B149" s="40" t="s">
        <v>121</v>
      </c>
      <c r="C149" s="20"/>
      <c r="D149" s="20"/>
      <c r="E149" s="19">
        <f t="shared" si="16"/>
        <v>0</v>
      </c>
      <c r="F149" s="20"/>
      <c r="G149" s="20"/>
      <c r="H149" s="19">
        <f t="shared" si="17"/>
        <v>0</v>
      </c>
      <c r="I149" s="7" t="e">
        <f t="shared" si="15"/>
        <v>#DIV/0!</v>
      </c>
    </row>
    <row r="150" spans="1:9" s="2" customFormat="1" ht="26.25" customHeight="1">
      <c r="A150" s="31">
        <v>2</v>
      </c>
      <c r="B150" s="33" t="s">
        <v>122</v>
      </c>
      <c r="C150" s="34">
        <f>SUM(C151:C157)</f>
        <v>2587437</v>
      </c>
      <c r="D150" s="34">
        <f>SUM(D151:D157)</f>
        <v>1288500</v>
      </c>
      <c r="E150" s="34">
        <f t="shared" si="16"/>
        <v>3875937</v>
      </c>
      <c r="F150" s="34">
        <f>SUM(F151:F157)</f>
        <v>1791282</v>
      </c>
      <c r="G150" s="34">
        <f>SUM(G151:G157)</f>
        <v>744890</v>
      </c>
      <c r="H150" s="34">
        <f t="shared" si="17"/>
        <v>2536172</v>
      </c>
      <c r="I150" s="7">
        <f t="shared" si="15"/>
        <v>0.6543377769040105</v>
      </c>
    </row>
    <row r="151" spans="1:9" s="2" customFormat="1" ht="13.5" customHeight="1">
      <c r="A151" s="61"/>
      <c r="B151" s="39" t="s">
        <v>123</v>
      </c>
      <c r="C151" s="79">
        <f>18822+49165</f>
        <v>67987</v>
      </c>
      <c r="D151" s="20">
        <v>14800</v>
      </c>
      <c r="E151" s="19">
        <f t="shared" si="16"/>
        <v>82787</v>
      </c>
      <c r="F151" s="20">
        <v>67987</v>
      </c>
      <c r="G151" s="20">
        <v>14800</v>
      </c>
      <c r="H151" s="19">
        <f t="shared" si="17"/>
        <v>82787</v>
      </c>
      <c r="I151" s="7">
        <f t="shared" si="15"/>
        <v>1</v>
      </c>
    </row>
    <row r="152" spans="1:9" s="2" customFormat="1" ht="13.5" customHeight="1" hidden="1">
      <c r="A152" s="61"/>
      <c r="B152" s="39" t="s">
        <v>124</v>
      </c>
      <c r="C152" s="19"/>
      <c r="D152" s="19"/>
      <c r="E152" s="19">
        <f t="shared" si="16"/>
        <v>0</v>
      </c>
      <c r="F152" s="19"/>
      <c r="G152" s="19"/>
      <c r="H152" s="19">
        <f t="shared" si="17"/>
        <v>0</v>
      </c>
      <c r="I152" s="7" t="e">
        <f t="shared" si="15"/>
        <v>#DIV/0!</v>
      </c>
    </row>
    <row r="153" spans="1:9" s="21" customFormat="1" ht="22.5" customHeight="1" hidden="1">
      <c r="A153" s="56"/>
      <c r="B153" s="17" t="s">
        <v>125</v>
      </c>
      <c r="C153" s="20"/>
      <c r="D153" s="20"/>
      <c r="E153" s="19">
        <f t="shared" si="16"/>
        <v>0</v>
      </c>
      <c r="F153" s="20"/>
      <c r="G153" s="20"/>
      <c r="H153" s="19">
        <f t="shared" si="17"/>
        <v>0</v>
      </c>
      <c r="I153" s="7" t="e">
        <f t="shared" si="15"/>
        <v>#DIV/0!</v>
      </c>
    </row>
    <row r="154" spans="1:9" s="21" customFormat="1" ht="14.25" customHeight="1" hidden="1">
      <c r="A154" s="56"/>
      <c r="B154" s="17" t="s">
        <v>126</v>
      </c>
      <c r="C154" s="20"/>
      <c r="D154" s="20"/>
      <c r="E154" s="19">
        <f t="shared" si="16"/>
        <v>0</v>
      </c>
      <c r="F154" s="20"/>
      <c r="G154" s="20"/>
      <c r="H154" s="19">
        <f t="shared" si="17"/>
        <v>0</v>
      </c>
      <c r="I154" s="7" t="e">
        <f t="shared" si="15"/>
        <v>#DIV/0!</v>
      </c>
    </row>
    <row r="155" spans="1:9" s="21" customFormat="1" ht="12" customHeight="1" hidden="1">
      <c r="A155" s="56"/>
      <c r="B155" s="17" t="s">
        <v>124</v>
      </c>
      <c r="C155" s="20"/>
      <c r="D155" s="20"/>
      <c r="E155" s="19">
        <f t="shared" si="16"/>
        <v>0</v>
      </c>
      <c r="F155" s="20"/>
      <c r="G155" s="20"/>
      <c r="H155" s="19">
        <f t="shared" si="17"/>
        <v>0</v>
      </c>
      <c r="I155" s="7" t="e">
        <f t="shared" si="15"/>
        <v>#DIV/0!</v>
      </c>
    </row>
    <row r="156" spans="1:9" s="2" customFormat="1" ht="15" customHeight="1" hidden="1">
      <c r="A156" s="61"/>
      <c r="B156" s="39" t="s">
        <v>127</v>
      </c>
      <c r="C156" s="19"/>
      <c r="D156" s="19"/>
      <c r="E156" s="19">
        <f t="shared" si="16"/>
        <v>0</v>
      </c>
      <c r="F156" s="19"/>
      <c r="G156" s="19"/>
      <c r="H156" s="19">
        <f t="shared" si="17"/>
        <v>0</v>
      </c>
      <c r="I156" s="7" t="e">
        <f t="shared" si="15"/>
        <v>#DIV/0!</v>
      </c>
    </row>
    <row r="157" spans="1:9" ht="13.5" customHeight="1">
      <c r="A157" s="61"/>
      <c r="B157" s="39" t="s">
        <v>128</v>
      </c>
      <c r="C157" s="20">
        <f>SUM(C159:C166)</f>
        <v>2519450</v>
      </c>
      <c r="D157" s="20">
        <f>SUM(D159:D166)</f>
        <v>1273700</v>
      </c>
      <c r="E157" s="19">
        <f t="shared" si="16"/>
        <v>3793150</v>
      </c>
      <c r="F157" s="20">
        <f>SUM(F159:F166)</f>
        <v>1723295</v>
      </c>
      <c r="G157" s="20">
        <f>SUM(G159:G166)</f>
        <v>730090</v>
      </c>
      <c r="H157" s="19">
        <f t="shared" si="17"/>
        <v>2453385</v>
      </c>
      <c r="I157" s="7">
        <f t="shared" si="15"/>
        <v>0.6467935620790108</v>
      </c>
    </row>
    <row r="158" spans="1:9" s="21" customFormat="1" ht="13.5" customHeight="1" hidden="1">
      <c r="A158" s="56"/>
      <c r="B158" s="53" t="s">
        <v>129</v>
      </c>
      <c r="C158" s="20"/>
      <c r="D158" s="20"/>
      <c r="E158" s="19">
        <f t="shared" si="16"/>
        <v>0</v>
      </c>
      <c r="F158" s="20"/>
      <c r="G158" s="20"/>
      <c r="H158" s="19">
        <f t="shared" si="17"/>
        <v>0</v>
      </c>
      <c r="I158" s="7" t="e">
        <f t="shared" si="15"/>
        <v>#DIV/0!</v>
      </c>
    </row>
    <row r="159" spans="1:9" s="27" customFormat="1" ht="24.75" customHeight="1">
      <c r="A159" s="57"/>
      <c r="B159" s="53" t="s">
        <v>160</v>
      </c>
      <c r="C159" s="26">
        <f>197450+607835</f>
        <v>805285</v>
      </c>
      <c r="D159" s="26"/>
      <c r="E159" s="25">
        <f t="shared" si="16"/>
        <v>805285</v>
      </c>
      <c r="F159" s="26">
        <v>805285</v>
      </c>
      <c r="G159" s="26"/>
      <c r="H159" s="25">
        <f t="shared" si="17"/>
        <v>805285</v>
      </c>
      <c r="I159" s="7">
        <f t="shared" si="15"/>
        <v>1</v>
      </c>
    </row>
    <row r="160" spans="1:9" s="38" customFormat="1" ht="11.25" customHeight="1">
      <c r="A160" s="62"/>
      <c r="B160" s="74" t="s">
        <v>130</v>
      </c>
      <c r="C160" s="26"/>
      <c r="D160" s="26">
        <f>67*1300*12+50000-58500</f>
        <v>1036700</v>
      </c>
      <c r="E160" s="25">
        <f t="shared" si="16"/>
        <v>1036700</v>
      </c>
      <c r="F160" s="26"/>
      <c r="G160" s="26">
        <v>611590</v>
      </c>
      <c r="H160" s="25">
        <f t="shared" si="17"/>
        <v>611590</v>
      </c>
      <c r="I160" s="7">
        <f t="shared" si="15"/>
        <v>0.5899392302498312</v>
      </c>
    </row>
    <row r="161" spans="1:9" s="38" customFormat="1" ht="12" customHeight="1">
      <c r="A161" s="62"/>
      <c r="B161" s="74" t="s">
        <v>131</v>
      </c>
      <c r="C161" s="26"/>
      <c r="D161" s="26">
        <f>15*1300*12</f>
        <v>234000</v>
      </c>
      <c r="E161" s="25">
        <f t="shared" si="16"/>
        <v>234000</v>
      </c>
      <c r="F161" s="26"/>
      <c r="G161" s="26">
        <v>117000</v>
      </c>
      <c r="H161" s="25">
        <f t="shared" si="17"/>
        <v>117000</v>
      </c>
      <c r="I161" s="7">
        <f t="shared" si="15"/>
        <v>0.5</v>
      </c>
    </row>
    <row r="162" spans="1:9" s="38" customFormat="1" ht="16.5" customHeight="1">
      <c r="A162" s="62"/>
      <c r="B162" s="74" t="s">
        <v>157</v>
      </c>
      <c r="C162" s="26"/>
      <c r="D162" s="26">
        <v>3000</v>
      </c>
      <c r="E162" s="25">
        <f t="shared" si="16"/>
        <v>3000</v>
      </c>
      <c r="F162" s="26">
        <f>C162*101.5%</f>
        <v>0</v>
      </c>
      <c r="G162" s="26">
        <v>1500</v>
      </c>
      <c r="H162" s="25">
        <f t="shared" si="17"/>
        <v>1500</v>
      </c>
      <c r="I162" s="7">
        <f t="shared" si="15"/>
        <v>0.5</v>
      </c>
    </row>
    <row r="163" spans="1:9" s="38" customFormat="1" ht="17.25" customHeight="1" hidden="1">
      <c r="A163" s="62"/>
      <c r="B163" s="74" t="s">
        <v>60</v>
      </c>
      <c r="C163" s="26"/>
      <c r="D163" s="26"/>
      <c r="E163" s="25">
        <f t="shared" si="16"/>
        <v>0</v>
      </c>
      <c r="F163" s="26">
        <f>C163*101.5%</f>
        <v>0</v>
      </c>
      <c r="G163" s="26">
        <f>D163*101.5%</f>
        <v>0</v>
      </c>
      <c r="H163" s="25">
        <f t="shared" si="17"/>
        <v>0</v>
      </c>
      <c r="I163" s="7" t="e">
        <f t="shared" si="15"/>
        <v>#DIV/0!</v>
      </c>
    </row>
    <row r="164" spans="1:9" s="38" customFormat="1" ht="14.25" customHeight="1" hidden="1">
      <c r="A164" s="62"/>
      <c r="B164" s="74" t="s">
        <v>142</v>
      </c>
      <c r="C164" s="26"/>
      <c r="D164" s="26"/>
      <c r="E164" s="25">
        <f t="shared" si="16"/>
        <v>0</v>
      </c>
      <c r="F164" s="26"/>
      <c r="G164" s="26"/>
      <c r="H164" s="25">
        <f t="shared" si="17"/>
        <v>0</v>
      </c>
      <c r="I164" s="7" t="e">
        <f t="shared" si="15"/>
        <v>#DIV/0!</v>
      </c>
    </row>
    <row r="165" spans="1:9" s="9" customFormat="1" ht="11.25" customHeight="1">
      <c r="A165" s="58"/>
      <c r="B165" s="75" t="s">
        <v>132</v>
      </c>
      <c r="C165" s="26">
        <f>334565+1000</f>
        <v>335565</v>
      </c>
      <c r="D165" s="26"/>
      <c r="E165" s="25">
        <f t="shared" si="16"/>
        <v>335565</v>
      </c>
      <c r="F165" s="26">
        <v>184220</v>
      </c>
      <c r="G165" s="26"/>
      <c r="H165" s="25">
        <f t="shared" si="17"/>
        <v>184220</v>
      </c>
      <c r="I165" s="7">
        <f t="shared" si="15"/>
        <v>0.5489845484481397</v>
      </c>
    </row>
    <row r="166" spans="1:9" s="9" customFormat="1" ht="14.25" customHeight="1">
      <c r="A166" s="58"/>
      <c r="B166" s="75" t="s">
        <v>133</v>
      </c>
      <c r="C166" s="26">
        <f>1156600+222000</f>
        <v>1378600</v>
      </c>
      <c r="D166" s="26"/>
      <c r="E166" s="25">
        <f t="shared" si="16"/>
        <v>1378600</v>
      </c>
      <c r="F166" s="26">
        <v>733790</v>
      </c>
      <c r="G166" s="26"/>
      <c r="H166" s="25">
        <f t="shared" si="17"/>
        <v>733790</v>
      </c>
      <c r="I166" s="7">
        <f t="shared" si="15"/>
        <v>0.5322718700130568</v>
      </c>
    </row>
    <row r="167" spans="1:9" s="82" customFormat="1" ht="13.5" customHeight="1" hidden="1">
      <c r="A167" s="104" t="s">
        <v>134</v>
      </c>
      <c r="B167" s="104"/>
      <c r="C167" s="80">
        <f>SUM(C168:C172)</f>
        <v>187265315</v>
      </c>
      <c r="D167" s="80">
        <f>SUM(D168:D172)</f>
        <v>0</v>
      </c>
      <c r="E167" s="80">
        <f t="shared" si="16"/>
        <v>187265315</v>
      </c>
      <c r="F167" s="80">
        <f>SUM(F168:F172)</f>
        <v>52265315</v>
      </c>
      <c r="G167" s="80">
        <f>SUM(G168:G172)</f>
        <v>0</v>
      </c>
      <c r="H167" s="80">
        <f t="shared" si="17"/>
        <v>52265315</v>
      </c>
      <c r="I167" s="81">
        <f t="shared" si="15"/>
        <v>0.2790976802084251</v>
      </c>
    </row>
    <row r="168" spans="1:9" s="87" customFormat="1" ht="11.25" customHeight="1" hidden="1">
      <c r="A168" s="83"/>
      <c r="B168" s="84" t="s">
        <v>135</v>
      </c>
      <c r="C168" s="85">
        <v>52265315</v>
      </c>
      <c r="D168" s="80"/>
      <c r="E168" s="86">
        <f t="shared" si="16"/>
        <v>52265315</v>
      </c>
      <c r="F168" s="85">
        <v>52265315</v>
      </c>
      <c r="G168" s="80"/>
      <c r="H168" s="86">
        <f t="shared" si="17"/>
        <v>52265315</v>
      </c>
      <c r="I168" s="81">
        <f aca="true" t="shared" si="18" ref="I168:I173">H168/E168</f>
        <v>1</v>
      </c>
    </row>
    <row r="169" spans="1:9" s="87" customFormat="1" ht="10.5" customHeight="1" hidden="1">
      <c r="A169" s="83"/>
      <c r="B169" s="84" t="s">
        <v>136</v>
      </c>
      <c r="C169" s="88">
        <v>90000000</v>
      </c>
      <c r="D169" s="80"/>
      <c r="E169" s="86">
        <f t="shared" si="16"/>
        <v>90000000</v>
      </c>
      <c r="F169" s="88"/>
      <c r="G169" s="80"/>
      <c r="H169" s="86">
        <f t="shared" si="17"/>
        <v>0</v>
      </c>
      <c r="I169" s="81">
        <f t="shared" si="18"/>
        <v>0</v>
      </c>
    </row>
    <row r="170" spans="1:9" s="87" customFormat="1" ht="12.75" customHeight="1" hidden="1">
      <c r="A170" s="83"/>
      <c r="B170" s="84" t="s">
        <v>137</v>
      </c>
      <c r="C170" s="80"/>
      <c r="D170" s="80"/>
      <c r="E170" s="86">
        <f t="shared" si="16"/>
        <v>0</v>
      </c>
      <c r="F170" s="80"/>
      <c r="G170" s="80"/>
      <c r="H170" s="86">
        <f t="shared" si="17"/>
        <v>0</v>
      </c>
      <c r="I170" s="81" t="e">
        <f t="shared" si="18"/>
        <v>#DIV/0!</v>
      </c>
    </row>
    <row r="171" spans="1:9" s="87" customFormat="1" ht="12" customHeight="1" hidden="1">
      <c r="A171" s="83"/>
      <c r="B171" s="84" t="s">
        <v>138</v>
      </c>
      <c r="C171" s="88">
        <f>60000000-15000000</f>
        <v>45000000</v>
      </c>
      <c r="D171" s="80"/>
      <c r="E171" s="86">
        <f>SUM(C171:D171)</f>
        <v>45000000</v>
      </c>
      <c r="F171" s="88"/>
      <c r="G171" s="80"/>
      <c r="H171" s="86">
        <f>SUM(F171:G171)</f>
        <v>0</v>
      </c>
      <c r="I171" s="81">
        <f t="shared" si="18"/>
        <v>0</v>
      </c>
    </row>
    <row r="172" spans="1:9" s="87" customFormat="1" ht="12.75" customHeight="1" hidden="1">
      <c r="A172" s="83"/>
      <c r="B172" s="84" t="s">
        <v>137</v>
      </c>
      <c r="C172" s="88"/>
      <c r="D172" s="80"/>
      <c r="E172" s="86">
        <f>SUM(C172:D172)</f>
        <v>0</v>
      </c>
      <c r="F172" s="88"/>
      <c r="G172" s="80"/>
      <c r="H172" s="86">
        <f>SUM(F172:G172)</f>
        <v>0</v>
      </c>
      <c r="I172" s="81" t="e">
        <f t="shared" si="18"/>
        <v>#DIV/0!</v>
      </c>
    </row>
    <row r="173" spans="1:9" s="92" customFormat="1" ht="14.25" customHeight="1" hidden="1">
      <c r="A173" s="89"/>
      <c r="B173" s="90" t="s">
        <v>139</v>
      </c>
      <c r="C173" s="91">
        <f>SUM(C167,C5)</f>
        <v>755143044</v>
      </c>
      <c r="D173" s="91">
        <f>SUM(D167,D5)</f>
        <v>223208162</v>
      </c>
      <c r="E173" s="80">
        <f>SUM(C173:D173)</f>
        <v>978351206</v>
      </c>
      <c r="F173" s="91">
        <f>SUM(F167,F5)</f>
        <v>349789788</v>
      </c>
      <c r="G173" s="91">
        <f>SUM(G167,G5)</f>
        <v>83728510</v>
      </c>
      <c r="H173" s="80">
        <f>SUM(F173:G173)</f>
        <v>433518298</v>
      </c>
      <c r="I173" s="81">
        <f t="shared" si="18"/>
        <v>0.4431111193417387</v>
      </c>
    </row>
  </sheetData>
  <mergeCells count="10">
    <mergeCell ref="A1:I1"/>
    <mergeCell ref="F2:H2"/>
    <mergeCell ref="A167:B167"/>
    <mergeCell ref="A5:B5"/>
    <mergeCell ref="A6:B6"/>
    <mergeCell ref="A109:B109"/>
    <mergeCell ref="A114:B114"/>
    <mergeCell ref="A2:A3"/>
    <mergeCell ref="B2:B3"/>
    <mergeCell ref="C2:E2"/>
  </mergeCells>
  <printOptions/>
  <pageMargins left="0.7874015748031497" right="0.7874015748031497" top="0.44" bottom="0.3937007874015748" header="0.26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</dc:creator>
  <cp:keywords/>
  <dc:description/>
  <cp:lastModifiedBy>kbara</cp:lastModifiedBy>
  <cp:lastPrinted>2006-08-18T08:48:02Z</cp:lastPrinted>
  <dcterms:created xsi:type="dcterms:W3CDTF">2005-11-15T08:37:02Z</dcterms:created>
  <dcterms:modified xsi:type="dcterms:W3CDTF">2006-08-18T08:48:04Z</dcterms:modified>
  <cp:category/>
  <cp:version/>
  <cp:contentType/>
  <cp:contentStatus/>
</cp:coreProperties>
</file>