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XII" sheetId="1" r:id="rId1"/>
  </sheets>
  <definedNames>
    <definedName name="_xlnm.Print_Titles" localSheetId="0">'XII'!$3:$3</definedName>
  </definedNames>
  <calcPr fullCalcOnLoad="1"/>
</workbook>
</file>

<file path=xl/sharedStrings.xml><?xml version="1.0" encoding="utf-8"?>
<sst xmlns="http://schemas.openxmlformats.org/spreadsheetml/2006/main" count="519" uniqueCount="286">
  <si>
    <t xml:space="preserve">Wykonanie dochodów budżetu miasta za 2005 rok </t>
  </si>
  <si>
    <t>Plan 2005r.</t>
  </si>
  <si>
    <t>Wykonanie I - XII 2005r.</t>
  </si>
  <si>
    <t>Dział</t>
  </si>
  <si>
    <t>Rozdział</t>
  </si>
  <si>
    <t>Paragraf</t>
  </si>
  <si>
    <t>Zadania własne gminy</t>
  </si>
  <si>
    <t>Zadania własne powiatu</t>
  </si>
  <si>
    <t>Zadania zlecone gminy</t>
  </si>
  <si>
    <t>Zadania zlecone powiatu</t>
  </si>
  <si>
    <t>Suma całkowita</t>
  </si>
  <si>
    <t>% wyk</t>
  </si>
  <si>
    <t>600 TRANSPORT I ŁĄCZNOŚĆ</t>
  </si>
  <si>
    <t>60004 Lokalny transport zbiorowy</t>
  </si>
  <si>
    <t>0690 wpływy z różnych opłat</t>
  </si>
  <si>
    <t>0750 dochody z najmu i dzierżawy składników majątkowych Skarbu Państwa, j.s.t. lub innych jednostek zaliczanych do sektora finansów publicznych oraz innych umów o podobnym charakterze</t>
  </si>
  <si>
    <t>0830 wpływy z usług</t>
  </si>
  <si>
    <t>0920 pozostałe odsetki</t>
  </si>
  <si>
    <t>0970 wpływy z różnych dochodów</t>
  </si>
  <si>
    <t>2310 dotacje celowe otrzymane z gminy na zadania bieżące realizowane na podstawie porozumień (umów) między jednostkami samorządu terytorialnego</t>
  </si>
  <si>
    <t>60004 Lokalny transport zbiorowy - razem</t>
  </si>
  <si>
    <t>60015 Drogi publiczne w miastach na prawach powiatu</t>
  </si>
  <si>
    <t>2390 wpływy do budżetu ze środków specjalnych</t>
  </si>
  <si>
    <t>2700 środki na dofinansowanie własnych zadań bieżących gmin (związków gmin), powiatów (związków powiatów), samorządów województw, pozyskane z innych źródeł</t>
  </si>
  <si>
    <t>6298 środki na dofinansowanie własnych inwestycji gmin (związków gmin), powiatów (związków powiatów), samorządów województw, pozyskane z innych źródeł</t>
  </si>
  <si>
    <t>6299 środki na dofinansowanie własnych inwestycji gmin (związków gmin), powiatów (związków powiatów), samorządów województw, pozyskane z innych źródeł</t>
  </si>
  <si>
    <t>60015 Drogi publiczne w miastach na prawach powiatu - razem</t>
  </si>
  <si>
    <t>60016 Drogi publiczne gminne</t>
  </si>
  <si>
    <t>60016 Drogi publiczne gminne - razem</t>
  </si>
  <si>
    <t>60095 Pozostała działalność</t>
  </si>
  <si>
    <t>2701 środki na dofinansowanie własnych zadań bieżących gmin (związków gmin), powiatów (związków powiatów), samorządów województw, pozyskane z innych źródeł</t>
  </si>
  <si>
    <t>60095 Pozostała działalność - razem</t>
  </si>
  <si>
    <t>600 TRANSPORT I ŁĄCZNOŚĆ - Suma</t>
  </si>
  <si>
    <t>630 TURYSTYKA</t>
  </si>
  <si>
    <t xml:space="preserve">63095 Pozostała działalność </t>
  </si>
  <si>
    <t>6290 środki na dofinansowanie własnych inwestycji gmin (związków gmin), powiatów (związków powiatów), samorządów województw, pozyskane z innych źródeł</t>
  </si>
  <si>
    <t>6291 środki na dofinansowanie własnych inwestycji gmin (związków gmin), powiatów (związków powiatów), samorządów województw, pozyskane z innych źródeł</t>
  </si>
  <si>
    <t>63095 Pozostała działalność - razem</t>
  </si>
  <si>
    <t>630 TURYSTYKA - Suma</t>
  </si>
  <si>
    <t>700 GOSPODARKA MIESZKANIOWA</t>
  </si>
  <si>
    <t>70005 Gospodarka gruntami i nieruchomościami</t>
  </si>
  <si>
    <t>0470 wpływy z opłat za zarząd, użytkowanie i użytkowanie wieczyste nieruchomości</t>
  </si>
  <si>
    <t>0760 wpływy z tytułu przekształcenia prawa użytkowania wieczystego przysługującego osobom fizycznym w prawo własności</t>
  </si>
  <si>
    <t>0770 wpłaty z tytułu odpłatnego nabycia prawa własności oraz prawa użytkowania wieczystego nieruchomości</t>
  </si>
  <si>
    <t>2110 dotacje celowe otrzymane z budżetu państwa na zadania bieżące z zakresu administracji rządowej oraz inne zadania zlecone ustawami realizowane przez powiat</t>
  </si>
  <si>
    <t>2360 dochody j.s.t. związane z realizacją zadań z zakresu administracji rządowej oraz innych zadań zleconych ustawami</t>
  </si>
  <si>
    <t>70005 Gospodarka gruntami i nieruchomościami - razem</t>
  </si>
  <si>
    <t>70095 Pozostała działalność</t>
  </si>
  <si>
    <t>70095 Pozostała działalność - razem</t>
  </si>
  <si>
    <t>700 GOSPODARKA MIESZKANIOWA - Suma</t>
  </si>
  <si>
    <t>710 DZIAŁALNOŚĆ USŁUGOWA</t>
  </si>
  <si>
    <t>71004 Plany zagospodarowania przestrzennego</t>
  </si>
  <si>
    <t>71004 Plany zagospodarowania przestrzennego - razem</t>
  </si>
  <si>
    <t>71013 Prace geodezyjne i kartograficzne (nieinwestycyjne)</t>
  </si>
  <si>
    <t>71013 Prace geodezyjne i kartograficzne (nieinwestycyjne) - razem</t>
  </si>
  <si>
    <t>71014 Opracowania geodezyjne i kartograficzne</t>
  </si>
  <si>
    <t>71014 Opracowania geodezyjne i kartograficzne - razem</t>
  </si>
  <si>
    <t>71015 Nadzór budowlany</t>
  </si>
  <si>
    <t>71015 Nadzór budowlany - razem</t>
  </si>
  <si>
    <t>71035 Cmentarze</t>
  </si>
  <si>
    <t>2020 dotacje celowe otrzymane z budżetu państwa na zadania bieżące realizowane przez gminę na podstawie porozumień z organami administracji rządowej</t>
  </si>
  <si>
    <t>71035 Cmentarze - razem</t>
  </si>
  <si>
    <t>71095 Pozostała działalność</t>
  </si>
  <si>
    <t>0900 odsetki od dotacji wykorzystanych niezgodnie z przeznaczeniem lub pobranych w nadmiernej wysokości</t>
  </si>
  <si>
    <t>2708 środki na dofinansowanie własnych zadań bieżących gmin ( związków gmin), powiatów (związków powiatów), samorządów województw, pozyskane z innych źródeł</t>
  </si>
  <si>
    <t>2709 środki na dofinansowanie własnych zadań bieżących gmin ( związków gmin), powiatów (związków powiatów), samorządów województw, pozyskane z innych źródeł</t>
  </si>
  <si>
    <t>2910 wpływy ze zwrotów dotacji wykorzystanych niezgodnie z przeznaczeniem lub pobranych w nadmiernej wysokości</t>
  </si>
  <si>
    <t>71095 Pozostała działalność - razem</t>
  </si>
  <si>
    <t>710 DZIAŁALNOŚĆ USŁUGOWA - Suma</t>
  </si>
  <si>
    <t>750 ADMINISTRACJA PUBLICZNA</t>
  </si>
  <si>
    <t>75011 Urzędy wojewódzkie</t>
  </si>
  <si>
    <t>2010 dotacje celowe otrzymane z budżetu państwa na realizację zadań bieżących z zakresu administracji rządowej oraz innych zadań zleconych gminie (związkom gmin) ustawami</t>
  </si>
  <si>
    <t>75011 Urzędy wojewódzkie - razem</t>
  </si>
  <si>
    <t>75023 Urzędy gmin (miast i miast na prawach powiatu)</t>
  </si>
  <si>
    <t xml:space="preserve">0580 grzywny i inne kary pieniężne od osób prawnych i innych jednostek organizacyjnych </t>
  </si>
  <si>
    <t>0590 wpływy z opłat za koncesje i licencje</t>
  </si>
  <si>
    <t>0960 otrzymane spadki, zapisy i darowizny w postaci pieniężnej</t>
  </si>
  <si>
    <t>2320 dotacje celowe otrzymane z powiatu na zadania bieżące realizowane na podstawie porozumień (umów) między j.s.t.</t>
  </si>
  <si>
    <t>2440 dotacje otrzymane z funduszy celowych na realizację zadań bieżących jednostek sektora finansów publicznych</t>
  </si>
  <si>
    <t>75023 Urzędy gmin (miast i miast na prawach powiatu) - razem</t>
  </si>
  <si>
    <t>75045 Komisje poborowe</t>
  </si>
  <si>
    <t>75045 Komisje poborowe - razem</t>
  </si>
  <si>
    <t>75095 Pozostała działalność</t>
  </si>
  <si>
    <t>75095 Pozostała działalność - razem</t>
  </si>
  <si>
    <t>750 ADMINISTRACJA PUBLICZNA - Suma</t>
  </si>
  <si>
    <t>751 URZĘDY NACZELNYCH ORGANÓW WŁADZY PAŃSTWOWEJ, KONTROLI I OCHRONY PRAWA ORAZ SĄDOWNICTWA</t>
  </si>
  <si>
    <t>75101 Urzędy naczelnych organów władzy państwowej, kontroli i ochrony prawa</t>
  </si>
  <si>
    <t>75101 Urzędy naczelnych organów władzy państwowej, kontroli i ochrony prawa - razem</t>
  </si>
  <si>
    <t>75107 Wybory Prezydenta Rzeczypospolitej Polskiej</t>
  </si>
  <si>
    <t>75108 Wybory do Sejmu i Senatu</t>
  </si>
  <si>
    <t>75108 Wybory do Sejmu i Senatu - razem</t>
  </si>
  <si>
    <t>751 URZĘDY NACZELNYCH ORGANÓW WŁADZY PAŃSTWOWEJ, KONTROLI I OCHRONY PRAWA ORAZ SĄDOWNICTWA - Suma</t>
  </si>
  <si>
    <t>754 BEZPIECZEŃSTWO PUBLICZNE I OCHRONA PRZECIWPOŻAROWA</t>
  </si>
  <si>
    <t>75411 Komendy powiatowe Państwowej Straży Pożarnej</t>
  </si>
  <si>
    <t>6410 dotacje celowe otrzymane z budżetu państwa na inwestycje i zakupy inwestycyjne z zakresu administracji rządowej oraz inne zadania zlecone ustawami realizowane przez powiat</t>
  </si>
  <si>
    <t>75411 Komendy powiatowe Państwowej Straży Pożarnej - razem</t>
  </si>
  <si>
    <t>75416 Straż Miejska</t>
  </si>
  <si>
    <t>0570 grzywny, mandaty i inne kary pieniężne od ludności</t>
  </si>
  <si>
    <t>75416 Straż Miejska - razem</t>
  </si>
  <si>
    <t>754 BEZPIECZEŃSTWO PUBLICZNE I OCHRONA PRZECIWPOŻAROWA - Suma</t>
  </si>
  <si>
    <t>756 DOCHODY OD OSÓB PRAWNYCH, OD OSÓB FIZYCZNYCH I OD INNYCH JEDNOSTEK NIE POSIADAJĄCYCH OSOBOWOŚCI PRAWNEJ ORAZ WYDATKI ZWIĄZANE Z ICH POBOREM</t>
  </si>
  <si>
    <t>75601 Wpływy z podatku dochodowego od osób fizycznych</t>
  </si>
  <si>
    <t>0350 podatek od działalności gospodarczej osób fizycznych opłacany w formie karty podatkowej</t>
  </si>
  <si>
    <t>0910 odsetki od nieterminowych wpłat z tytułu podatków i opłat</t>
  </si>
  <si>
    <t>75601 Wpływy z podatku dochodowego od osób fizycznych - razem</t>
  </si>
  <si>
    <t>75615 Wpływy z podatku rolnego, podatku leśnego, podatku od czynności cywilnoprawnych, podatków i opłat lokalnych od osób prawnych i innych jednostek organizacyjnych</t>
  </si>
  <si>
    <t>0310 podatek od nieruchomości</t>
  </si>
  <si>
    <t>0320 podatek rolny</t>
  </si>
  <si>
    <t>0330 podatek leśny</t>
  </si>
  <si>
    <t>0340 podatek od środków transportowych</t>
  </si>
  <si>
    <t>0500 podatek od czynności cywilnoprawnych</t>
  </si>
  <si>
    <t>75615 Wpływy z podatku rolnego, podatku leśnego, podatku od czynności cywilnoprawnych, podatków i opłat lokalnych od osób prawnych i innych jednostek organizacyjnych - razem</t>
  </si>
  <si>
    <t>75616 Wpływy z podatku rolnego, podatku leśnego, podatku od spadków i darowizn, podatku od czynności cywlnoprawnych oraz podatków i opłat lokalnych od osób fizycznych</t>
  </si>
  <si>
    <t>0360 podatek od spadków i darowizn</t>
  </si>
  <si>
    <t>0370 podatek od posiadania psów</t>
  </si>
  <si>
    <t>0430 wpływy z opłaty targowej</t>
  </si>
  <si>
    <t>0440 wpływy z opłaty miejscowej</t>
  </si>
  <si>
    <t>0450 wpływy z opłaty administracyjnej za czynności urzędowe</t>
  </si>
  <si>
    <t>0560 zaległości z podatków zniesionych</t>
  </si>
  <si>
    <t>75616 Wpływy z podatku rolnego, podatku leśnego, podatku od spadków i darowizn, podatku od czynności cywlnoprawnych oraz podatków i opłat lokalnych od osób fizycznych - razem</t>
  </si>
  <si>
    <t>75618 Wpływy z innych opłat stanowiących dochody j.s.t. na podstawie ustaw</t>
  </si>
  <si>
    <t>0410 wpływy z opłaty skarbowej</t>
  </si>
  <si>
    <t>0420 wpływy z opłaty komunikacyjnej</t>
  </si>
  <si>
    <t>0480 wpływy z opłat za zezwolenia na sprzedaż alkoholu</t>
  </si>
  <si>
    <t>75618 Wpływy z innych opłat stanowiących dochody j.s.t. na podstawie ustaw - razem</t>
  </si>
  <si>
    <t>75621 Udziały gmin w podatkach stanowiących dochód budżetu państwa</t>
  </si>
  <si>
    <t>0010 podatek dochodowy od osób fizycznych</t>
  </si>
  <si>
    <t>0020 podatek dochodowy od osób prawnych</t>
  </si>
  <si>
    <t>75621 Udziały gmin w podatkach stanowiących dochód budżetu państwa - razem</t>
  </si>
  <si>
    <t>75622 Udziały powiatów w podatkach stanowiących dochód budżetu państwa</t>
  </si>
  <si>
    <t>75622 Udziały powiatów w podatkach stanowiących dochód budżetu państwa - razem</t>
  </si>
  <si>
    <t>756 DOCHODY OD OSÓB PRAWNYCH, OD OSÓB FIZYCZNYCH I OD INNYCH JEDNOSTEK NIE POSIADAJĄCYCH OSOBOWOŚCI PRAWNEJ ORAZ WYDATKI ZWIĄZANE Z ICH POBOREM - Suma</t>
  </si>
  <si>
    <t>758 RÓŻNE ROZLICZENIA</t>
  </si>
  <si>
    <t>75801 Część oświatowa subwencji ogólnej dla jednostek samorządu terytorialnego</t>
  </si>
  <si>
    <t>2920 subwencje ogólne z bużetu państwa</t>
  </si>
  <si>
    <t>75801 Część oświatowa subwencji ogólnej dla jednostek samorządu terytorialnego - razem</t>
  </si>
  <si>
    <t>75802 Uzupełnienie subwencji ogólnej dla jednostek samorządu terytorialnego</t>
  </si>
  <si>
    <t>2750 środki na uzupełnienie dochodów gmin</t>
  </si>
  <si>
    <t>2780 środki na inwestycje rozpoczęte przed 1 stycznia 1999r.</t>
  </si>
  <si>
    <t>75802 Uzupełnienie subwencji ogólnej dla jednostek samorządu terytorialnego - razem</t>
  </si>
  <si>
    <t>75814 Różne rozliczenia finansowe</t>
  </si>
  <si>
    <t>0921 pozostałe odsetki</t>
  </si>
  <si>
    <t>75814 Różne rozliczenia finansowe - razem</t>
  </si>
  <si>
    <t>75815 wpływy do wyjaśnienia</t>
  </si>
  <si>
    <t>2980 wpływy do wyjaśnienia</t>
  </si>
  <si>
    <t>75815 - wpływy do wyjaśnienia - razem</t>
  </si>
  <si>
    <t>75832 Część równoważąca subwencji ogólnej dla powiatów</t>
  </si>
  <si>
    <t>75832 Część równoważąca subwencji ogólnej dla powiatów - razem</t>
  </si>
  <si>
    <t>758 RÓŻNE ROZLICZENIA - Suma</t>
  </si>
  <si>
    <t>801 OŚWIATA I WYCHOWANIE</t>
  </si>
  <si>
    <t>80101 Szkoły podstawowe</t>
  </si>
  <si>
    <t xml:space="preserve">0830 wpływy z usług </t>
  </si>
  <si>
    <t>2030 dotacje celowe otrzymane z budżetu państwa na realizację własnych zadań bieżących gmin (związków gmin)</t>
  </si>
  <si>
    <t>80101 Szkoły podstawowe - razem</t>
  </si>
  <si>
    <t>80102 Szkoły podstawowe specjalne</t>
  </si>
  <si>
    <t>80102 Szkoły podstawowe specjalne - razem</t>
  </si>
  <si>
    <t>80104 Przedszkola</t>
  </si>
  <si>
    <t>2370 wpływy do budżetu nadwyżki środków obrotowych zakładu budżetowego</t>
  </si>
  <si>
    <t>80104 Przedszkola - razem</t>
  </si>
  <si>
    <t>80110 Gimnazja</t>
  </si>
  <si>
    <t>80110 Gimnazja - razem</t>
  </si>
  <si>
    <t>80120 Licea ogólnokształcące</t>
  </si>
  <si>
    <t>2400 wpływy do budżetu nadwyżki dochodów własnych lub środków obrotowych</t>
  </si>
  <si>
    <t>80120 Licea ogólnokształcące - razem</t>
  </si>
  <si>
    <t>80130 Szkoły zawodowe</t>
  </si>
  <si>
    <t xml:space="preserve">0840 wpływy ze sprzedaży wyrobów </t>
  </si>
  <si>
    <t>0870 wpływy ze sprzedaży składników majątkowych</t>
  </si>
  <si>
    <t>80130 Szkoły zawodowe - razem</t>
  </si>
  <si>
    <t>80132 Szkoły artystyczne</t>
  </si>
  <si>
    <t>80132 Szkoły artystyczne - razem</t>
  </si>
  <si>
    <t>80140 Centra kształcenia ustawicznego i praktycznego oraz ośrodki dokształcania zawodowego</t>
  </si>
  <si>
    <t>80140 Centra kształcenia ustawicznego i praktycznego oraz ośrodki dokształcania zawodowego - razem</t>
  </si>
  <si>
    <t>80141 Zakłady kształcenia nauczycieli</t>
  </si>
  <si>
    <t xml:space="preserve">80146 Dokształcanie i doskonalenie nauczycieli </t>
  </si>
  <si>
    <t>80146 Dokształcanie i doskonalenie nauczycieli - razem</t>
  </si>
  <si>
    <t>80195 Pozostała działalność</t>
  </si>
  <si>
    <t>80195 Pozostała działalność - razem</t>
  </si>
  <si>
    <t>801 OŚWIATA I WYCHOWANIE - Suma</t>
  </si>
  <si>
    <t>851 OCHRONA ZDROWIA</t>
  </si>
  <si>
    <t>85121 Lecznictwo ambulatoryjne</t>
  </si>
  <si>
    <t>85121 Lecznictwo ambulatoryjne - razem</t>
  </si>
  <si>
    <t>85141 Ratownictwo medyczne</t>
  </si>
  <si>
    <t>85141 Ratownictwo medyczne- razem</t>
  </si>
  <si>
    <t xml:space="preserve">85153 Zwalczanie narkomanii </t>
  </si>
  <si>
    <t>85153 Zwalczanie narkomanii - razem</t>
  </si>
  <si>
    <t>85154 Przeciwdziałanie alkoholizmowi</t>
  </si>
  <si>
    <t xml:space="preserve">85154 Przeciwdziałanie alkoholizmowi - razem </t>
  </si>
  <si>
    <t>85156 Składki na ubezpieczenia zdrowotne oraz świadczenia dla osób nie objętych obowiązkiem ubezpieczenia zdrowotnego</t>
  </si>
  <si>
    <t>85156 Składki na ubezpieczenia zdrowotne oraz świadczenia dla osób nie objętych obowiązkiem ubezpieczenia zdrowotnego - razem</t>
  </si>
  <si>
    <t>85158 Izby wytrzeźwiń</t>
  </si>
  <si>
    <t>85158 Izby wytrzeźwiń - razem</t>
  </si>
  <si>
    <t>85195 Pozostała działalność</t>
  </si>
  <si>
    <t>851 OCHRONA ZDROWIA - Suma</t>
  </si>
  <si>
    <t>852 POMOC SPOŁECZNA</t>
  </si>
  <si>
    <t>85201 Placówki opiekuńczo - wychowawcze</t>
  </si>
  <si>
    <t>0680 wpływy od rodziców z tytułu odpłatności za utrzymanie dzieci (wychowanków) w placówkach opiekuńczo - wychowawczych</t>
  </si>
  <si>
    <t>85201 Placówki opiekuńczo - wychowawcze - razem</t>
  </si>
  <si>
    <t>85202 Domy pomocy społecznej</t>
  </si>
  <si>
    <t>2130 dotacje celowe otrzymane z budżetu państwa na realizację bieżących zadań własnych powiatu</t>
  </si>
  <si>
    <t>85202 Domy pomocy społecznej - razem</t>
  </si>
  <si>
    <t>85203 Ośrodki wsparcia</t>
  </si>
  <si>
    <t>85203 Ośrodki wsparcia - razem</t>
  </si>
  <si>
    <t>85204 Rodziny zastępcze</t>
  </si>
  <si>
    <t>85204 Rodziny zastępcze - razem</t>
  </si>
  <si>
    <t>85212 Świadczenia rodzinne oraz składki na ubezpieczenia emerytalne i rentowe z ubezpieczenia społecznego</t>
  </si>
  <si>
    <t>6310 dotacje celowe otrzymane z budżetu państwa na inwestycje i zakupy inwestycyjne z zakresu administracji rządowej oraz innych zadań zleconych gminom ustawami</t>
  </si>
  <si>
    <t>85212 Świadczenia rodzinne oraz składki na ubezpieczenia emerytalne i rentowe z ubezpieczenia społecznego - razem</t>
  </si>
  <si>
    <t>85213 Składki na ubezpieczenie zdrowotne opłacane za osoby pobierające niektóre świadczenia z pomocy społecznej oraz niektóre świadczenia rodzinne</t>
  </si>
  <si>
    <t>85213 Składki na ubezpieczenie zdrowotne opłacane za osoby pobierające niektóre świadczenia z pomocy społecznej oraz niektóre świadczenia rodzinne - razem</t>
  </si>
  <si>
    <t>85214 Zasiłki i pomoc w naturze oraz składki na ubezpieczenia społeczne</t>
  </si>
  <si>
    <t>85214 Zasiłki i pomoc w naturze oraz składki na ubezpieczenia społeczne - razem</t>
  </si>
  <si>
    <t>85215 Dodatki mieszkaniowe</t>
  </si>
  <si>
    <t>85215 Dodatki mieszkaniowe - razem</t>
  </si>
  <si>
    <t>85219 Ośrodki pomocy społecznej</t>
  </si>
  <si>
    <t>85219 Ośrodki pomocy społecznej - razem</t>
  </si>
  <si>
    <t>85220 Jednostki specjalistycznego poradnictwa, mieszkania chronione i ośrodki interwencji kryzysowej</t>
  </si>
  <si>
    <t>85220 Jednostki specjalistycznego poradnictwa, mieszkania chronione i ośrodki interwencji kryzysowej - razem</t>
  </si>
  <si>
    <t>85228 usługi opiekuńcze i specjalistyczne usługi opiekuńcze</t>
  </si>
  <si>
    <t>85228 usługi opiekuńcze i specjalistyczne usługi opiekuńcze - razem</t>
  </si>
  <si>
    <t>85295 Pozostała działalność</t>
  </si>
  <si>
    <t>85295 Pozostała działalność - razem</t>
  </si>
  <si>
    <t>852 POMOC SPOŁECZNA - Suma</t>
  </si>
  <si>
    <t>853 POZOSTAŁE ZADANIA W ZAKRESIE POLITYKI SPOŁECZNEJ</t>
  </si>
  <si>
    <t>85305 Żłobki</t>
  </si>
  <si>
    <t>85305 Żłobki - razem</t>
  </si>
  <si>
    <t>85311 Rehabilitacja zawodowa i społeczna osób niepełnosprawnych</t>
  </si>
  <si>
    <t>0928 pozostałe odsetki</t>
  </si>
  <si>
    <t>2708 środki na dofinansowanie własnych zadań bieżących gmin (związków gmin), powiatów (związków powiatów), samorządów województw, pozyskane z innych źródeł</t>
  </si>
  <si>
    <t>85321 Zespoły do spraw orzekania o niepełnosprawności</t>
  </si>
  <si>
    <t>85321 Zespoły do spraw orzekania o niepełnosprawności - razem</t>
  </si>
  <si>
    <t>85333 Powiatowe urzędy pracy</t>
  </si>
  <si>
    <t>85333 Powiatowe urzędy pracy - razem</t>
  </si>
  <si>
    <t>85395 Pozostała działalność</t>
  </si>
  <si>
    <t>85395 Pozostała działalność - razem</t>
  </si>
  <si>
    <t>853 POZOSTAŁE ZADANIA W ZAKRESIE POLITYKI SPOŁECZNEJ - Suma</t>
  </si>
  <si>
    <t>854 EDUKACYJNA OPIEKA WYCHOWAWCZA</t>
  </si>
  <si>
    <t>85401 Świetlice szkolne</t>
  </si>
  <si>
    <t>85401 Świetlice szkolne - razem</t>
  </si>
  <si>
    <t>85403 Specjalne ośrodki szkolno - wychowawcze</t>
  </si>
  <si>
    <t>85403 Specjalne ośrodki szkolno - wychowawcze - razem</t>
  </si>
  <si>
    <t>85406 Poradnie psychologiczno - pedagogiczne, w tym poradnie specjalistyczne</t>
  </si>
  <si>
    <t>85406 Poradnie psychologiczno - pedagogiczne, w tym poradnie specjalistyczne suma</t>
  </si>
  <si>
    <t>85407 Placówki wychowania pozaszkolnego</t>
  </si>
  <si>
    <t>85407 Placówki wychowania pozaszkolnego - razem</t>
  </si>
  <si>
    <t>85410 Internaty i bursy szkolne</t>
  </si>
  <si>
    <t>85410 Internaty i bursy szkolne - razem</t>
  </si>
  <si>
    <t>85412 Kolonie i obozy oraz inne formy wypoczynku dzieci i młodzieży szkolnej, a także szkolenia młodzieży</t>
  </si>
  <si>
    <t>85415 Pomoc materialna dla uczniów</t>
  </si>
  <si>
    <t>2888 dotacja celowa przekazana jednostce samorządu terytorialnego przez inną jednostkę samorządu terytorialnego będącą instytucją wdrażającą na zadania bieżące realizowane na podstawie porozumień (umów)</t>
  </si>
  <si>
    <t>2889 dotacja celowa przekazana jednostce samorządu terytorialnego przez inną jednostkę samorządu terytorialnego będącą instytucją wdrażającą na zadania bieżące realizowane na podstawie porozumień (umów)</t>
  </si>
  <si>
    <t>85415 Pomoc materialna dla uczniów - suma</t>
  </si>
  <si>
    <t>85417 Szkolne schroniska młodzieżowe</t>
  </si>
  <si>
    <t>85417 Szkolne schroniska młodzieżowe - suma</t>
  </si>
  <si>
    <t>85495 Pozostała działalność</t>
  </si>
  <si>
    <t>85495 Pozostała działalność - Suma</t>
  </si>
  <si>
    <t>854 EDUKACYJNA OPIEKA WYCHOWAWCZA - Suma</t>
  </si>
  <si>
    <t>900 GOSPODARKA KOMUNALNA I OCHRONA ŚRODOWISKA</t>
  </si>
  <si>
    <t>90003 Oczyszczanie miast i wsi</t>
  </si>
  <si>
    <t>90003 Oczyszczanie miast i wsi - suma</t>
  </si>
  <si>
    <t>90004 Utrzymanie zieleni w miastach i gminach</t>
  </si>
  <si>
    <t>0840 wpływy ze sprzedaży wyrobów</t>
  </si>
  <si>
    <t>90004 Utrzymanie zieleni w miastach i gminach - suma</t>
  </si>
  <si>
    <t>90011 Fundusz Ochrony Środowiska i Gospodarki Wodnej</t>
  </si>
  <si>
    <t>90011 Fundusz Ochrony Środowiska i Gospodarki Wodnej - Suma</t>
  </si>
  <si>
    <t>90013 Schroniska dla zwierząt</t>
  </si>
  <si>
    <t>90013 Schroniska dla zwierząt -suma</t>
  </si>
  <si>
    <t>90017 Zakłady gospodarki komunalnej</t>
  </si>
  <si>
    <t>90017 Zakłady gospodarki komunalnej - razem</t>
  </si>
  <si>
    <t>90095 Pozostała działalność</t>
  </si>
  <si>
    <t>6260 dotacje otrzymane z funduszy celowych na finansowanie lub dofinansowanie kosztów realizacji inwestycji i zakupów inwestycyjnych jednostek sektora finansów publicznych</t>
  </si>
  <si>
    <t>90095 Pozostała działalność - razem</t>
  </si>
  <si>
    <t>900 GOSPODARKA KOMUNALNA I OCHRONA ŚRODOWISKA - Suma</t>
  </si>
  <si>
    <t>921 KULTURA I OCHRONA DZIEDZICTWA NARODOWEGO</t>
  </si>
  <si>
    <t xml:space="preserve">92106 Teatry dramatyczne i lalkowe </t>
  </si>
  <si>
    <t>92106 Teatry dramatyczne i lalkowe - razem</t>
  </si>
  <si>
    <t>92116 Biblioteki</t>
  </si>
  <si>
    <t>92116 Biblioteki - razem</t>
  </si>
  <si>
    <t>92118 Muzea</t>
  </si>
  <si>
    <t>6330 dotacje celowe otrzymane z budżetu państwa na realizację inwestycji i zakupów inwestycyjnych własnych gmin (związków gmin)</t>
  </si>
  <si>
    <t>92118 Muzea - razem</t>
  </si>
  <si>
    <t>926 KULTURA FIZYCZNA I SPORT</t>
  </si>
  <si>
    <t>92601 Obiekty sportowe</t>
  </si>
  <si>
    <t>92601 Obiekty sportowe - razem</t>
  </si>
  <si>
    <t>92605 Zadania w zakresie kultury fizycznej i sportu</t>
  </si>
  <si>
    <t>92605 Zadania w zakresie kultury fizycznej i sportu- razem</t>
  </si>
  <si>
    <t>926 KULTURA FIZYCZNA I SPORT - Suma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</si>
</sst>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00%"/>
  </numFmts>
  <fonts count="9">
    <font>
      <sz val="8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2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i/>
      <sz val="7"/>
      <name val="Arial CE"/>
      <family val="2"/>
    </font>
    <font>
      <i/>
      <sz val="7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3" fontId="5" fillId="0" borderId="8" xfId="0" applyNumberFormat="1" applyFont="1" applyBorder="1" applyAlignment="1">
      <alignment horizontal="left" vertical="top" wrapText="1"/>
    </xf>
    <xf numFmtId="3" fontId="4" fillId="0" borderId="9" xfId="0" applyNumberFormat="1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left" vertical="top" wrapText="1"/>
    </xf>
    <xf numFmtId="3" fontId="4" fillId="0" borderId="7" xfId="0" applyNumberFormat="1" applyFont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164" fontId="4" fillId="0" borderId="7" xfId="19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 horizontal="left" vertical="top" wrapText="1"/>
    </xf>
    <xf numFmtId="3" fontId="6" fillId="0" borderId="7" xfId="0" applyNumberFormat="1" applyFont="1" applyFill="1" applyBorder="1" applyAlignment="1">
      <alignment vertical="center"/>
    </xf>
    <xf numFmtId="3" fontId="5" fillId="0" borderId="3" xfId="0" applyNumberFormat="1" applyFont="1" applyBorder="1" applyAlignment="1">
      <alignment horizontal="left" vertical="top" wrapText="1"/>
    </xf>
    <xf numFmtId="3" fontId="4" fillId="0" borderId="6" xfId="0" applyNumberFormat="1" applyFont="1" applyBorder="1" applyAlignment="1">
      <alignment horizontal="left" vertical="top" wrapText="1"/>
    </xf>
    <xf numFmtId="3" fontId="5" fillId="0" borderId="7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horizontal="left"/>
    </xf>
    <xf numFmtId="3" fontId="5" fillId="2" borderId="7" xfId="0" applyNumberFormat="1" applyFont="1" applyFill="1" applyBorder="1" applyAlignment="1">
      <alignment horizontal="left"/>
    </xf>
    <xf numFmtId="3" fontId="5" fillId="2" borderId="7" xfId="0" applyNumberFormat="1" applyFont="1" applyFill="1" applyBorder="1" applyAlignment="1">
      <alignment vertical="center"/>
    </xf>
    <xf numFmtId="164" fontId="4" fillId="2" borderId="7" xfId="19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left" vertical="top" wrapText="1"/>
    </xf>
    <xf numFmtId="3" fontId="4" fillId="0" borderId="6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/>
    </xf>
    <xf numFmtId="3" fontId="4" fillId="0" borderId="13" xfId="0" applyNumberFormat="1" applyFont="1" applyBorder="1" applyAlignment="1">
      <alignment horizontal="left" vertical="top" wrapText="1"/>
    </xf>
    <xf numFmtId="3" fontId="4" fillId="0" borderId="14" xfId="0" applyNumberFormat="1" applyFont="1" applyBorder="1" applyAlignment="1">
      <alignment horizontal="left" vertical="top" wrapText="1"/>
    </xf>
    <xf numFmtId="3" fontId="4" fillId="0" borderId="13" xfId="0" applyNumberFormat="1" applyFont="1" applyBorder="1" applyAlignment="1">
      <alignment horizontal="left" vertical="top" wrapText="1"/>
    </xf>
    <xf numFmtId="3" fontId="7" fillId="0" borderId="7" xfId="0" applyNumberFormat="1" applyFont="1" applyFill="1" applyBorder="1" applyAlignment="1">
      <alignment vertical="center"/>
    </xf>
    <xf numFmtId="3" fontId="4" fillId="0" borderId="5" xfId="0" applyNumberFormat="1" applyFont="1" applyBorder="1" applyAlignment="1">
      <alignment horizontal="left" vertical="top" wrapText="1"/>
    </xf>
    <xf numFmtId="3" fontId="5" fillId="2" borderId="10" xfId="0" applyNumberFormat="1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left" vertical="center" wrapText="1"/>
    </xf>
    <xf numFmtId="164" fontId="4" fillId="0" borderId="7" xfId="19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horizontal="left" vertical="top" wrapText="1"/>
    </xf>
    <xf numFmtId="3" fontId="5" fillId="3" borderId="7" xfId="0" applyNumberFormat="1" applyFont="1" applyFill="1" applyBorder="1" applyAlignment="1">
      <alignment horizontal="left"/>
    </xf>
    <xf numFmtId="3" fontId="8" fillId="3" borderId="7" xfId="0" applyNumberFormat="1" applyFont="1" applyFill="1" applyBorder="1" applyAlignment="1">
      <alignment horizontal="left"/>
    </xf>
    <xf numFmtId="3" fontId="8" fillId="3" borderId="7" xfId="0" applyNumberFormat="1" applyFont="1" applyFill="1" applyBorder="1" applyAlignment="1">
      <alignment vertical="center"/>
    </xf>
    <xf numFmtId="164" fontId="4" fillId="3" borderId="7" xfId="19" applyNumberFormat="1" applyFont="1" applyFill="1" applyBorder="1" applyAlignment="1">
      <alignment vertical="center"/>
    </xf>
    <xf numFmtId="3" fontId="5" fillId="0" borderId="15" xfId="0" applyNumberFormat="1" applyFont="1" applyBorder="1" applyAlignment="1">
      <alignment horizontal="left" vertical="top" wrapText="1"/>
    </xf>
    <xf numFmtId="3" fontId="5" fillId="3" borderId="16" xfId="0" applyNumberFormat="1" applyFont="1" applyFill="1" applyBorder="1" applyAlignment="1">
      <alignment horizontal="left" vertical="top" wrapText="1"/>
    </xf>
    <xf numFmtId="3" fontId="5" fillId="3" borderId="14" xfId="0" applyNumberFormat="1" applyFont="1" applyFill="1" applyBorder="1" applyAlignment="1">
      <alignment horizontal="left" vertical="top" wrapText="1"/>
    </xf>
    <xf numFmtId="3" fontId="5" fillId="3" borderId="10" xfId="0" applyNumberFormat="1" applyFont="1" applyFill="1" applyBorder="1" applyAlignment="1">
      <alignment horizontal="left"/>
    </xf>
    <xf numFmtId="3" fontId="5" fillId="0" borderId="17" xfId="0" applyNumberFormat="1" applyFont="1" applyBorder="1" applyAlignment="1">
      <alignment horizontal="left" vertical="top" wrapText="1"/>
    </xf>
    <xf numFmtId="3" fontId="4" fillId="0" borderId="18" xfId="0" applyNumberFormat="1" applyFont="1" applyBorder="1" applyAlignment="1">
      <alignment horizontal="left" vertical="top" wrapText="1"/>
    </xf>
    <xf numFmtId="3" fontId="4" fillId="0" borderId="19" xfId="0" applyNumberFormat="1" applyFont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left" vertical="top" wrapText="1"/>
    </xf>
    <xf numFmtId="3" fontId="4" fillId="0" borderId="7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3" fontId="5" fillId="0" borderId="6" xfId="0" applyNumberFormat="1" applyFont="1" applyBorder="1" applyAlignment="1">
      <alignment horizontal="left" vertical="top" wrapText="1"/>
    </xf>
    <xf numFmtId="3" fontId="8" fillId="0" borderId="7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/>
    </xf>
    <xf numFmtId="3" fontId="4" fillId="0" borderId="7" xfId="0" applyNumberFormat="1" applyFont="1" applyBorder="1" applyAlignment="1">
      <alignment horizontal="left" vertical="top" wrapText="1"/>
    </xf>
    <xf numFmtId="3" fontId="4" fillId="0" borderId="13" xfId="0" applyNumberFormat="1" applyFont="1" applyFill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left" vertical="top" wrapText="1"/>
    </xf>
    <xf numFmtId="3" fontId="5" fillId="2" borderId="16" xfId="0" applyNumberFormat="1" applyFont="1" applyFill="1" applyBorder="1" applyAlignment="1">
      <alignment horizontal="left"/>
    </xf>
    <xf numFmtId="3" fontId="5" fillId="2" borderId="3" xfId="0" applyNumberFormat="1" applyFont="1" applyFill="1" applyBorder="1" applyAlignment="1">
      <alignment horizontal="left"/>
    </xf>
    <xf numFmtId="3" fontId="5" fillId="3" borderId="16" xfId="0" applyNumberFormat="1" applyFont="1" applyFill="1" applyBorder="1" applyAlignment="1">
      <alignment horizontal="left"/>
    </xf>
    <xf numFmtId="3" fontId="8" fillId="3" borderId="16" xfId="0" applyNumberFormat="1" applyFont="1" applyFill="1" applyBorder="1" applyAlignment="1">
      <alignment horizontal="left"/>
    </xf>
    <xf numFmtId="3" fontId="4" fillId="0" borderId="0" xfId="0" applyNumberFormat="1" applyFont="1" applyBorder="1" applyAlignment="1">
      <alignment horizontal="left" vertical="top" wrapText="1"/>
    </xf>
    <xf numFmtId="3" fontId="5" fillId="0" borderId="13" xfId="0" applyNumberFormat="1" applyFont="1" applyBorder="1" applyAlignment="1">
      <alignment horizontal="left" vertical="top" wrapText="1"/>
    </xf>
    <xf numFmtId="3" fontId="5" fillId="2" borderId="4" xfId="0" applyNumberFormat="1" applyFont="1" applyFill="1" applyBorder="1" applyAlignment="1">
      <alignment horizontal="left"/>
    </xf>
    <xf numFmtId="3" fontId="5" fillId="0" borderId="15" xfId="0" applyNumberFormat="1" applyFont="1" applyFill="1" applyBorder="1" applyAlignment="1">
      <alignment horizontal="left" vertical="top" wrapText="1"/>
    </xf>
    <xf numFmtId="3" fontId="5" fillId="2" borderId="14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 horizontal="left" vertical="top" wrapText="1"/>
    </xf>
    <xf numFmtId="3" fontId="5" fillId="0" borderId="3" xfId="0" applyNumberFormat="1" applyFont="1" applyBorder="1" applyAlignment="1">
      <alignment horizontal="left" vertical="top" wrapText="1"/>
    </xf>
    <xf numFmtId="3" fontId="5" fillId="0" borderId="15" xfId="0" applyNumberFormat="1" applyFont="1" applyBorder="1" applyAlignment="1">
      <alignment horizontal="left" vertical="top" wrapText="1"/>
    </xf>
    <xf numFmtId="3" fontId="5" fillId="0" borderId="20" xfId="0" applyNumberFormat="1" applyFont="1" applyBorder="1" applyAlignment="1">
      <alignment horizontal="left" vertical="top" wrapText="1"/>
    </xf>
    <xf numFmtId="3" fontId="4" fillId="0" borderId="21" xfId="0" applyNumberFormat="1" applyFont="1" applyBorder="1" applyAlignment="1">
      <alignment horizontal="left" vertical="top" wrapText="1"/>
    </xf>
    <xf numFmtId="3" fontId="4" fillId="0" borderId="22" xfId="0" applyNumberFormat="1" applyFont="1" applyBorder="1" applyAlignment="1">
      <alignment horizontal="left" vertical="top" wrapText="1"/>
    </xf>
    <xf numFmtId="3" fontId="5" fillId="0" borderId="20" xfId="0" applyNumberFormat="1" applyFont="1" applyBorder="1" applyAlignment="1">
      <alignment horizontal="left" vertical="top" wrapText="1"/>
    </xf>
    <xf numFmtId="3" fontId="4" fillId="0" borderId="22" xfId="0" applyNumberFormat="1" applyFont="1" applyBorder="1" applyAlignment="1">
      <alignment horizontal="left" vertical="top" wrapText="1"/>
    </xf>
    <xf numFmtId="3" fontId="8" fillId="3" borderId="16" xfId="0" applyNumberFormat="1" applyFont="1" applyFill="1" applyBorder="1" applyAlignment="1">
      <alignment horizontal="left"/>
    </xf>
    <xf numFmtId="3" fontId="4" fillId="2" borderId="7" xfId="0" applyNumberFormat="1" applyFont="1" applyFill="1" applyBorder="1" applyAlignment="1">
      <alignment horizontal="left" vertical="top" wrapText="1"/>
    </xf>
    <xf numFmtId="0" fontId="4" fillId="0" borderId="23" xfId="0" applyFont="1" applyBorder="1" applyAlignment="1">
      <alignment vertical="top" wrapText="1"/>
    </xf>
    <xf numFmtId="3" fontId="4" fillId="2" borderId="7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left" vertical="top" wrapText="1"/>
    </xf>
    <xf numFmtId="3" fontId="4" fillId="0" borderId="7" xfId="0" applyNumberFormat="1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0" xfId="0" applyNumberFormat="1" applyFont="1" applyFill="1" applyBorder="1" applyAlignment="1">
      <alignment horizontal="left"/>
    </xf>
    <xf numFmtId="3" fontId="5" fillId="2" borderId="24" xfId="0" applyNumberFormat="1" applyFont="1" applyFill="1" applyBorder="1" applyAlignment="1">
      <alignment horizontal="left"/>
    </xf>
    <xf numFmtId="3" fontId="4" fillId="0" borderId="3" xfId="0" applyNumberFormat="1" applyFont="1" applyBorder="1" applyAlignment="1">
      <alignment horizontal="left" vertical="top" wrapText="1"/>
    </xf>
    <xf numFmtId="3" fontId="4" fillId="0" borderId="20" xfId="0" applyNumberFormat="1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left" vertical="top" wrapText="1"/>
    </xf>
    <xf numFmtId="3" fontId="4" fillId="2" borderId="20" xfId="0" applyNumberFormat="1" applyFont="1" applyFill="1" applyBorder="1" applyAlignment="1">
      <alignment horizontal="left" vertical="top" wrapText="1"/>
    </xf>
    <xf numFmtId="3" fontId="4" fillId="2" borderId="12" xfId="0" applyNumberFormat="1" applyFont="1" applyFill="1" applyBorder="1" applyAlignment="1">
      <alignment horizontal="left" vertical="top" wrapText="1"/>
    </xf>
    <xf numFmtId="3" fontId="5" fillId="3" borderId="6" xfId="0" applyNumberFormat="1" applyFont="1" applyFill="1" applyBorder="1" applyAlignment="1">
      <alignment horizontal="left"/>
    </xf>
    <xf numFmtId="3" fontId="8" fillId="3" borderId="20" xfId="0" applyNumberFormat="1" applyFont="1" applyFill="1" applyBorder="1" applyAlignment="1">
      <alignment horizontal="left"/>
    </xf>
    <xf numFmtId="3" fontId="8" fillId="3" borderId="10" xfId="0" applyNumberFormat="1" applyFont="1" applyFill="1" applyBorder="1" applyAlignment="1">
      <alignment horizontal="left"/>
    </xf>
    <xf numFmtId="3" fontId="4" fillId="0" borderId="5" xfId="0" applyNumberFormat="1" applyFont="1" applyBorder="1" applyAlignment="1">
      <alignment horizontal="left" vertical="top" wrapText="1"/>
    </xf>
    <xf numFmtId="3" fontId="4" fillId="0" borderId="23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3" fontId="5" fillId="2" borderId="16" xfId="0" applyNumberFormat="1" applyFont="1" applyFill="1" applyBorder="1" applyAlignment="1">
      <alignment horizontal="left" vertical="top" wrapText="1"/>
    </xf>
    <xf numFmtId="3" fontId="5" fillId="2" borderId="14" xfId="0" applyNumberFormat="1" applyFont="1" applyFill="1" applyBorder="1" applyAlignment="1">
      <alignment horizontal="left" vertical="top" wrapText="1"/>
    </xf>
    <xf numFmtId="3" fontId="5" fillId="2" borderId="5" xfId="0" applyNumberFormat="1" applyFont="1" applyFill="1" applyBorder="1" applyAlignment="1">
      <alignment horizontal="left"/>
    </xf>
    <xf numFmtId="3" fontId="5" fillId="0" borderId="13" xfId="0" applyNumberFormat="1" applyFont="1" applyBorder="1" applyAlignment="1">
      <alignment horizontal="left" vertical="top" wrapText="1"/>
    </xf>
    <xf numFmtId="3" fontId="5" fillId="0" borderId="13" xfId="0" applyNumberFormat="1" applyFont="1" applyFill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left" vertical="top" wrapText="1"/>
    </xf>
    <xf numFmtId="3" fontId="5" fillId="3" borderId="15" xfId="0" applyNumberFormat="1" applyFont="1" applyFill="1" applyBorder="1" applyAlignment="1">
      <alignment horizontal="left"/>
    </xf>
    <xf numFmtId="3" fontId="4" fillId="0" borderId="14" xfId="0" applyNumberFormat="1" applyFont="1" applyBorder="1" applyAlignment="1">
      <alignment horizontal="left" vertical="top" wrapText="1"/>
    </xf>
    <xf numFmtId="3" fontId="8" fillId="3" borderId="24" xfId="0" applyNumberFormat="1" applyFont="1" applyFill="1" applyBorder="1" applyAlignment="1">
      <alignment horizontal="left"/>
    </xf>
    <xf numFmtId="3" fontId="8" fillId="3" borderId="0" xfId="0" applyNumberFormat="1" applyFont="1" applyFill="1" applyBorder="1" applyAlignment="1">
      <alignment horizontal="left"/>
    </xf>
    <xf numFmtId="3" fontId="8" fillId="3" borderId="13" xfId="0" applyNumberFormat="1" applyFont="1" applyFill="1" applyBorder="1" applyAlignment="1">
      <alignment horizontal="left"/>
    </xf>
    <xf numFmtId="3" fontId="5" fillId="0" borderId="16" xfId="0" applyNumberFormat="1" applyFont="1" applyBorder="1" applyAlignment="1">
      <alignment horizontal="left" vertical="top" wrapText="1"/>
    </xf>
    <xf numFmtId="3" fontId="5" fillId="0" borderId="16" xfId="0" applyNumberFormat="1" applyFont="1" applyBorder="1" applyAlignment="1">
      <alignment horizontal="left" vertical="top" wrapText="1"/>
    </xf>
    <xf numFmtId="3" fontId="5" fillId="0" borderId="7" xfId="0" applyNumberFormat="1" applyFont="1" applyBorder="1" applyAlignment="1">
      <alignment horizontal="left" vertical="top" wrapText="1"/>
    </xf>
    <xf numFmtId="3" fontId="8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0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5" sqref="D5"/>
    </sheetView>
  </sheetViews>
  <sheetFormatPr defaultColWidth="9.140625" defaultRowHeight="12"/>
  <cols>
    <col min="1" max="1" width="14.8515625" style="116" customWidth="1"/>
    <col min="2" max="2" width="15.7109375" style="116" customWidth="1"/>
    <col min="3" max="3" width="31.28125" style="116" customWidth="1"/>
    <col min="4" max="5" width="10.8515625" style="55" customWidth="1"/>
    <col min="6" max="7" width="9.8515625" style="55" customWidth="1"/>
    <col min="8" max="8" width="10.8515625" style="55" customWidth="1"/>
    <col min="9" max="9" width="11.00390625" style="55" customWidth="1"/>
    <col min="10" max="10" width="11.28125" style="55" customWidth="1"/>
    <col min="11" max="12" width="9.8515625" style="55" customWidth="1"/>
    <col min="13" max="13" width="10.8515625" style="55" customWidth="1"/>
    <col min="14" max="14" width="7.28125" style="55" customWidth="1"/>
    <col min="15" max="16384" width="9.28125" style="2" customWidth="1"/>
  </cols>
  <sheetData>
    <row r="1" spans="1:14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.75">
      <c r="A2" s="3"/>
      <c r="B2" s="3"/>
      <c r="C2" s="4"/>
      <c r="D2" s="5" t="s">
        <v>1</v>
      </c>
      <c r="E2" s="6"/>
      <c r="F2" s="6"/>
      <c r="G2" s="6"/>
      <c r="H2" s="7"/>
      <c r="I2" s="5" t="s">
        <v>2</v>
      </c>
      <c r="J2" s="6"/>
      <c r="K2" s="6"/>
      <c r="L2" s="6"/>
      <c r="M2" s="7"/>
      <c r="N2" s="8"/>
    </row>
    <row r="3" spans="1:14" s="12" customFormat="1" ht="28.5" customHeight="1">
      <c r="A3" s="9" t="s">
        <v>3</v>
      </c>
      <c r="B3" s="9" t="s">
        <v>4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1" t="s">
        <v>6</v>
      </c>
      <c r="J3" s="11" t="s">
        <v>7</v>
      </c>
      <c r="K3" s="11" t="s">
        <v>8</v>
      </c>
      <c r="L3" s="11" t="s">
        <v>9</v>
      </c>
      <c r="M3" s="11" t="s">
        <v>10</v>
      </c>
      <c r="N3" s="11" t="s">
        <v>11</v>
      </c>
    </row>
    <row r="4" spans="1:14" ht="9.75">
      <c r="A4" s="13" t="s">
        <v>12</v>
      </c>
      <c r="B4" s="14" t="s">
        <v>13</v>
      </c>
      <c r="C4" s="15" t="s">
        <v>14</v>
      </c>
      <c r="D4" s="16">
        <v>7000</v>
      </c>
      <c r="E4" s="16"/>
      <c r="F4" s="16"/>
      <c r="G4" s="16"/>
      <c r="H4" s="17">
        <f aca="true" t="shared" si="0" ref="H4:H18">SUM(D4:G4)</f>
        <v>7000</v>
      </c>
      <c r="I4" s="17">
        <v>14069</v>
      </c>
      <c r="J4" s="17"/>
      <c r="K4" s="17"/>
      <c r="L4" s="17"/>
      <c r="M4" s="17">
        <f aca="true" t="shared" si="1" ref="M4:M14">SUM(I4:L4)</f>
        <v>14069</v>
      </c>
      <c r="N4" s="18">
        <f aca="true" t="shared" si="2" ref="N4:N12">M4/H4</f>
        <v>2.009857142857143</v>
      </c>
    </row>
    <row r="5" spans="1:14" ht="48.75">
      <c r="A5" s="13"/>
      <c r="B5" s="14"/>
      <c r="C5" s="19" t="s">
        <v>15</v>
      </c>
      <c r="D5" s="16">
        <v>26220</v>
      </c>
      <c r="E5" s="16"/>
      <c r="F5" s="16"/>
      <c r="G5" s="16"/>
      <c r="H5" s="17">
        <f t="shared" si="0"/>
        <v>26220</v>
      </c>
      <c r="I5" s="17">
        <v>26220</v>
      </c>
      <c r="J5" s="17"/>
      <c r="K5" s="17"/>
      <c r="L5" s="17"/>
      <c r="M5" s="17">
        <f t="shared" si="1"/>
        <v>26220</v>
      </c>
      <c r="N5" s="18">
        <f t="shared" si="2"/>
        <v>1</v>
      </c>
    </row>
    <row r="6" spans="1:14" ht="9.75">
      <c r="A6" s="13"/>
      <c r="B6" s="14"/>
      <c r="C6" s="19" t="s">
        <v>16</v>
      </c>
      <c r="D6" s="16">
        <v>66486450</v>
      </c>
      <c r="E6" s="16"/>
      <c r="F6" s="16"/>
      <c r="G6" s="16"/>
      <c r="H6" s="17">
        <f t="shared" si="0"/>
        <v>66486450</v>
      </c>
      <c r="I6" s="17">
        <v>63614544</v>
      </c>
      <c r="J6" s="17"/>
      <c r="K6" s="17"/>
      <c r="L6" s="17"/>
      <c r="M6" s="17">
        <f t="shared" si="1"/>
        <v>63614544</v>
      </c>
      <c r="N6" s="18">
        <f t="shared" si="2"/>
        <v>0.9568046421488889</v>
      </c>
    </row>
    <row r="7" spans="1:14" ht="9.75">
      <c r="A7" s="20"/>
      <c r="B7" s="14"/>
      <c r="C7" s="19" t="s">
        <v>17</v>
      </c>
      <c r="D7" s="16">
        <f>42200-26220</f>
        <v>15980</v>
      </c>
      <c r="E7" s="16"/>
      <c r="F7" s="16"/>
      <c r="G7" s="16"/>
      <c r="H7" s="17">
        <f t="shared" si="0"/>
        <v>15980</v>
      </c>
      <c r="I7" s="17">
        <v>83058</v>
      </c>
      <c r="J7" s="17"/>
      <c r="K7" s="21"/>
      <c r="L7" s="21"/>
      <c r="M7" s="17">
        <f t="shared" si="1"/>
        <v>83058</v>
      </c>
      <c r="N7" s="18">
        <f t="shared" si="2"/>
        <v>5.197622027534418</v>
      </c>
    </row>
    <row r="8" spans="1:14" ht="9.75">
      <c r="A8" s="22"/>
      <c r="B8" s="14"/>
      <c r="C8" s="23" t="s">
        <v>18</v>
      </c>
      <c r="D8" s="16">
        <v>131350</v>
      </c>
      <c r="E8" s="16"/>
      <c r="F8" s="16"/>
      <c r="G8" s="16"/>
      <c r="H8" s="17">
        <f t="shared" si="0"/>
        <v>131350</v>
      </c>
      <c r="I8" s="17">
        <v>295777</v>
      </c>
      <c r="J8" s="17"/>
      <c r="K8" s="24"/>
      <c r="L8" s="24"/>
      <c r="M8" s="17">
        <f t="shared" si="1"/>
        <v>295777</v>
      </c>
      <c r="N8" s="18">
        <f t="shared" si="2"/>
        <v>2.251823372668443</v>
      </c>
    </row>
    <row r="9" spans="1:14" ht="39" customHeight="1">
      <c r="A9" s="22"/>
      <c r="B9" s="15"/>
      <c r="C9" s="23" t="s">
        <v>19</v>
      </c>
      <c r="D9" s="16">
        <v>3403217</v>
      </c>
      <c r="E9" s="16"/>
      <c r="F9" s="16"/>
      <c r="G9" s="16"/>
      <c r="H9" s="17">
        <f t="shared" si="0"/>
        <v>3403217</v>
      </c>
      <c r="I9" s="17">
        <v>3110397</v>
      </c>
      <c r="J9" s="24"/>
      <c r="K9" s="24"/>
      <c r="L9" s="24"/>
      <c r="M9" s="17">
        <f t="shared" si="1"/>
        <v>3110397</v>
      </c>
      <c r="N9" s="18">
        <f t="shared" si="2"/>
        <v>0.9139578816161297</v>
      </c>
    </row>
    <row r="10" spans="1:14" ht="9.75">
      <c r="A10" s="22"/>
      <c r="B10" s="25" t="s">
        <v>20</v>
      </c>
      <c r="C10" s="26"/>
      <c r="D10" s="27">
        <f>SUM(D4:D9)</f>
        <v>70070217</v>
      </c>
      <c r="E10" s="27">
        <f>SUM(E4:E9)</f>
        <v>0</v>
      </c>
      <c r="F10" s="27">
        <f>SUM(F4:F9)</f>
        <v>0</v>
      </c>
      <c r="G10" s="27">
        <f>SUM(G4:G9)</f>
        <v>0</v>
      </c>
      <c r="H10" s="27">
        <f t="shared" si="0"/>
        <v>70070217</v>
      </c>
      <c r="I10" s="27">
        <f>SUM(I4:I9)</f>
        <v>67144065</v>
      </c>
      <c r="J10" s="27">
        <f>SUM(J4:J9)</f>
        <v>0</v>
      </c>
      <c r="K10" s="27">
        <f>SUM(K4:K9)</f>
        <v>0</v>
      </c>
      <c r="L10" s="27">
        <f>SUM(L4:L9)</f>
        <v>0</v>
      </c>
      <c r="M10" s="27">
        <f t="shared" si="1"/>
        <v>67144065</v>
      </c>
      <c r="N10" s="28">
        <f t="shared" si="2"/>
        <v>0.9582397183099918</v>
      </c>
    </row>
    <row r="11" spans="1:14" s="32" customFormat="1" ht="9.75">
      <c r="A11" s="29"/>
      <c r="B11" s="30" t="s">
        <v>21</v>
      </c>
      <c r="C11" s="31" t="s">
        <v>14</v>
      </c>
      <c r="D11" s="24"/>
      <c r="E11" s="17">
        <v>780000</v>
      </c>
      <c r="F11" s="24"/>
      <c r="G11" s="24"/>
      <c r="H11" s="17">
        <f t="shared" si="0"/>
        <v>780000</v>
      </c>
      <c r="I11" s="17"/>
      <c r="J11" s="17">
        <v>731562</v>
      </c>
      <c r="K11" s="24"/>
      <c r="L11" s="24"/>
      <c r="M11" s="17">
        <f t="shared" si="1"/>
        <v>731562</v>
      </c>
      <c r="N11" s="18">
        <f t="shared" si="2"/>
        <v>0.9379</v>
      </c>
    </row>
    <row r="12" spans="1:14" s="32" customFormat="1" ht="48.75">
      <c r="A12" s="29"/>
      <c r="B12" s="33"/>
      <c r="C12" s="34" t="s">
        <v>15</v>
      </c>
      <c r="D12" s="24"/>
      <c r="E12" s="17">
        <v>80000</v>
      </c>
      <c r="F12" s="24"/>
      <c r="G12" s="24"/>
      <c r="H12" s="17">
        <f t="shared" si="0"/>
        <v>80000</v>
      </c>
      <c r="I12" s="17"/>
      <c r="J12" s="17">
        <v>81577</v>
      </c>
      <c r="K12" s="24"/>
      <c r="L12" s="24"/>
      <c r="M12" s="17">
        <f t="shared" si="1"/>
        <v>81577</v>
      </c>
      <c r="N12" s="18">
        <f t="shared" si="2"/>
        <v>1.0197125</v>
      </c>
    </row>
    <row r="13" spans="1:14" s="32" customFormat="1" ht="9.75">
      <c r="A13" s="29"/>
      <c r="B13" s="35"/>
      <c r="C13" s="34" t="s">
        <v>17</v>
      </c>
      <c r="D13" s="24"/>
      <c r="E13" s="17"/>
      <c r="F13" s="24"/>
      <c r="G13" s="24"/>
      <c r="H13" s="17">
        <f t="shared" si="0"/>
        <v>0</v>
      </c>
      <c r="I13" s="17"/>
      <c r="J13" s="17">
        <v>5117</v>
      </c>
      <c r="K13" s="24"/>
      <c r="L13" s="24"/>
      <c r="M13" s="17">
        <f t="shared" si="1"/>
        <v>5117</v>
      </c>
      <c r="N13" s="18"/>
    </row>
    <row r="14" spans="1:14" s="32" customFormat="1" ht="9.75">
      <c r="A14" s="29"/>
      <c r="B14" s="35"/>
      <c r="C14" s="34" t="s">
        <v>18</v>
      </c>
      <c r="D14" s="24"/>
      <c r="E14" s="17">
        <v>40000</v>
      </c>
      <c r="F14" s="24"/>
      <c r="G14" s="24"/>
      <c r="H14" s="17">
        <f t="shared" si="0"/>
        <v>40000</v>
      </c>
      <c r="I14" s="17"/>
      <c r="J14" s="17">
        <v>1967154</v>
      </c>
      <c r="K14" s="24"/>
      <c r="L14" s="24"/>
      <c r="M14" s="17">
        <f t="shared" si="1"/>
        <v>1967154</v>
      </c>
      <c r="N14" s="18">
        <f aca="true" t="shared" si="3" ref="N14:N19">M14/H14</f>
        <v>49.17885</v>
      </c>
    </row>
    <row r="15" spans="1:14" s="32" customFormat="1" ht="19.5">
      <c r="A15" s="29"/>
      <c r="B15" s="35"/>
      <c r="C15" s="31" t="s">
        <v>22</v>
      </c>
      <c r="D15" s="24"/>
      <c r="E15" s="17">
        <v>417392</v>
      </c>
      <c r="F15" s="24"/>
      <c r="G15" s="24"/>
      <c r="H15" s="17">
        <f t="shared" si="0"/>
        <v>417392</v>
      </c>
      <c r="J15" s="17">
        <v>417392</v>
      </c>
      <c r="K15" s="24"/>
      <c r="L15" s="24"/>
      <c r="M15" s="17">
        <f>SUM(J15:L15)</f>
        <v>417392</v>
      </c>
      <c r="N15" s="18">
        <f t="shared" si="3"/>
        <v>1</v>
      </c>
    </row>
    <row r="16" spans="1:14" ht="48.75">
      <c r="A16" s="22"/>
      <c r="B16" s="35"/>
      <c r="C16" s="31" t="s">
        <v>23</v>
      </c>
      <c r="D16" s="16"/>
      <c r="E16" s="16">
        <v>186234</v>
      </c>
      <c r="F16" s="16"/>
      <c r="G16" s="16"/>
      <c r="H16" s="17">
        <f t="shared" si="0"/>
        <v>186234</v>
      </c>
      <c r="I16" s="36"/>
      <c r="J16" s="17">
        <v>143430</v>
      </c>
      <c r="K16" s="21"/>
      <c r="L16" s="21"/>
      <c r="M16" s="17">
        <f aca="true" t="shared" si="4" ref="M16:M45">SUM(I16:L16)</f>
        <v>143430</v>
      </c>
      <c r="N16" s="18">
        <f t="shared" si="3"/>
        <v>0.7701601211379232</v>
      </c>
    </row>
    <row r="17" spans="1:14" ht="39">
      <c r="A17" s="22"/>
      <c r="B17" s="35"/>
      <c r="C17" s="37" t="s">
        <v>24</v>
      </c>
      <c r="D17" s="16"/>
      <c r="E17" s="16">
        <f>9643674</f>
        <v>9643674</v>
      </c>
      <c r="F17" s="16"/>
      <c r="G17" s="16"/>
      <c r="H17" s="17">
        <f t="shared" si="0"/>
        <v>9643674</v>
      </c>
      <c r="I17" s="17"/>
      <c r="J17" s="24"/>
      <c r="K17" s="24"/>
      <c r="L17" s="24"/>
      <c r="M17" s="17">
        <f t="shared" si="4"/>
        <v>0</v>
      </c>
      <c r="N17" s="18">
        <f t="shared" si="3"/>
        <v>0</v>
      </c>
    </row>
    <row r="18" spans="1:14" ht="39">
      <c r="A18" s="22"/>
      <c r="B18" s="15"/>
      <c r="C18" s="37" t="s">
        <v>25</v>
      </c>
      <c r="D18" s="16"/>
      <c r="E18" s="16">
        <v>21564891</v>
      </c>
      <c r="F18" s="16"/>
      <c r="G18" s="16"/>
      <c r="H18" s="17">
        <f t="shared" si="0"/>
        <v>21564891</v>
      </c>
      <c r="I18" s="17"/>
      <c r="J18" s="17">
        <v>11155112</v>
      </c>
      <c r="K18" s="24"/>
      <c r="L18" s="24"/>
      <c r="M18" s="17">
        <f t="shared" si="4"/>
        <v>11155112</v>
      </c>
      <c r="N18" s="18">
        <f t="shared" si="3"/>
        <v>0.5172811678018683</v>
      </c>
    </row>
    <row r="19" spans="1:14" ht="9.75">
      <c r="A19" s="22"/>
      <c r="B19" s="38" t="s">
        <v>26</v>
      </c>
      <c r="C19" s="26"/>
      <c r="D19" s="27">
        <f aca="true" t="shared" si="5" ref="D19:L19">SUM(D11:D18)</f>
        <v>0</v>
      </c>
      <c r="E19" s="27">
        <f t="shared" si="5"/>
        <v>32712191</v>
      </c>
      <c r="F19" s="27">
        <f t="shared" si="5"/>
        <v>0</v>
      </c>
      <c r="G19" s="27">
        <f t="shared" si="5"/>
        <v>0</v>
      </c>
      <c r="H19" s="27">
        <f t="shared" si="5"/>
        <v>32712191</v>
      </c>
      <c r="I19" s="27">
        <f t="shared" si="5"/>
        <v>0</v>
      </c>
      <c r="J19" s="27">
        <f t="shared" si="5"/>
        <v>14501344</v>
      </c>
      <c r="K19" s="27">
        <f t="shared" si="5"/>
        <v>0</v>
      </c>
      <c r="L19" s="27">
        <f t="shared" si="5"/>
        <v>0</v>
      </c>
      <c r="M19" s="27">
        <f t="shared" si="4"/>
        <v>14501344</v>
      </c>
      <c r="N19" s="28">
        <f t="shared" si="3"/>
        <v>0.44330090882631495</v>
      </c>
    </row>
    <row r="20" spans="1:14" s="32" customFormat="1" ht="18">
      <c r="A20" s="29"/>
      <c r="B20" s="39" t="s">
        <v>27</v>
      </c>
      <c r="C20" s="19" t="s">
        <v>18</v>
      </c>
      <c r="D20" s="24"/>
      <c r="E20" s="24"/>
      <c r="F20" s="24"/>
      <c r="G20" s="24"/>
      <c r="H20" s="17">
        <f aca="true" t="shared" si="6" ref="H20:H65">SUM(D20:G20)</f>
        <v>0</v>
      </c>
      <c r="I20" s="17">
        <v>253838</v>
      </c>
      <c r="J20" s="24"/>
      <c r="K20" s="24"/>
      <c r="L20" s="24"/>
      <c r="M20" s="17">
        <f t="shared" si="4"/>
        <v>253838</v>
      </c>
      <c r="N20" s="18"/>
    </row>
    <row r="21" spans="1:14" s="32" customFormat="1" ht="9.75">
      <c r="A21" s="29"/>
      <c r="B21" s="26" t="s">
        <v>28</v>
      </c>
      <c r="C21" s="26"/>
      <c r="D21" s="27">
        <f>SUM(D20)</f>
        <v>0</v>
      </c>
      <c r="E21" s="27">
        <f>SUM(E20)</f>
        <v>0</v>
      </c>
      <c r="F21" s="27">
        <f>SUM(F20)</f>
        <v>0</v>
      </c>
      <c r="G21" s="27">
        <f>SUM(G20)</f>
        <v>0</v>
      </c>
      <c r="H21" s="27">
        <f t="shared" si="6"/>
        <v>0</v>
      </c>
      <c r="I21" s="27">
        <f>SUM(I20)</f>
        <v>253838</v>
      </c>
      <c r="J21" s="27">
        <f>SUM(J20)</f>
        <v>0</v>
      </c>
      <c r="K21" s="27">
        <f>SUM(K20)</f>
        <v>0</v>
      </c>
      <c r="L21" s="27">
        <f>SUM(L20)</f>
        <v>0</v>
      </c>
      <c r="M21" s="27">
        <f t="shared" si="4"/>
        <v>253838</v>
      </c>
      <c r="N21" s="28"/>
    </row>
    <row r="22" spans="1:14" ht="9.75">
      <c r="A22" s="22"/>
      <c r="B22" s="30" t="s">
        <v>29</v>
      </c>
      <c r="C22" s="19" t="s">
        <v>14</v>
      </c>
      <c r="D22" s="16">
        <v>100000</v>
      </c>
      <c r="E22" s="16"/>
      <c r="F22" s="16"/>
      <c r="G22" s="16"/>
      <c r="H22" s="17">
        <f t="shared" si="6"/>
        <v>100000</v>
      </c>
      <c r="I22" s="17">
        <v>50696</v>
      </c>
      <c r="J22" s="17"/>
      <c r="K22" s="17"/>
      <c r="L22" s="17"/>
      <c r="M22" s="17">
        <f t="shared" si="4"/>
        <v>50696</v>
      </c>
      <c r="N22" s="40">
        <f>M22/H22</f>
        <v>0.50696</v>
      </c>
    </row>
    <row r="23" spans="1:14" ht="9.75">
      <c r="A23" s="22"/>
      <c r="B23" s="33"/>
      <c r="C23" s="19" t="s">
        <v>18</v>
      </c>
      <c r="D23" s="16"/>
      <c r="E23" s="16"/>
      <c r="F23" s="16"/>
      <c r="G23" s="16"/>
      <c r="H23" s="17">
        <f t="shared" si="6"/>
        <v>0</v>
      </c>
      <c r="I23" s="17">
        <v>17573</v>
      </c>
      <c r="J23" s="17"/>
      <c r="K23" s="17"/>
      <c r="L23" s="17"/>
      <c r="M23" s="17">
        <f t="shared" si="4"/>
        <v>17573</v>
      </c>
      <c r="N23" s="40"/>
    </row>
    <row r="24" spans="1:14" ht="48.75">
      <c r="A24" s="22"/>
      <c r="B24" s="33"/>
      <c r="C24" s="15" t="s">
        <v>23</v>
      </c>
      <c r="D24" s="16"/>
      <c r="E24" s="16"/>
      <c r="F24" s="16"/>
      <c r="G24" s="16"/>
      <c r="H24" s="17">
        <f t="shared" si="6"/>
        <v>0</v>
      </c>
      <c r="I24" s="17"/>
      <c r="J24" s="17">
        <v>-13567</v>
      </c>
      <c r="K24" s="17"/>
      <c r="L24" s="17"/>
      <c r="M24" s="17">
        <f t="shared" si="4"/>
        <v>-13567</v>
      </c>
      <c r="N24" s="40"/>
    </row>
    <row r="25" spans="1:14" ht="48.75">
      <c r="A25" s="22"/>
      <c r="B25" s="41"/>
      <c r="C25" s="15" t="s">
        <v>30</v>
      </c>
      <c r="D25" s="16">
        <v>161709</v>
      </c>
      <c r="E25" s="16"/>
      <c r="F25" s="16"/>
      <c r="G25" s="16"/>
      <c r="H25" s="17">
        <f t="shared" si="6"/>
        <v>161709</v>
      </c>
      <c r="I25" s="17">
        <v>164082</v>
      </c>
      <c r="J25" s="17"/>
      <c r="K25" s="17"/>
      <c r="L25" s="17"/>
      <c r="M25" s="17">
        <f t="shared" si="4"/>
        <v>164082</v>
      </c>
      <c r="N25" s="40">
        <f aca="true" t="shared" si="7" ref="N25:N35">M25/H25</f>
        <v>1.0146745079123611</v>
      </c>
    </row>
    <row r="26" spans="1:14" ht="9.75">
      <c r="A26" s="22"/>
      <c r="B26" s="26" t="s">
        <v>31</v>
      </c>
      <c r="C26" s="26"/>
      <c r="D26" s="27">
        <f>SUM(D22:D25)</f>
        <v>261709</v>
      </c>
      <c r="E26" s="27">
        <f>SUM(E22:E25)</f>
        <v>0</v>
      </c>
      <c r="F26" s="27">
        <f>SUM(F22:F25)</f>
        <v>0</v>
      </c>
      <c r="G26" s="27">
        <f>SUM(G22:G25)</f>
        <v>0</v>
      </c>
      <c r="H26" s="27">
        <f t="shared" si="6"/>
        <v>261709</v>
      </c>
      <c r="I26" s="27">
        <f>SUM(I22:I25)</f>
        <v>232351</v>
      </c>
      <c r="J26" s="27">
        <f>SUM(J22:J25)</f>
        <v>-13567</v>
      </c>
      <c r="K26" s="27">
        <f>SUM(K22:K25)</f>
        <v>0</v>
      </c>
      <c r="L26" s="27">
        <f>SUM(L22:L25)</f>
        <v>0</v>
      </c>
      <c r="M26" s="27">
        <f t="shared" si="4"/>
        <v>218784</v>
      </c>
      <c r="N26" s="28">
        <f t="shared" si="7"/>
        <v>0.8359819494171007</v>
      </c>
    </row>
    <row r="27" spans="1:14" ht="11.25">
      <c r="A27" s="42" t="s">
        <v>32</v>
      </c>
      <c r="B27" s="43"/>
      <c r="C27" s="43"/>
      <c r="D27" s="44">
        <f>SUM(D26,D19,D10,D21)</f>
        <v>70331926</v>
      </c>
      <c r="E27" s="44">
        <f>SUM(E26,E19,E10,E21)</f>
        <v>32712191</v>
      </c>
      <c r="F27" s="44">
        <f>SUM(F26,F19,F10,F21)</f>
        <v>0</v>
      </c>
      <c r="G27" s="44">
        <f>SUM(G26,G19,G10,G21)</f>
        <v>0</v>
      </c>
      <c r="H27" s="44">
        <f t="shared" si="6"/>
        <v>103044117</v>
      </c>
      <c r="I27" s="44">
        <f>SUM(I26,I19,I10,I21)</f>
        <v>67630254</v>
      </c>
      <c r="J27" s="44">
        <f>SUM(J26,J19,J10,J21)</f>
        <v>14487777</v>
      </c>
      <c r="K27" s="44">
        <f>SUM(K26,K19,K10,K21)</f>
        <v>0</v>
      </c>
      <c r="L27" s="44">
        <f>SUM(L26,L19,L10,L21)</f>
        <v>0</v>
      </c>
      <c r="M27" s="44">
        <f t="shared" si="4"/>
        <v>82118031</v>
      </c>
      <c r="N27" s="45">
        <f t="shared" si="7"/>
        <v>0.7969210993384513</v>
      </c>
    </row>
    <row r="28" spans="1:14" ht="39">
      <c r="A28" s="46" t="s">
        <v>33</v>
      </c>
      <c r="B28" s="23" t="s">
        <v>34</v>
      </c>
      <c r="C28" s="15" t="s">
        <v>35</v>
      </c>
      <c r="D28" s="16">
        <v>4800000</v>
      </c>
      <c r="E28" s="16"/>
      <c r="F28" s="16"/>
      <c r="G28" s="16"/>
      <c r="H28" s="17">
        <f t="shared" si="6"/>
        <v>4800000</v>
      </c>
      <c r="I28" s="17">
        <v>1520559</v>
      </c>
      <c r="J28" s="17"/>
      <c r="K28" s="17"/>
      <c r="L28" s="17"/>
      <c r="M28" s="17">
        <f t="shared" si="4"/>
        <v>1520559</v>
      </c>
      <c r="N28" s="18">
        <f t="shared" si="7"/>
        <v>0.316783125</v>
      </c>
    </row>
    <row r="29" spans="1:14" ht="39">
      <c r="A29" s="46"/>
      <c r="B29" s="15"/>
      <c r="C29" s="15" t="s">
        <v>36</v>
      </c>
      <c r="D29" s="16">
        <v>15170000</v>
      </c>
      <c r="E29" s="16"/>
      <c r="F29" s="16"/>
      <c r="G29" s="16"/>
      <c r="H29" s="17">
        <f t="shared" si="6"/>
        <v>15170000</v>
      </c>
      <c r="I29" s="17">
        <v>14440261</v>
      </c>
      <c r="J29" s="17"/>
      <c r="K29" s="17"/>
      <c r="L29" s="17"/>
      <c r="M29" s="17">
        <f t="shared" si="4"/>
        <v>14440261</v>
      </c>
      <c r="N29" s="18">
        <f t="shared" si="7"/>
        <v>0.9518959129861568</v>
      </c>
    </row>
    <row r="30" spans="1:14" ht="9.75">
      <c r="A30" s="22"/>
      <c r="B30" s="25" t="s">
        <v>37</v>
      </c>
      <c r="C30" s="26"/>
      <c r="D30" s="27">
        <f>SUM(D28:D29)</f>
        <v>19970000</v>
      </c>
      <c r="E30" s="27">
        <f>SUM(E28:E29)</f>
        <v>0</v>
      </c>
      <c r="F30" s="27">
        <f>SUM(F28:F29)</f>
        <v>0</v>
      </c>
      <c r="G30" s="27">
        <f>SUM(G28:G29)</f>
        <v>0</v>
      </c>
      <c r="H30" s="27">
        <f t="shared" si="6"/>
        <v>19970000</v>
      </c>
      <c r="I30" s="27">
        <f>SUM(I28:I29)</f>
        <v>15960820</v>
      </c>
      <c r="J30" s="27">
        <f>SUM(J28:J29)</f>
        <v>0</v>
      </c>
      <c r="K30" s="27">
        <f>SUM(K28:K29)</f>
        <v>0</v>
      </c>
      <c r="L30" s="27">
        <f>SUM(L28:L29)</f>
        <v>0</v>
      </c>
      <c r="M30" s="27">
        <f t="shared" si="4"/>
        <v>15960820</v>
      </c>
      <c r="N30" s="28">
        <f t="shared" si="7"/>
        <v>0.7992398597896845</v>
      </c>
    </row>
    <row r="31" spans="1:14" s="32" customFormat="1" ht="11.25">
      <c r="A31" s="47" t="s">
        <v>38</v>
      </c>
      <c r="B31" s="48"/>
      <c r="C31" s="49"/>
      <c r="D31" s="44">
        <f>SUM(D30)</f>
        <v>19970000</v>
      </c>
      <c r="E31" s="44">
        <f>SUM(E30)</f>
        <v>0</v>
      </c>
      <c r="F31" s="44">
        <f>SUM(F30)</f>
        <v>0</v>
      </c>
      <c r="G31" s="44">
        <f>SUM(G30)</f>
        <v>0</v>
      </c>
      <c r="H31" s="44">
        <f t="shared" si="6"/>
        <v>19970000</v>
      </c>
      <c r="I31" s="44">
        <f>SUM(I30)</f>
        <v>15960820</v>
      </c>
      <c r="J31" s="44">
        <f>SUM(J30)</f>
        <v>0</v>
      </c>
      <c r="K31" s="44">
        <f>SUM(K30)</f>
        <v>0</v>
      </c>
      <c r="L31" s="44">
        <f>SUM(L30)</f>
        <v>0</v>
      </c>
      <c r="M31" s="44">
        <f t="shared" si="4"/>
        <v>15960820</v>
      </c>
      <c r="N31" s="45">
        <f t="shared" si="7"/>
        <v>0.7992398597896845</v>
      </c>
    </row>
    <row r="32" spans="1:14" ht="29.25">
      <c r="A32" s="50" t="s">
        <v>39</v>
      </c>
      <c r="B32" s="51" t="s">
        <v>40</v>
      </c>
      <c r="C32" s="15" t="s">
        <v>41</v>
      </c>
      <c r="D32" s="16">
        <v>2200000</v>
      </c>
      <c r="E32" s="16"/>
      <c r="F32" s="16"/>
      <c r="G32" s="16"/>
      <c r="H32" s="17">
        <f t="shared" si="6"/>
        <v>2200000</v>
      </c>
      <c r="I32" s="17">
        <v>2243631</v>
      </c>
      <c r="J32" s="17"/>
      <c r="K32" s="17"/>
      <c r="L32" s="17"/>
      <c r="M32" s="17">
        <f t="shared" si="4"/>
        <v>2243631</v>
      </c>
      <c r="N32" s="18">
        <f t="shared" si="7"/>
        <v>1.0198322727272728</v>
      </c>
    </row>
    <row r="33" spans="1:14" ht="48.75">
      <c r="A33" s="20"/>
      <c r="B33" s="52"/>
      <c r="C33" s="19" t="s">
        <v>15</v>
      </c>
      <c r="D33" s="16">
        <v>6800000</v>
      </c>
      <c r="E33" s="16"/>
      <c r="F33" s="16"/>
      <c r="G33" s="16"/>
      <c r="H33" s="17">
        <f t="shared" si="6"/>
        <v>6800000</v>
      </c>
      <c r="I33" s="17">
        <v>6422983</v>
      </c>
      <c r="J33" s="21"/>
      <c r="K33" s="21"/>
      <c r="L33" s="21"/>
      <c r="M33" s="17">
        <f t="shared" si="4"/>
        <v>6422983</v>
      </c>
      <c r="N33" s="18">
        <f t="shared" si="7"/>
        <v>0.9445563235294118</v>
      </c>
    </row>
    <row r="34" spans="1:14" ht="39">
      <c r="A34" s="22"/>
      <c r="B34" s="52"/>
      <c r="C34" s="19" t="s">
        <v>42</v>
      </c>
      <c r="D34" s="16">
        <v>760000</v>
      </c>
      <c r="E34" s="16"/>
      <c r="F34" s="16"/>
      <c r="G34" s="16"/>
      <c r="H34" s="17">
        <f t="shared" si="6"/>
        <v>760000</v>
      </c>
      <c r="I34" s="17">
        <v>1279009</v>
      </c>
      <c r="J34" s="17"/>
      <c r="K34" s="17"/>
      <c r="L34" s="17"/>
      <c r="M34" s="17">
        <f t="shared" si="4"/>
        <v>1279009</v>
      </c>
      <c r="N34" s="18">
        <f t="shared" si="7"/>
        <v>1.6829065789473685</v>
      </c>
    </row>
    <row r="35" spans="1:14" ht="29.25">
      <c r="A35" s="22"/>
      <c r="B35" s="52"/>
      <c r="C35" s="19" t="s">
        <v>43</v>
      </c>
      <c r="D35" s="16">
        <f>19150000+1500000</f>
        <v>20650000</v>
      </c>
      <c r="E35" s="16"/>
      <c r="F35" s="16"/>
      <c r="G35" s="16"/>
      <c r="H35" s="17">
        <f t="shared" si="6"/>
        <v>20650000</v>
      </c>
      <c r="I35" s="17">
        <v>38441417</v>
      </c>
      <c r="J35" s="17"/>
      <c r="K35" s="17"/>
      <c r="L35" s="17"/>
      <c r="M35" s="17">
        <f t="shared" si="4"/>
        <v>38441417</v>
      </c>
      <c r="N35" s="18">
        <f t="shared" si="7"/>
        <v>1.8615698305084745</v>
      </c>
    </row>
    <row r="36" spans="1:14" ht="9.75">
      <c r="A36" s="22"/>
      <c r="B36" s="52"/>
      <c r="C36" s="19" t="s">
        <v>16</v>
      </c>
      <c r="D36" s="16"/>
      <c r="E36" s="16"/>
      <c r="F36" s="16"/>
      <c r="G36" s="16"/>
      <c r="H36" s="17">
        <f t="shared" si="6"/>
        <v>0</v>
      </c>
      <c r="I36" s="17">
        <v>90601</v>
      </c>
      <c r="J36" s="17"/>
      <c r="K36" s="17"/>
      <c r="L36" s="17"/>
      <c r="M36" s="17">
        <f t="shared" si="4"/>
        <v>90601</v>
      </c>
      <c r="N36" s="18"/>
    </row>
    <row r="37" spans="1:14" ht="9.75">
      <c r="A37" s="22"/>
      <c r="B37" s="52"/>
      <c r="C37" s="19" t="s">
        <v>17</v>
      </c>
      <c r="D37" s="16"/>
      <c r="E37" s="16"/>
      <c r="F37" s="16"/>
      <c r="G37" s="16"/>
      <c r="H37" s="17">
        <f t="shared" si="6"/>
        <v>0</v>
      </c>
      <c r="I37" s="17">
        <v>139900</v>
      </c>
      <c r="J37" s="17"/>
      <c r="K37" s="17"/>
      <c r="L37" s="17"/>
      <c r="M37" s="17">
        <f t="shared" si="4"/>
        <v>139900</v>
      </c>
      <c r="N37" s="18"/>
    </row>
    <row r="38" spans="1:14" ht="9.75">
      <c r="A38" s="22"/>
      <c r="B38" s="52"/>
      <c r="C38" s="19" t="s">
        <v>18</v>
      </c>
      <c r="D38" s="16"/>
      <c r="E38" s="16"/>
      <c r="F38" s="16"/>
      <c r="G38" s="16"/>
      <c r="H38" s="17">
        <f t="shared" si="6"/>
        <v>0</v>
      </c>
      <c r="I38" s="17">
        <v>2486</v>
      </c>
      <c r="J38" s="17"/>
      <c r="K38" s="17"/>
      <c r="L38" s="17"/>
      <c r="M38" s="17">
        <f t="shared" si="4"/>
        <v>2486</v>
      </c>
      <c r="N38" s="18"/>
    </row>
    <row r="39" spans="1:14" ht="39">
      <c r="A39" s="22"/>
      <c r="B39" s="52"/>
      <c r="C39" s="19" t="s">
        <v>44</v>
      </c>
      <c r="D39" s="16"/>
      <c r="E39" s="16"/>
      <c r="F39" s="16"/>
      <c r="G39" s="16">
        <f>125000+157644+63050+108898+597487+377199</f>
        <v>1429278</v>
      </c>
      <c r="H39" s="17">
        <f t="shared" si="6"/>
        <v>1429278</v>
      </c>
      <c r="I39" s="17"/>
      <c r="J39" s="17"/>
      <c r="K39" s="17"/>
      <c r="L39" s="17">
        <v>1370041</v>
      </c>
      <c r="M39" s="17">
        <f t="shared" si="4"/>
        <v>1370041</v>
      </c>
      <c r="N39" s="18">
        <f>M39/H39</f>
        <v>0.9585545988953863</v>
      </c>
    </row>
    <row r="40" spans="1:14" ht="30" customHeight="1">
      <c r="A40" s="22"/>
      <c r="B40" s="52"/>
      <c r="C40" s="23" t="s">
        <v>45</v>
      </c>
      <c r="D40" s="16"/>
      <c r="E40" s="16">
        <v>2285000</v>
      </c>
      <c r="F40" s="16"/>
      <c r="G40" s="16"/>
      <c r="H40" s="17">
        <f t="shared" si="6"/>
        <v>2285000</v>
      </c>
      <c r="I40" s="17"/>
      <c r="J40" s="17">
        <v>1637110</v>
      </c>
      <c r="K40" s="21"/>
      <c r="L40" s="21"/>
      <c r="M40" s="17">
        <f t="shared" si="4"/>
        <v>1637110</v>
      </c>
      <c r="N40" s="18">
        <f>M40/H40</f>
        <v>0.7164595185995624</v>
      </c>
    </row>
    <row r="41" spans="1:14" ht="39">
      <c r="A41" s="22"/>
      <c r="B41" s="52"/>
      <c r="C41" s="23" t="s">
        <v>35</v>
      </c>
      <c r="D41" s="16">
        <v>8275</v>
      </c>
      <c r="E41" s="16"/>
      <c r="F41" s="16"/>
      <c r="G41" s="16"/>
      <c r="H41" s="17">
        <f t="shared" si="6"/>
        <v>8275</v>
      </c>
      <c r="I41" s="17">
        <v>16275</v>
      </c>
      <c r="J41" s="17"/>
      <c r="K41" s="21"/>
      <c r="L41" s="21"/>
      <c r="M41" s="17">
        <f t="shared" si="4"/>
        <v>16275</v>
      </c>
      <c r="N41" s="18">
        <f>M41/H41</f>
        <v>1.9667673716012084</v>
      </c>
    </row>
    <row r="42" spans="1:14" ht="9.75">
      <c r="A42" s="22"/>
      <c r="B42" s="26" t="s">
        <v>46</v>
      </c>
      <c r="C42" s="26"/>
      <c r="D42" s="27">
        <f>SUM(D32:D41)</f>
        <v>30418275</v>
      </c>
      <c r="E42" s="27">
        <f>SUM(E32:E41)</f>
        <v>2285000</v>
      </c>
      <c r="F42" s="27">
        <f>SUM(F32:F41)</f>
        <v>0</v>
      </c>
      <c r="G42" s="27">
        <f>SUM(G32:G41)</f>
        <v>1429278</v>
      </c>
      <c r="H42" s="27">
        <f t="shared" si="6"/>
        <v>34132553</v>
      </c>
      <c r="I42" s="27">
        <f>SUM(I32:I41)</f>
        <v>48636302</v>
      </c>
      <c r="J42" s="27">
        <f>SUM(J32:J41)</f>
        <v>1637110</v>
      </c>
      <c r="K42" s="27">
        <f>SUM(K32:K41)</f>
        <v>0</v>
      </c>
      <c r="L42" s="27">
        <f>SUM(L32:L41)</f>
        <v>1370041</v>
      </c>
      <c r="M42" s="27">
        <f t="shared" si="4"/>
        <v>51643453</v>
      </c>
      <c r="N42" s="28">
        <f>M42/H42</f>
        <v>1.513026376901839</v>
      </c>
    </row>
    <row r="43" spans="1:14" s="32" customFormat="1" ht="48.75">
      <c r="A43" s="22"/>
      <c r="B43" s="30" t="s">
        <v>47</v>
      </c>
      <c r="C43" s="19" t="s">
        <v>15</v>
      </c>
      <c r="D43" s="16">
        <v>5500000</v>
      </c>
      <c r="E43" s="16"/>
      <c r="F43" s="16"/>
      <c r="G43" s="16"/>
      <c r="H43" s="17">
        <f t="shared" si="6"/>
        <v>5500000</v>
      </c>
      <c r="I43" s="17">
        <v>5546160</v>
      </c>
      <c r="J43" s="24"/>
      <c r="K43" s="24"/>
      <c r="L43" s="24"/>
      <c r="M43" s="17">
        <f t="shared" si="4"/>
        <v>5546160</v>
      </c>
      <c r="N43" s="18">
        <f>M43/H43</f>
        <v>1.0083927272727273</v>
      </c>
    </row>
    <row r="44" spans="1:14" s="32" customFormat="1" ht="8.25" customHeight="1">
      <c r="A44" s="22"/>
      <c r="B44" s="33"/>
      <c r="C44" s="19" t="s">
        <v>17</v>
      </c>
      <c r="D44" s="16"/>
      <c r="E44" s="16"/>
      <c r="F44" s="16"/>
      <c r="G44" s="16"/>
      <c r="H44" s="17">
        <f t="shared" si="6"/>
        <v>0</v>
      </c>
      <c r="I44" s="17">
        <v>52838</v>
      </c>
      <c r="J44" s="24"/>
      <c r="K44" s="24"/>
      <c r="L44" s="24"/>
      <c r="M44" s="17">
        <f t="shared" si="4"/>
        <v>52838</v>
      </c>
      <c r="N44" s="18"/>
    </row>
    <row r="45" spans="1:14" s="32" customFormat="1" ht="48.75">
      <c r="A45" s="29"/>
      <c r="B45" s="53"/>
      <c r="C45" s="54" t="s">
        <v>23</v>
      </c>
      <c r="D45" s="17">
        <v>15336</v>
      </c>
      <c r="E45" s="17"/>
      <c r="F45" s="17"/>
      <c r="G45" s="17"/>
      <c r="H45" s="17">
        <f t="shared" si="6"/>
        <v>15336</v>
      </c>
      <c r="I45" s="17">
        <v>14375</v>
      </c>
      <c r="J45" s="24"/>
      <c r="K45" s="24"/>
      <c r="L45" s="24"/>
      <c r="M45" s="17">
        <f t="shared" si="4"/>
        <v>14375</v>
      </c>
      <c r="N45" s="40">
        <f aca="true" t="shared" si="8" ref="N45:N54">M45/H45</f>
        <v>0.9373369848721962</v>
      </c>
    </row>
    <row r="46" spans="1:14" s="55" customFormat="1" ht="9.75">
      <c r="A46" s="22"/>
      <c r="B46" s="38" t="s">
        <v>48</v>
      </c>
      <c r="C46" s="26"/>
      <c r="D46" s="27">
        <f>SUM(D43:D45)</f>
        <v>5515336</v>
      </c>
      <c r="E46" s="27">
        <f>SUM(E43:E45)</f>
        <v>0</v>
      </c>
      <c r="F46" s="27">
        <f>SUM(F43:F45)</f>
        <v>0</v>
      </c>
      <c r="G46" s="27">
        <f>SUM(G43:G45)</f>
        <v>0</v>
      </c>
      <c r="H46" s="27">
        <f t="shared" si="6"/>
        <v>5515336</v>
      </c>
      <c r="I46" s="27">
        <f>SUM(I43:I45)</f>
        <v>5613373</v>
      </c>
      <c r="J46" s="27">
        <f>SUM(J43:J45)</f>
        <v>0</v>
      </c>
      <c r="K46" s="27">
        <f>SUM(K43:K45)</f>
        <v>0</v>
      </c>
      <c r="L46" s="27">
        <f>SUM(L43:L45)</f>
        <v>0</v>
      </c>
      <c r="M46" s="27">
        <f>SUM(M43:M45)</f>
        <v>5613373</v>
      </c>
      <c r="N46" s="28">
        <f t="shared" si="8"/>
        <v>1.0177753449653837</v>
      </c>
    </row>
    <row r="47" spans="1:14" ht="11.25">
      <c r="A47" s="42" t="s">
        <v>49</v>
      </c>
      <c r="B47" s="43"/>
      <c r="C47" s="43"/>
      <c r="D47" s="44">
        <f>SUM(D46,D42)</f>
        <v>35933611</v>
      </c>
      <c r="E47" s="44">
        <f>SUM(E46,E42)</f>
        <v>2285000</v>
      </c>
      <c r="F47" s="44">
        <f>SUM(F46,F42)</f>
        <v>0</v>
      </c>
      <c r="G47" s="44">
        <f>SUM(G46,G42)</f>
        <v>1429278</v>
      </c>
      <c r="H47" s="44">
        <f t="shared" si="6"/>
        <v>39647889</v>
      </c>
      <c r="I47" s="44">
        <f>SUM(I46,I42)</f>
        <v>54249675</v>
      </c>
      <c r="J47" s="44">
        <f>SUM(J46,J42)</f>
        <v>1637110</v>
      </c>
      <c r="K47" s="44">
        <f>SUM(K46,K42)</f>
        <v>0</v>
      </c>
      <c r="L47" s="44">
        <f>SUM(L46,L42)</f>
        <v>1370041</v>
      </c>
      <c r="M47" s="44">
        <f aca="true" t="shared" si="9" ref="M47:M90">SUM(I47:L47)</f>
        <v>57256826</v>
      </c>
      <c r="N47" s="45">
        <f t="shared" si="8"/>
        <v>1.444133028116579</v>
      </c>
    </row>
    <row r="48" spans="1:14" s="32" customFormat="1" ht="46.5" customHeight="1">
      <c r="A48" s="56" t="s">
        <v>50</v>
      </c>
      <c r="B48" s="23" t="s">
        <v>51</v>
      </c>
      <c r="C48" s="15" t="s">
        <v>30</v>
      </c>
      <c r="D48" s="16">
        <v>103960</v>
      </c>
      <c r="E48" s="57"/>
      <c r="F48" s="57"/>
      <c r="G48" s="57"/>
      <c r="H48" s="17">
        <f t="shared" si="6"/>
        <v>103960</v>
      </c>
      <c r="I48" s="17">
        <v>91</v>
      </c>
      <c r="J48" s="57"/>
      <c r="K48" s="57"/>
      <c r="L48" s="57"/>
      <c r="M48" s="17">
        <f t="shared" si="9"/>
        <v>91</v>
      </c>
      <c r="N48" s="18">
        <f t="shared" si="8"/>
        <v>0.0008753366679492112</v>
      </c>
    </row>
    <row r="49" spans="1:14" ht="39">
      <c r="A49" s="58"/>
      <c r="B49" s="59"/>
      <c r="C49" s="19" t="s">
        <v>36</v>
      </c>
      <c r="D49" s="16">
        <v>7960</v>
      </c>
      <c r="E49" s="16"/>
      <c r="F49" s="16"/>
      <c r="G49" s="16"/>
      <c r="H49" s="17">
        <f t="shared" si="6"/>
        <v>7960</v>
      </c>
      <c r="I49" s="17"/>
      <c r="J49" s="17"/>
      <c r="K49" s="17"/>
      <c r="L49" s="17"/>
      <c r="M49" s="17">
        <f t="shared" si="9"/>
        <v>0</v>
      </c>
      <c r="N49" s="18">
        <f t="shared" si="8"/>
        <v>0</v>
      </c>
    </row>
    <row r="50" spans="1:14" ht="9.75">
      <c r="A50" s="22"/>
      <c r="B50" s="26" t="s">
        <v>52</v>
      </c>
      <c r="C50" s="26"/>
      <c r="D50" s="27">
        <f>SUM(D48:D49)</f>
        <v>111920</v>
      </c>
      <c r="E50" s="27">
        <f>SUM(E48:E49)</f>
        <v>0</v>
      </c>
      <c r="F50" s="27">
        <f>SUM(F48:F49)</f>
        <v>0</v>
      </c>
      <c r="G50" s="27">
        <f>SUM(G48:G49)</f>
        <v>0</v>
      </c>
      <c r="H50" s="27">
        <f t="shared" si="6"/>
        <v>111920</v>
      </c>
      <c r="I50" s="27">
        <f>SUM(I48:I49)</f>
        <v>91</v>
      </c>
      <c r="J50" s="27">
        <f>SUM(J48:J49)</f>
        <v>0</v>
      </c>
      <c r="K50" s="27">
        <f>SUM(K48:K49)</f>
        <v>0</v>
      </c>
      <c r="L50" s="27">
        <f>SUM(L48:L49)</f>
        <v>0</v>
      </c>
      <c r="M50" s="27">
        <f t="shared" si="9"/>
        <v>91</v>
      </c>
      <c r="N50" s="28">
        <f t="shared" si="8"/>
        <v>0.0008130807719799857</v>
      </c>
    </row>
    <row r="51" spans="1:14" ht="46.5" customHeight="1">
      <c r="A51" s="22"/>
      <c r="B51" s="51" t="s">
        <v>53</v>
      </c>
      <c r="C51" s="35" t="s">
        <v>44</v>
      </c>
      <c r="D51" s="16"/>
      <c r="E51" s="16"/>
      <c r="F51" s="16"/>
      <c r="G51" s="16">
        <v>173000</v>
      </c>
      <c r="H51" s="17">
        <f t="shared" si="6"/>
        <v>173000</v>
      </c>
      <c r="I51" s="24"/>
      <c r="J51" s="24"/>
      <c r="K51" s="24"/>
      <c r="L51" s="24">
        <v>109977</v>
      </c>
      <c r="M51" s="17">
        <f t="shared" si="9"/>
        <v>109977</v>
      </c>
      <c r="N51" s="18">
        <f t="shared" si="8"/>
        <v>0.6357052023121387</v>
      </c>
    </row>
    <row r="52" spans="1:14" s="55" customFormat="1" ht="9.75">
      <c r="A52" s="22"/>
      <c r="B52" s="26" t="s">
        <v>54</v>
      </c>
      <c r="C52" s="26"/>
      <c r="D52" s="27">
        <f>SUM(D51)</f>
        <v>0</v>
      </c>
      <c r="E52" s="27">
        <f>SUM(E51)</f>
        <v>0</v>
      </c>
      <c r="F52" s="27">
        <f>SUM(F51)</f>
        <v>0</v>
      </c>
      <c r="G52" s="27">
        <f>SUM(G51)</f>
        <v>173000</v>
      </c>
      <c r="H52" s="27">
        <f t="shared" si="6"/>
        <v>173000</v>
      </c>
      <c r="I52" s="27">
        <f>SUM(I51)</f>
        <v>0</v>
      </c>
      <c r="J52" s="27">
        <f>SUM(J51)</f>
        <v>0</v>
      </c>
      <c r="K52" s="27">
        <f>SUM(K51)</f>
        <v>0</v>
      </c>
      <c r="L52" s="27">
        <f>SUM(L51)</f>
        <v>109977</v>
      </c>
      <c r="M52" s="27">
        <f t="shared" si="9"/>
        <v>109977</v>
      </c>
      <c r="N52" s="28">
        <f t="shared" si="8"/>
        <v>0.6357052023121387</v>
      </c>
    </row>
    <row r="53" spans="1:14" ht="39">
      <c r="A53" s="22"/>
      <c r="B53" s="51" t="s">
        <v>55</v>
      </c>
      <c r="C53" s="35" t="s">
        <v>44</v>
      </c>
      <c r="D53" s="16"/>
      <c r="E53" s="16"/>
      <c r="F53" s="16"/>
      <c r="G53" s="16">
        <v>60000</v>
      </c>
      <c r="H53" s="17">
        <f t="shared" si="6"/>
        <v>60000</v>
      </c>
      <c r="I53" s="17"/>
      <c r="J53" s="17"/>
      <c r="K53" s="17"/>
      <c r="L53" s="17">
        <v>29200</v>
      </c>
      <c r="M53" s="17">
        <f t="shared" si="9"/>
        <v>29200</v>
      </c>
      <c r="N53" s="18">
        <f t="shared" si="8"/>
        <v>0.4866666666666667</v>
      </c>
    </row>
    <row r="54" spans="1:14" ht="9.75">
      <c r="A54" s="22"/>
      <c r="B54" s="26" t="s">
        <v>56</v>
      </c>
      <c r="C54" s="26"/>
      <c r="D54" s="27">
        <f>SUM(D53)</f>
        <v>0</v>
      </c>
      <c r="E54" s="27">
        <f>SUM(E53)</f>
        <v>0</v>
      </c>
      <c r="F54" s="27">
        <f>SUM(F53)</f>
        <v>0</v>
      </c>
      <c r="G54" s="27">
        <f>SUM(G53)</f>
        <v>60000</v>
      </c>
      <c r="H54" s="27">
        <f t="shared" si="6"/>
        <v>60000</v>
      </c>
      <c r="I54" s="27">
        <f>SUM(I53)</f>
        <v>0</v>
      </c>
      <c r="J54" s="27">
        <f>SUM(J53)</f>
        <v>0</v>
      </c>
      <c r="K54" s="27">
        <f>SUM(K53)</f>
        <v>0</v>
      </c>
      <c r="L54" s="27">
        <f>SUM(L53)</f>
        <v>29200</v>
      </c>
      <c r="M54" s="27">
        <f t="shared" si="9"/>
        <v>29200</v>
      </c>
      <c r="N54" s="28">
        <f t="shared" si="8"/>
        <v>0.4866666666666667</v>
      </c>
    </row>
    <row r="55" spans="1:14" s="32" customFormat="1" ht="9.75">
      <c r="A55" s="29"/>
      <c r="B55" s="30" t="s">
        <v>57</v>
      </c>
      <c r="C55" s="19" t="s">
        <v>14</v>
      </c>
      <c r="D55" s="24"/>
      <c r="E55" s="24"/>
      <c r="F55" s="24"/>
      <c r="G55" s="24"/>
      <c r="H55" s="17">
        <f t="shared" si="6"/>
        <v>0</v>
      </c>
      <c r="I55" s="24"/>
      <c r="J55" s="17">
        <v>259</v>
      </c>
      <c r="K55" s="24"/>
      <c r="L55" s="24"/>
      <c r="M55" s="17">
        <f t="shared" si="9"/>
        <v>259</v>
      </c>
      <c r="N55" s="18"/>
    </row>
    <row r="56" spans="1:14" s="32" customFormat="1" ht="9.75">
      <c r="A56" s="29"/>
      <c r="B56" s="33"/>
      <c r="C56" s="19" t="s">
        <v>17</v>
      </c>
      <c r="D56" s="24"/>
      <c r="E56" s="24"/>
      <c r="F56" s="24"/>
      <c r="G56" s="24"/>
      <c r="H56" s="17">
        <f t="shared" si="6"/>
        <v>0</v>
      </c>
      <c r="I56" s="24"/>
      <c r="J56" s="17">
        <v>815</v>
      </c>
      <c r="K56" s="24"/>
      <c r="L56" s="24"/>
      <c r="M56" s="17">
        <f t="shared" si="9"/>
        <v>815</v>
      </c>
      <c r="N56" s="18"/>
    </row>
    <row r="57" spans="1:14" ht="39">
      <c r="A57" s="22"/>
      <c r="B57" s="33"/>
      <c r="C57" s="19" t="s">
        <v>44</v>
      </c>
      <c r="D57" s="16"/>
      <c r="E57" s="16"/>
      <c r="F57" s="16"/>
      <c r="G57" s="16">
        <v>434400</v>
      </c>
      <c r="H57" s="17">
        <f t="shared" si="6"/>
        <v>434400</v>
      </c>
      <c r="I57" s="17"/>
      <c r="J57" s="17"/>
      <c r="K57" s="17"/>
      <c r="L57" s="17">
        <v>434365</v>
      </c>
      <c r="M57" s="17">
        <f t="shared" si="9"/>
        <v>434365</v>
      </c>
      <c r="N57" s="18">
        <f>M57/H57</f>
        <v>0.9999194290976059</v>
      </c>
    </row>
    <row r="58" spans="1:14" ht="30.75" customHeight="1">
      <c r="A58" s="22"/>
      <c r="B58" s="41"/>
      <c r="C58" s="23" t="s">
        <v>45</v>
      </c>
      <c r="D58" s="16"/>
      <c r="E58" s="16">
        <v>250</v>
      </c>
      <c r="F58" s="16"/>
      <c r="G58" s="16"/>
      <c r="H58" s="17">
        <f t="shared" si="6"/>
        <v>250</v>
      </c>
      <c r="I58" s="17"/>
      <c r="J58" s="17"/>
      <c r="K58" s="17"/>
      <c r="L58" s="17"/>
      <c r="M58" s="17">
        <f t="shared" si="9"/>
        <v>0</v>
      </c>
      <c r="N58" s="18">
        <f>M58/H58</f>
        <v>0</v>
      </c>
    </row>
    <row r="59" spans="1:14" ht="9.75">
      <c r="A59" s="22"/>
      <c r="B59" s="26" t="s">
        <v>58</v>
      </c>
      <c r="C59" s="26"/>
      <c r="D59" s="27">
        <f>SUM(D55:D58)</f>
        <v>0</v>
      </c>
      <c r="E59" s="27">
        <f>SUM(E55:E58)</f>
        <v>250</v>
      </c>
      <c r="F59" s="27">
        <f>SUM(F55:F58)</f>
        <v>0</v>
      </c>
      <c r="G59" s="27">
        <f>SUM(G55:G58)</f>
        <v>434400</v>
      </c>
      <c r="H59" s="27">
        <f t="shared" si="6"/>
        <v>434650</v>
      </c>
      <c r="I59" s="27">
        <f>SUM(I55:I58)</f>
        <v>0</v>
      </c>
      <c r="J59" s="27">
        <f>SUM(J55:J58)</f>
        <v>1074</v>
      </c>
      <c r="K59" s="27">
        <f>SUM(K55:K58)</f>
        <v>0</v>
      </c>
      <c r="L59" s="27">
        <f>SUM(L55:L58)</f>
        <v>434365</v>
      </c>
      <c r="M59" s="27">
        <f t="shared" si="9"/>
        <v>435439</v>
      </c>
      <c r="N59" s="28">
        <f>M59/H59</f>
        <v>1.001815253652364</v>
      </c>
    </row>
    <row r="60" spans="1:14" s="32" customFormat="1" ht="9.75">
      <c r="A60" s="29"/>
      <c r="B60" s="60" t="s">
        <v>59</v>
      </c>
      <c r="C60" s="19" t="s">
        <v>14</v>
      </c>
      <c r="D60" s="24"/>
      <c r="E60" s="24"/>
      <c r="F60" s="24"/>
      <c r="G60" s="24"/>
      <c r="H60" s="17">
        <f t="shared" si="6"/>
        <v>0</v>
      </c>
      <c r="I60" s="17">
        <v>421</v>
      </c>
      <c r="J60" s="24"/>
      <c r="K60" s="24"/>
      <c r="L60" s="24"/>
      <c r="M60" s="17">
        <f t="shared" si="9"/>
        <v>421</v>
      </c>
      <c r="N60" s="18"/>
    </row>
    <row r="61" spans="1:14" s="32" customFormat="1" ht="9.75">
      <c r="A61" s="29"/>
      <c r="B61" s="60"/>
      <c r="C61" s="19" t="s">
        <v>17</v>
      </c>
      <c r="D61" s="24"/>
      <c r="E61" s="24"/>
      <c r="F61" s="24"/>
      <c r="G61" s="24"/>
      <c r="H61" s="17">
        <f t="shared" si="6"/>
        <v>0</v>
      </c>
      <c r="I61" s="17">
        <v>280</v>
      </c>
      <c r="J61" s="24"/>
      <c r="K61" s="24"/>
      <c r="L61" s="24"/>
      <c r="M61" s="17">
        <f t="shared" si="9"/>
        <v>280</v>
      </c>
      <c r="N61" s="18"/>
    </row>
    <row r="62" spans="1:14" s="32" customFormat="1" ht="39">
      <c r="A62" s="29"/>
      <c r="B62" s="60"/>
      <c r="C62" s="61" t="s">
        <v>60</v>
      </c>
      <c r="D62" s="17">
        <v>27500</v>
      </c>
      <c r="E62" s="17"/>
      <c r="F62" s="17"/>
      <c r="G62" s="17"/>
      <c r="H62" s="17">
        <f t="shared" si="6"/>
        <v>27500</v>
      </c>
      <c r="I62" s="17">
        <v>27439</v>
      </c>
      <c r="J62" s="17"/>
      <c r="K62" s="17"/>
      <c r="L62" s="17"/>
      <c r="M62" s="17">
        <f t="shared" si="9"/>
        <v>27439</v>
      </c>
      <c r="N62" s="40">
        <f>M62/H62</f>
        <v>0.9977818181818182</v>
      </c>
    </row>
    <row r="63" spans="1:14" ht="9.75">
      <c r="A63" s="22"/>
      <c r="B63" s="26" t="s">
        <v>61</v>
      </c>
      <c r="C63" s="26"/>
      <c r="D63" s="27">
        <f>SUM(D60:D62)</f>
        <v>27500</v>
      </c>
      <c r="E63" s="27">
        <f>SUM(E60:E62)</f>
        <v>0</v>
      </c>
      <c r="F63" s="27">
        <f>SUM(F60:F62)</f>
        <v>0</v>
      </c>
      <c r="G63" s="27">
        <f>SUM(G60:G62)</f>
        <v>0</v>
      </c>
      <c r="H63" s="27">
        <f t="shared" si="6"/>
        <v>27500</v>
      </c>
      <c r="I63" s="27">
        <f>SUM(I60:I62)</f>
        <v>28140</v>
      </c>
      <c r="J63" s="27">
        <f>SUM(J60:J62)</f>
        <v>0</v>
      </c>
      <c r="K63" s="27">
        <f>SUM(K60:K62)</f>
        <v>0</v>
      </c>
      <c r="L63" s="27">
        <f>SUM(L60:L62)</f>
        <v>0</v>
      </c>
      <c r="M63" s="27">
        <f t="shared" si="9"/>
        <v>28140</v>
      </c>
      <c r="N63" s="28">
        <f>M63/H63</f>
        <v>1.0232727272727273</v>
      </c>
    </row>
    <row r="64" spans="1:14" ht="48.75">
      <c r="A64" s="22"/>
      <c r="B64" s="30" t="s">
        <v>62</v>
      </c>
      <c r="C64" s="15" t="s">
        <v>15</v>
      </c>
      <c r="D64" s="16">
        <f>216200-97200-21459</f>
        <v>97541</v>
      </c>
      <c r="E64" s="16"/>
      <c r="F64" s="16"/>
      <c r="G64" s="16"/>
      <c r="H64" s="17">
        <f t="shared" si="6"/>
        <v>97541</v>
      </c>
      <c r="I64" s="17">
        <v>194753</v>
      </c>
      <c r="J64" s="17"/>
      <c r="K64" s="17"/>
      <c r="L64" s="17"/>
      <c r="M64" s="17">
        <f t="shared" si="9"/>
        <v>194753</v>
      </c>
      <c r="N64" s="18">
        <f>M64/H64</f>
        <v>1.9966270593904103</v>
      </c>
    </row>
    <row r="65" spans="1:14" ht="9.75">
      <c r="A65" s="22"/>
      <c r="B65" s="33"/>
      <c r="C65" s="19" t="s">
        <v>16</v>
      </c>
      <c r="D65" s="16">
        <f>110000+266500-60034</f>
        <v>316466</v>
      </c>
      <c r="E65" s="16"/>
      <c r="F65" s="16"/>
      <c r="G65" s="16"/>
      <c r="H65" s="17">
        <f t="shared" si="6"/>
        <v>316466</v>
      </c>
      <c r="I65" s="17">
        <v>235898</v>
      </c>
      <c r="J65" s="17"/>
      <c r="K65" s="17"/>
      <c r="L65" s="17"/>
      <c r="M65" s="17">
        <f t="shared" si="9"/>
        <v>235898</v>
      </c>
      <c r="N65" s="18">
        <f>M65/H65</f>
        <v>0.7454134093393919</v>
      </c>
    </row>
    <row r="66" spans="1:14" ht="29.25" customHeight="1">
      <c r="A66" s="22"/>
      <c r="B66" s="33"/>
      <c r="C66" s="19" t="s">
        <v>63</v>
      </c>
      <c r="D66" s="16"/>
      <c r="E66" s="16"/>
      <c r="F66" s="16"/>
      <c r="G66" s="16"/>
      <c r="H66" s="17"/>
      <c r="I66" s="17">
        <v>49</v>
      </c>
      <c r="J66" s="17"/>
      <c r="K66" s="17"/>
      <c r="L66" s="17"/>
      <c r="M66" s="17">
        <f t="shared" si="9"/>
        <v>49</v>
      </c>
      <c r="N66" s="18"/>
    </row>
    <row r="67" spans="1:14" ht="9.75">
      <c r="A67" s="22"/>
      <c r="B67" s="33"/>
      <c r="C67" s="19" t="s">
        <v>17</v>
      </c>
      <c r="D67" s="16"/>
      <c r="E67" s="16"/>
      <c r="F67" s="16"/>
      <c r="G67" s="16"/>
      <c r="H67" s="17">
        <f aca="true" t="shared" si="10" ref="H67:H98">SUM(D67:G67)</f>
        <v>0</v>
      </c>
      <c r="I67" s="17">
        <v>951</v>
      </c>
      <c r="J67" s="17"/>
      <c r="K67" s="17"/>
      <c r="L67" s="17"/>
      <c r="M67" s="17">
        <f t="shared" si="9"/>
        <v>951</v>
      </c>
      <c r="N67" s="18"/>
    </row>
    <row r="68" spans="1:14" ht="9.75">
      <c r="A68" s="22"/>
      <c r="B68" s="33"/>
      <c r="C68" s="19" t="s">
        <v>18</v>
      </c>
      <c r="D68" s="16"/>
      <c r="E68" s="16"/>
      <c r="F68" s="16"/>
      <c r="G68" s="16"/>
      <c r="H68" s="17">
        <f t="shared" si="10"/>
        <v>0</v>
      </c>
      <c r="I68" s="17">
        <v>1194478</v>
      </c>
      <c r="J68" s="21"/>
      <c r="K68" s="21"/>
      <c r="L68" s="21"/>
      <c r="M68" s="17">
        <f t="shared" si="9"/>
        <v>1194478</v>
      </c>
      <c r="N68" s="18"/>
    </row>
    <row r="69" spans="1:14" ht="48.75">
      <c r="A69" s="22"/>
      <c r="B69" s="33"/>
      <c r="C69" s="23" t="s">
        <v>64</v>
      </c>
      <c r="D69" s="16">
        <f>144100-39484</f>
        <v>104616</v>
      </c>
      <c r="E69" s="16"/>
      <c r="F69" s="16"/>
      <c r="G69" s="16"/>
      <c r="H69" s="17">
        <f t="shared" si="10"/>
        <v>104616</v>
      </c>
      <c r="I69" s="17">
        <v>104617</v>
      </c>
      <c r="J69" s="21"/>
      <c r="K69" s="21"/>
      <c r="L69" s="21"/>
      <c r="M69" s="17">
        <f t="shared" si="9"/>
        <v>104617</v>
      </c>
      <c r="N69" s="18">
        <f>M69/H69</f>
        <v>1.0000095587673015</v>
      </c>
    </row>
    <row r="70" spans="1:14" ht="48.75">
      <c r="A70" s="22"/>
      <c r="B70" s="35"/>
      <c r="C70" s="23" t="s">
        <v>65</v>
      </c>
      <c r="D70" s="16">
        <v>39484</v>
      </c>
      <c r="E70" s="16"/>
      <c r="F70" s="16"/>
      <c r="G70" s="16"/>
      <c r="H70" s="17">
        <f t="shared" si="10"/>
        <v>39484</v>
      </c>
      <c r="I70" s="17">
        <v>39483</v>
      </c>
      <c r="J70" s="21"/>
      <c r="K70" s="21"/>
      <c r="L70" s="21"/>
      <c r="M70" s="17">
        <f t="shared" si="9"/>
        <v>39483</v>
      </c>
      <c r="N70" s="18">
        <f>M70/H70</f>
        <v>0.9999746732853814</v>
      </c>
    </row>
    <row r="71" spans="1:14" ht="39">
      <c r="A71" s="22"/>
      <c r="B71" s="35"/>
      <c r="C71" s="19" t="s">
        <v>66</v>
      </c>
      <c r="D71" s="16"/>
      <c r="E71" s="16"/>
      <c r="F71" s="16"/>
      <c r="G71" s="16"/>
      <c r="H71" s="17">
        <f t="shared" si="10"/>
        <v>0</v>
      </c>
      <c r="I71" s="17">
        <v>230</v>
      </c>
      <c r="J71" s="21"/>
      <c r="K71" s="21"/>
      <c r="L71" s="21"/>
      <c r="M71" s="17">
        <f t="shared" si="9"/>
        <v>230</v>
      </c>
      <c r="N71" s="18"/>
    </row>
    <row r="72" spans="1:14" ht="39">
      <c r="A72" s="22"/>
      <c r="B72" s="15"/>
      <c r="C72" s="23" t="s">
        <v>36</v>
      </c>
      <c r="D72" s="16">
        <v>5740000</v>
      </c>
      <c r="E72" s="16"/>
      <c r="F72" s="16"/>
      <c r="G72" s="16"/>
      <c r="H72" s="17">
        <f t="shared" si="10"/>
        <v>5740000</v>
      </c>
      <c r="I72" s="17">
        <v>4272746</v>
      </c>
      <c r="J72" s="21"/>
      <c r="K72" s="21"/>
      <c r="L72" s="21"/>
      <c r="M72" s="17">
        <f t="shared" si="9"/>
        <v>4272746</v>
      </c>
      <c r="N72" s="18">
        <f aca="true" t="shared" si="11" ref="N72:N78">M72/H72</f>
        <v>0.7443808362369339</v>
      </c>
    </row>
    <row r="73" spans="1:14" ht="9.75">
      <c r="A73" s="22"/>
      <c r="B73" s="26" t="s">
        <v>67</v>
      </c>
      <c r="C73" s="26"/>
      <c r="D73" s="27">
        <f>SUM(D64:D72)</f>
        <v>6298107</v>
      </c>
      <c r="E73" s="27">
        <f>SUM(E64:E72)</f>
        <v>0</v>
      </c>
      <c r="F73" s="27">
        <f>SUM(F64:F72)</f>
        <v>0</v>
      </c>
      <c r="G73" s="27">
        <f>SUM(G64:G72)</f>
        <v>0</v>
      </c>
      <c r="H73" s="27">
        <f t="shared" si="10"/>
        <v>6298107</v>
      </c>
      <c r="I73" s="27">
        <f>SUM(I64:I72)</f>
        <v>6043205</v>
      </c>
      <c r="J73" s="27">
        <f>SUM(J64:J67)</f>
        <v>0</v>
      </c>
      <c r="K73" s="27">
        <f>SUM(K64:K67)</f>
        <v>0</v>
      </c>
      <c r="L73" s="27">
        <f>SUM(L64:L67)</f>
        <v>0</v>
      </c>
      <c r="M73" s="27">
        <f t="shared" si="9"/>
        <v>6043205</v>
      </c>
      <c r="N73" s="28">
        <f t="shared" si="11"/>
        <v>0.9595272039677955</v>
      </c>
    </row>
    <row r="74" spans="1:14" ht="11.25">
      <c r="A74" s="42" t="s">
        <v>68</v>
      </c>
      <c r="B74" s="43"/>
      <c r="C74" s="43"/>
      <c r="D74" s="44">
        <f>SUM(D73,D63,D59,D54,D52,D50)</f>
        <v>6437527</v>
      </c>
      <c r="E74" s="44">
        <f>SUM(E73,E63,E59,E54,E52,E50)</f>
        <v>250</v>
      </c>
      <c r="F74" s="44">
        <f>SUM(F73,F63,F59,F54,F52,F50)</f>
        <v>0</v>
      </c>
      <c r="G74" s="44">
        <f>SUM(G73,G63,G59,G54,G52,G50)</f>
        <v>667400</v>
      </c>
      <c r="H74" s="44">
        <f t="shared" si="10"/>
        <v>7105177</v>
      </c>
      <c r="I74" s="44">
        <f>SUM(I73,I63,I59,I54,I52,I50)</f>
        <v>6071436</v>
      </c>
      <c r="J74" s="44">
        <f>SUM(J73,J63,J59,J54,J52,J50)</f>
        <v>1074</v>
      </c>
      <c r="K74" s="44">
        <f>SUM(K73,K63,K59,K54,K52,K50)</f>
        <v>0</v>
      </c>
      <c r="L74" s="44">
        <f>SUM(L73,L63,L59,L54,L52,L50)</f>
        <v>573542</v>
      </c>
      <c r="M74" s="44">
        <f t="shared" si="9"/>
        <v>6646052</v>
      </c>
      <c r="N74" s="45">
        <f t="shared" si="11"/>
        <v>0.9353816238497648</v>
      </c>
    </row>
    <row r="75" spans="1:14" ht="48.75">
      <c r="A75" s="46" t="s">
        <v>69</v>
      </c>
      <c r="B75" s="51" t="s">
        <v>70</v>
      </c>
      <c r="C75" s="15" t="s">
        <v>71</v>
      </c>
      <c r="D75" s="16"/>
      <c r="E75" s="16"/>
      <c r="F75" s="16">
        <v>1054500</v>
      </c>
      <c r="G75" s="16"/>
      <c r="H75" s="17">
        <f t="shared" si="10"/>
        <v>1054500</v>
      </c>
      <c r="I75" s="17"/>
      <c r="J75" s="17"/>
      <c r="K75" s="17">
        <v>1054500</v>
      </c>
      <c r="L75" s="17"/>
      <c r="M75" s="17">
        <f t="shared" si="9"/>
        <v>1054500</v>
      </c>
      <c r="N75" s="18">
        <f t="shared" si="11"/>
        <v>1</v>
      </c>
    </row>
    <row r="76" spans="1:14" ht="39">
      <c r="A76" s="22"/>
      <c r="B76" s="52"/>
      <c r="C76" s="19" t="s">
        <v>44</v>
      </c>
      <c r="D76" s="16"/>
      <c r="E76" s="16"/>
      <c r="F76" s="16"/>
      <c r="G76" s="16">
        <v>531300</v>
      </c>
      <c r="H76" s="17">
        <f t="shared" si="10"/>
        <v>531300</v>
      </c>
      <c r="I76" s="17"/>
      <c r="J76" s="17"/>
      <c r="K76" s="17"/>
      <c r="L76" s="17">
        <v>531300</v>
      </c>
      <c r="M76" s="17">
        <f t="shared" si="9"/>
        <v>531300</v>
      </c>
      <c r="N76" s="18">
        <f t="shared" si="11"/>
        <v>1</v>
      </c>
    </row>
    <row r="77" spans="1:14" ht="29.25" customHeight="1">
      <c r="A77" s="22"/>
      <c r="B77" s="52"/>
      <c r="C77" s="23" t="s">
        <v>45</v>
      </c>
      <c r="D77" s="16">
        <f>81000-11765</f>
        <v>69235</v>
      </c>
      <c r="E77" s="16">
        <v>1250</v>
      </c>
      <c r="F77" s="16"/>
      <c r="G77" s="16"/>
      <c r="H77" s="17">
        <f t="shared" si="10"/>
        <v>70485</v>
      </c>
      <c r="I77" s="17">
        <v>46278</v>
      </c>
      <c r="J77" s="17">
        <v>6642</v>
      </c>
      <c r="K77" s="17"/>
      <c r="L77" s="17"/>
      <c r="M77" s="17">
        <f t="shared" si="9"/>
        <v>52920</v>
      </c>
      <c r="N77" s="18">
        <f t="shared" si="11"/>
        <v>0.7507980421366248</v>
      </c>
    </row>
    <row r="78" spans="1:14" ht="9.75">
      <c r="A78" s="22"/>
      <c r="B78" s="26" t="s">
        <v>72</v>
      </c>
      <c r="C78" s="26"/>
      <c r="D78" s="27">
        <f>SUM(D75:D77)</f>
        <v>69235</v>
      </c>
      <c r="E78" s="27">
        <f>SUM(E75:E77)</f>
        <v>1250</v>
      </c>
      <c r="F78" s="27">
        <f>SUM(F75:F77)</f>
        <v>1054500</v>
      </c>
      <c r="G78" s="27">
        <f>SUM(G75:G77)</f>
        <v>531300</v>
      </c>
      <c r="H78" s="27">
        <f t="shared" si="10"/>
        <v>1656285</v>
      </c>
      <c r="I78" s="27">
        <f>SUM(I75:I77)</f>
        <v>46278</v>
      </c>
      <c r="J78" s="27">
        <f>SUM(J75:J77)</f>
        <v>6642</v>
      </c>
      <c r="K78" s="27">
        <f>SUM(K75:K77)</f>
        <v>1054500</v>
      </c>
      <c r="L78" s="27">
        <f>SUM(L75:L77)</f>
        <v>531300</v>
      </c>
      <c r="M78" s="27">
        <f t="shared" si="9"/>
        <v>1638720</v>
      </c>
      <c r="N78" s="28">
        <f t="shared" si="11"/>
        <v>0.9893949410880374</v>
      </c>
    </row>
    <row r="79" spans="1:14" s="32" customFormat="1" ht="29.25">
      <c r="A79" s="29"/>
      <c r="B79" s="30" t="s">
        <v>73</v>
      </c>
      <c r="C79" s="19" t="s">
        <v>74</v>
      </c>
      <c r="D79" s="24"/>
      <c r="E79" s="24"/>
      <c r="F79" s="24"/>
      <c r="G79" s="24"/>
      <c r="H79" s="17">
        <f t="shared" si="10"/>
        <v>0</v>
      </c>
      <c r="I79" s="17">
        <v>890</v>
      </c>
      <c r="J79" s="24"/>
      <c r="K79" s="24"/>
      <c r="L79" s="24"/>
      <c r="M79" s="17">
        <f t="shared" si="9"/>
        <v>890</v>
      </c>
      <c r="N79" s="18"/>
    </row>
    <row r="80" spans="1:14" ht="9.75">
      <c r="A80" s="22"/>
      <c r="B80" s="33"/>
      <c r="C80" s="15" t="s">
        <v>75</v>
      </c>
      <c r="D80" s="16">
        <v>12000</v>
      </c>
      <c r="E80" s="16">
        <v>24000</v>
      </c>
      <c r="F80" s="16"/>
      <c r="G80" s="16"/>
      <c r="H80" s="17">
        <f t="shared" si="10"/>
        <v>36000</v>
      </c>
      <c r="I80" s="17">
        <v>17548</v>
      </c>
      <c r="J80" s="17">
        <v>37635</v>
      </c>
      <c r="K80" s="17"/>
      <c r="L80" s="17"/>
      <c r="M80" s="17">
        <f t="shared" si="9"/>
        <v>55183</v>
      </c>
      <c r="N80" s="18">
        <f>M80/H80</f>
        <v>1.532861111111111</v>
      </c>
    </row>
    <row r="81" spans="1:14" ht="9.75">
      <c r="A81" s="22"/>
      <c r="B81" s="62"/>
      <c r="C81" s="19" t="s">
        <v>14</v>
      </c>
      <c r="D81" s="16">
        <v>391600</v>
      </c>
      <c r="E81" s="16">
        <v>15400</v>
      </c>
      <c r="F81" s="16"/>
      <c r="G81" s="16"/>
      <c r="H81" s="17">
        <f t="shared" si="10"/>
        <v>407000</v>
      </c>
      <c r="I81" s="17">
        <v>810151</v>
      </c>
      <c r="J81" s="17">
        <v>55475</v>
      </c>
      <c r="K81" s="17"/>
      <c r="L81" s="17"/>
      <c r="M81" s="17">
        <f t="shared" si="9"/>
        <v>865626</v>
      </c>
      <c r="N81" s="18">
        <f>M81/H81</f>
        <v>2.126845208845209</v>
      </c>
    </row>
    <row r="82" spans="1:14" ht="48.75">
      <c r="A82" s="22"/>
      <c r="B82" s="52"/>
      <c r="C82" s="19" t="s">
        <v>15</v>
      </c>
      <c r="D82" s="16">
        <v>385000</v>
      </c>
      <c r="E82" s="16"/>
      <c r="F82" s="16"/>
      <c r="G82" s="16"/>
      <c r="H82" s="17">
        <f t="shared" si="10"/>
        <v>385000</v>
      </c>
      <c r="I82" s="17">
        <v>292829</v>
      </c>
      <c r="J82" s="17"/>
      <c r="K82" s="17"/>
      <c r="L82" s="17"/>
      <c r="M82" s="17">
        <f t="shared" si="9"/>
        <v>292829</v>
      </c>
      <c r="N82" s="18">
        <f>M82/H82</f>
        <v>0.7605948051948052</v>
      </c>
    </row>
    <row r="83" spans="1:14" ht="9.75">
      <c r="A83" s="22"/>
      <c r="B83" s="52"/>
      <c r="C83" s="19" t="s">
        <v>16</v>
      </c>
      <c r="D83" s="16"/>
      <c r="E83" s="16"/>
      <c r="F83" s="16"/>
      <c r="G83" s="16"/>
      <c r="H83" s="17">
        <f t="shared" si="10"/>
        <v>0</v>
      </c>
      <c r="I83" s="17">
        <v>19370</v>
      </c>
      <c r="J83" s="17"/>
      <c r="K83" s="17"/>
      <c r="L83" s="17"/>
      <c r="M83" s="17">
        <f t="shared" si="9"/>
        <v>19370</v>
      </c>
      <c r="N83" s="18"/>
    </row>
    <row r="84" spans="1:14" ht="12" customHeight="1">
      <c r="A84" s="22"/>
      <c r="B84" s="52"/>
      <c r="C84" s="19" t="s">
        <v>17</v>
      </c>
      <c r="D84" s="16"/>
      <c r="E84" s="16"/>
      <c r="F84" s="16"/>
      <c r="G84" s="16"/>
      <c r="H84" s="17">
        <f t="shared" si="10"/>
        <v>0</v>
      </c>
      <c r="I84" s="17">
        <v>92788</v>
      </c>
      <c r="J84" s="17">
        <v>20805</v>
      </c>
      <c r="K84" s="17"/>
      <c r="L84" s="17"/>
      <c r="M84" s="17">
        <f t="shared" si="9"/>
        <v>113593</v>
      </c>
      <c r="N84" s="18"/>
    </row>
    <row r="85" spans="1:14" ht="21" customHeight="1">
      <c r="A85" s="22"/>
      <c r="B85" s="52"/>
      <c r="C85" s="19" t="s">
        <v>76</v>
      </c>
      <c r="D85" s="16"/>
      <c r="E85" s="16"/>
      <c r="F85" s="16"/>
      <c r="G85" s="16"/>
      <c r="H85" s="17">
        <f t="shared" si="10"/>
        <v>0</v>
      </c>
      <c r="I85" s="17">
        <v>50</v>
      </c>
      <c r="J85" s="17"/>
      <c r="K85" s="17"/>
      <c r="L85" s="17"/>
      <c r="M85" s="17">
        <f t="shared" si="9"/>
        <v>50</v>
      </c>
      <c r="N85" s="18"/>
    </row>
    <row r="86" spans="1:14" ht="9.75">
      <c r="A86" s="22"/>
      <c r="B86" s="52"/>
      <c r="C86" s="19" t="s">
        <v>18</v>
      </c>
      <c r="D86" s="16">
        <v>21318</v>
      </c>
      <c r="E86" s="16"/>
      <c r="F86" s="16"/>
      <c r="G86" s="16"/>
      <c r="H86" s="17">
        <f t="shared" si="10"/>
        <v>21318</v>
      </c>
      <c r="I86" s="17">
        <v>200584</v>
      </c>
      <c r="J86" s="17"/>
      <c r="K86" s="17"/>
      <c r="L86" s="17"/>
      <c r="M86" s="17">
        <f t="shared" si="9"/>
        <v>200584</v>
      </c>
      <c r="N86" s="18">
        <f>M86/H86</f>
        <v>9.409137817806549</v>
      </c>
    </row>
    <row r="87" spans="1:14" ht="39">
      <c r="A87" s="22"/>
      <c r="B87" s="52"/>
      <c r="C87" s="23" t="s">
        <v>77</v>
      </c>
      <c r="D87" s="16"/>
      <c r="E87" s="16">
        <v>12300</v>
      </c>
      <c r="F87" s="16"/>
      <c r="G87" s="16"/>
      <c r="H87" s="17">
        <f t="shared" si="10"/>
        <v>12300</v>
      </c>
      <c r="I87" s="21"/>
      <c r="J87" s="17">
        <v>12075</v>
      </c>
      <c r="K87" s="21"/>
      <c r="L87" s="21"/>
      <c r="M87" s="17">
        <f t="shared" si="9"/>
        <v>12075</v>
      </c>
      <c r="N87" s="18">
        <f>M87/H87</f>
        <v>0.9817073170731707</v>
      </c>
    </row>
    <row r="88" spans="1:14" ht="31.5" customHeight="1">
      <c r="A88" s="22"/>
      <c r="B88" s="15"/>
      <c r="C88" s="23" t="s">
        <v>78</v>
      </c>
      <c r="D88" s="16"/>
      <c r="E88" s="16"/>
      <c r="F88" s="16"/>
      <c r="G88" s="16"/>
      <c r="H88" s="17">
        <f t="shared" si="10"/>
        <v>0</v>
      </c>
      <c r="I88" s="17">
        <v>24600</v>
      </c>
      <c r="J88" s="17"/>
      <c r="K88" s="21"/>
      <c r="L88" s="21"/>
      <c r="M88" s="17">
        <f t="shared" si="9"/>
        <v>24600</v>
      </c>
      <c r="N88" s="18"/>
    </row>
    <row r="89" spans="1:14" ht="9.75">
      <c r="A89" s="22"/>
      <c r="B89" s="63" t="s">
        <v>79</v>
      </c>
      <c r="C89" s="26"/>
      <c r="D89" s="27">
        <f>SUM(D80:D88)</f>
        <v>809918</v>
      </c>
      <c r="E89" s="27">
        <f>SUM(E80:E88)</f>
        <v>51700</v>
      </c>
      <c r="F89" s="27">
        <f>SUM(F80:F88)</f>
        <v>0</v>
      </c>
      <c r="G89" s="27">
        <f>SUM(G80:G88)</f>
        <v>0</v>
      </c>
      <c r="H89" s="27">
        <f t="shared" si="10"/>
        <v>861618</v>
      </c>
      <c r="I89" s="27">
        <f>SUM(I79:I88)</f>
        <v>1458810</v>
      </c>
      <c r="J89" s="27">
        <f>SUM(J79:J88)</f>
        <v>125990</v>
      </c>
      <c r="K89" s="27">
        <f>SUM(K79:K88)</f>
        <v>0</v>
      </c>
      <c r="L89" s="27">
        <f>SUM(L79:L88)</f>
        <v>0</v>
      </c>
      <c r="M89" s="27">
        <f t="shared" si="9"/>
        <v>1584800</v>
      </c>
      <c r="N89" s="28">
        <f>M89/H89</f>
        <v>1.8393301904092068</v>
      </c>
    </row>
    <row r="90" spans="1:14" ht="39">
      <c r="A90" s="22"/>
      <c r="B90" s="51" t="s">
        <v>80</v>
      </c>
      <c r="C90" s="35" t="s">
        <v>44</v>
      </c>
      <c r="D90" s="16"/>
      <c r="E90" s="16"/>
      <c r="F90" s="16"/>
      <c r="G90" s="16">
        <f>94000-4000</f>
        <v>90000</v>
      </c>
      <c r="H90" s="17">
        <f t="shared" si="10"/>
        <v>90000</v>
      </c>
      <c r="I90" s="17"/>
      <c r="J90" s="17"/>
      <c r="K90" s="17"/>
      <c r="L90" s="17">
        <v>89956</v>
      </c>
      <c r="M90" s="17">
        <f t="shared" si="9"/>
        <v>89956</v>
      </c>
      <c r="N90" s="18">
        <f>M90/H90</f>
        <v>0.9995111111111111</v>
      </c>
    </row>
    <row r="91" spans="1:14" ht="9.75">
      <c r="A91" s="22"/>
      <c r="B91" s="63" t="s">
        <v>81</v>
      </c>
      <c r="C91" s="26"/>
      <c r="D91" s="27">
        <f>SUM(D90)</f>
        <v>0</v>
      </c>
      <c r="E91" s="27">
        <f>SUM(E90)</f>
        <v>0</v>
      </c>
      <c r="F91" s="27">
        <f>SUM(F90)</f>
        <v>0</v>
      </c>
      <c r="G91" s="27">
        <f>SUM(G90)</f>
        <v>90000</v>
      </c>
      <c r="H91" s="27">
        <f t="shared" si="10"/>
        <v>90000</v>
      </c>
      <c r="I91" s="27">
        <f>SUM(I90)</f>
        <v>0</v>
      </c>
      <c r="J91" s="27">
        <f>SUM(J90)</f>
        <v>0</v>
      </c>
      <c r="K91" s="27">
        <f>SUM(K90)</f>
        <v>0</v>
      </c>
      <c r="L91" s="27">
        <f>SUM(L90)</f>
        <v>89956</v>
      </c>
      <c r="M91" s="27">
        <f>SUM(M90)</f>
        <v>89956</v>
      </c>
      <c r="N91" s="28">
        <f>M91/H91</f>
        <v>0.9995111111111111</v>
      </c>
    </row>
    <row r="92" spans="1:14" s="32" customFormat="1" ht="9.75">
      <c r="A92" s="29"/>
      <c r="B92" s="30" t="s">
        <v>82</v>
      </c>
      <c r="C92" s="19" t="s">
        <v>17</v>
      </c>
      <c r="D92" s="24"/>
      <c r="E92" s="24"/>
      <c r="F92" s="24"/>
      <c r="G92" s="24"/>
      <c r="H92" s="17">
        <f t="shared" si="10"/>
        <v>0</v>
      </c>
      <c r="I92" s="17">
        <v>772</v>
      </c>
      <c r="J92" s="24"/>
      <c r="K92" s="24"/>
      <c r="L92" s="24"/>
      <c r="M92" s="17">
        <f aca="true" t="shared" si="12" ref="M92:M98">SUM(I92:L92)</f>
        <v>772</v>
      </c>
      <c r="N92" s="18"/>
    </row>
    <row r="93" spans="1:14" s="32" customFormat="1" ht="9.75">
      <c r="A93" s="29"/>
      <c r="B93" s="33"/>
      <c r="C93" s="19" t="s">
        <v>18</v>
      </c>
      <c r="D93" s="24"/>
      <c r="E93" s="24"/>
      <c r="F93" s="24"/>
      <c r="G93" s="24"/>
      <c r="H93" s="17">
        <f t="shared" si="10"/>
        <v>0</v>
      </c>
      <c r="I93" s="17">
        <v>20170</v>
      </c>
      <c r="J93" s="24"/>
      <c r="K93" s="24"/>
      <c r="L93" s="24"/>
      <c r="M93" s="17">
        <f t="shared" si="12"/>
        <v>20170</v>
      </c>
      <c r="N93" s="18"/>
    </row>
    <row r="94" spans="1:14" s="32" customFormat="1" ht="19.5">
      <c r="A94" s="29"/>
      <c r="B94" s="33"/>
      <c r="C94" s="19" t="s">
        <v>22</v>
      </c>
      <c r="D94" s="17">
        <v>53180</v>
      </c>
      <c r="E94" s="24"/>
      <c r="F94" s="24"/>
      <c r="G94" s="24"/>
      <c r="H94" s="17">
        <f t="shared" si="10"/>
        <v>53180</v>
      </c>
      <c r="I94" s="17">
        <v>53181</v>
      </c>
      <c r="J94" s="24"/>
      <c r="K94" s="24"/>
      <c r="L94" s="24"/>
      <c r="M94" s="17">
        <f t="shared" si="12"/>
        <v>53181</v>
      </c>
      <c r="N94" s="18">
        <f aca="true" t="shared" si="13" ref="N94:N104">M94/H94</f>
        <v>1.0000188040616773</v>
      </c>
    </row>
    <row r="95" spans="1:14" ht="48.75">
      <c r="A95" s="22"/>
      <c r="B95" s="41"/>
      <c r="C95" s="19" t="s">
        <v>23</v>
      </c>
      <c r="D95" s="16">
        <v>13000</v>
      </c>
      <c r="E95" s="16"/>
      <c r="F95" s="16"/>
      <c r="G95" s="16"/>
      <c r="H95" s="17">
        <f t="shared" si="10"/>
        <v>13000</v>
      </c>
      <c r="I95" s="17">
        <v>-649</v>
      </c>
      <c r="J95" s="21"/>
      <c r="K95" s="21"/>
      <c r="L95" s="21"/>
      <c r="M95" s="17">
        <f t="shared" si="12"/>
        <v>-649</v>
      </c>
      <c r="N95" s="18">
        <f t="shared" si="13"/>
        <v>-0.049923076923076924</v>
      </c>
    </row>
    <row r="96" spans="1:14" ht="9.75">
      <c r="A96" s="22"/>
      <c r="B96" s="64" t="s">
        <v>83</v>
      </c>
      <c r="C96" s="25"/>
      <c r="D96" s="27">
        <f>SUM(D92:D95)</f>
        <v>66180</v>
      </c>
      <c r="E96" s="27">
        <f>SUM(E92:E95)</f>
        <v>0</v>
      </c>
      <c r="F96" s="27">
        <f>SUM(F92:F95)</f>
        <v>0</v>
      </c>
      <c r="G96" s="27">
        <f>SUM(G92:G95)</f>
        <v>0</v>
      </c>
      <c r="H96" s="27">
        <f t="shared" si="10"/>
        <v>66180</v>
      </c>
      <c r="I96" s="27">
        <f>SUM(I92:I95)</f>
        <v>73474</v>
      </c>
      <c r="J96" s="27">
        <f>SUM(J92:J95)</f>
        <v>0</v>
      </c>
      <c r="K96" s="27">
        <f>SUM(K92:K95)</f>
        <v>0</v>
      </c>
      <c r="L96" s="27">
        <f>SUM(L92:L95)</f>
        <v>0</v>
      </c>
      <c r="M96" s="27">
        <f t="shared" si="12"/>
        <v>73474</v>
      </c>
      <c r="N96" s="28">
        <f t="shared" si="13"/>
        <v>1.11021456633424</v>
      </c>
    </row>
    <row r="97" spans="1:14" ht="11.25">
      <c r="A97" s="65" t="s">
        <v>84</v>
      </c>
      <c r="B97" s="66"/>
      <c r="C97" s="43"/>
      <c r="D97" s="44">
        <f>SUM(D96,D91,D89,D78)</f>
        <v>945333</v>
      </c>
      <c r="E97" s="44">
        <f>SUM(E96,E91,E89,E78)</f>
        <v>52950</v>
      </c>
      <c r="F97" s="44">
        <f>SUM(F96,F91,F89,F78)</f>
        <v>1054500</v>
      </c>
      <c r="G97" s="44">
        <f>SUM(G96,G91,G89,G78)</f>
        <v>621300</v>
      </c>
      <c r="H97" s="44">
        <f t="shared" si="10"/>
        <v>2674083</v>
      </c>
      <c r="I97" s="44">
        <f>SUM(I96,I91,I89,I78)</f>
        <v>1578562</v>
      </c>
      <c r="J97" s="44">
        <f>SUM(J96,J91,J89,J78)</f>
        <v>132632</v>
      </c>
      <c r="K97" s="44">
        <f>SUM(K96,K91,K89,K78)</f>
        <v>1054500</v>
      </c>
      <c r="L97" s="44">
        <f>SUM(L96,L91,L89,L78)</f>
        <v>621256</v>
      </c>
      <c r="M97" s="44">
        <f t="shared" si="12"/>
        <v>3386950</v>
      </c>
      <c r="N97" s="45">
        <f t="shared" si="13"/>
        <v>1.2665837223451928</v>
      </c>
    </row>
    <row r="98" spans="1:14" ht="48.75">
      <c r="A98" s="56" t="s">
        <v>85</v>
      </c>
      <c r="B98" s="67" t="s">
        <v>86</v>
      </c>
      <c r="C98" s="35" t="s">
        <v>71</v>
      </c>
      <c r="D98" s="16"/>
      <c r="E98" s="16"/>
      <c r="F98" s="16">
        <v>36610</v>
      </c>
      <c r="G98" s="16"/>
      <c r="H98" s="17">
        <f t="shared" si="10"/>
        <v>36610</v>
      </c>
      <c r="I98" s="17"/>
      <c r="J98" s="17"/>
      <c r="K98" s="17">
        <v>36609</v>
      </c>
      <c r="L98" s="17"/>
      <c r="M98" s="17">
        <f t="shared" si="12"/>
        <v>36609</v>
      </c>
      <c r="N98" s="18">
        <f t="shared" si="13"/>
        <v>0.9999726850587272</v>
      </c>
    </row>
    <row r="99" spans="1:14" ht="9.75">
      <c r="A99" s="68"/>
      <c r="B99" s="69" t="s">
        <v>87</v>
      </c>
      <c r="C99" s="26"/>
      <c r="D99" s="27">
        <f>SUM(D98)</f>
        <v>0</v>
      </c>
      <c r="E99" s="27">
        <f>SUM(E98)</f>
        <v>0</v>
      </c>
      <c r="F99" s="27">
        <f>SUM(F98)</f>
        <v>36610</v>
      </c>
      <c r="G99" s="27">
        <f>SUM(G98)</f>
        <v>0</v>
      </c>
      <c r="H99" s="27">
        <f aca="true" t="shared" si="14" ref="H99:H130">SUM(D99:G99)</f>
        <v>36610</v>
      </c>
      <c r="I99" s="27">
        <f>SUM(I98)</f>
        <v>0</v>
      </c>
      <c r="J99" s="27">
        <f>SUM(J98)</f>
        <v>0</v>
      </c>
      <c r="K99" s="27">
        <f>SUM(K98)</f>
        <v>36609</v>
      </c>
      <c r="L99" s="27">
        <f>SUM(L98)</f>
        <v>0</v>
      </c>
      <c r="M99" s="27">
        <f>SUM(M98)</f>
        <v>36609</v>
      </c>
      <c r="N99" s="28">
        <f t="shared" si="13"/>
        <v>0.9999726850587272</v>
      </c>
    </row>
    <row r="100" spans="1:14" s="32" customFormat="1" ht="49.5" customHeight="1">
      <c r="A100" s="68"/>
      <c r="B100" s="19" t="s">
        <v>88</v>
      </c>
      <c r="C100" s="35" t="s">
        <v>71</v>
      </c>
      <c r="D100" s="24"/>
      <c r="E100" s="24"/>
      <c r="F100" s="24">
        <f>95710+19398+148680+227770</f>
        <v>491558</v>
      </c>
      <c r="G100" s="24"/>
      <c r="H100" s="17">
        <f t="shared" si="14"/>
        <v>491558</v>
      </c>
      <c r="I100" s="24"/>
      <c r="J100" s="24"/>
      <c r="K100" s="24">
        <v>469673</v>
      </c>
      <c r="L100" s="24"/>
      <c r="M100" s="17">
        <f>SUM(I100:L100)</f>
        <v>469673</v>
      </c>
      <c r="N100" s="18">
        <f t="shared" si="13"/>
        <v>0.95547829554193</v>
      </c>
    </row>
    <row r="101" spans="1:14" s="32" customFormat="1" ht="9.75">
      <c r="A101" s="70"/>
      <c r="B101" s="64" t="s">
        <v>88</v>
      </c>
      <c r="C101" s="71"/>
      <c r="D101" s="27">
        <f>SUM(D100)</f>
        <v>0</v>
      </c>
      <c r="E101" s="27">
        <f>SUM(E100)</f>
        <v>0</v>
      </c>
      <c r="F101" s="27">
        <f>SUM(F100)</f>
        <v>491558</v>
      </c>
      <c r="G101" s="27">
        <f>SUM(G100)</f>
        <v>0</v>
      </c>
      <c r="H101" s="27">
        <f t="shared" si="14"/>
        <v>491558</v>
      </c>
      <c r="I101" s="27">
        <f>SUM(I100)</f>
        <v>0</v>
      </c>
      <c r="J101" s="27">
        <f>SUM(J100)</f>
        <v>0</v>
      </c>
      <c r="K101" s="27">
        <f>SUM(K100)</f>
        <v>469673</v>
      </c>
      <c r="L101" s="27">
        <f>SUM(L100)</f>
        <v>0</v>
      </c>
      <c r="M101" s="27">
        <f>SUM(M100)</f>
        <v>469673</v>
      </c>
      <c r="N101" s="28">
        <f t="shared" si="13"/>
        <v>0.95547829554193</v>
      </c>
    </row>
    <row r="102" spans="1:14" s="32" customFormat="1" ht="50.25" customHeight="1">
      <c r="A102" s="46"/>
      <c r="B102" s="19" t="s">
        <v>89</v>
      </c>
      <c r="C102" s="35" t="s">
        <v>71</v>
      </c>
      <c r="D102" s="24"/>
      <c r="E102" s="24"/>
      <c r="F102" s="24">
        <f>128160+178110+8000</f>
        <v>314270</v>
      </c>
      <c r="G102" s="24"/>
      <c r="H102" s="17">
        <f t="shared" si="14"/>
        <v>314270</v>
      </c>
      <c r="I102" s="24"/>
      <c r="J102" s="24"/>
      <c r="K102" s="24">
        <v>300667</v>
      </c>
      <c r="L102" s="24"/>
      <c r="M102" s="17">
        <f>SUM(I102:L102)</f>
        <v>300667</v>
      </c>
      <c r="N102" s="18">
        <f t="shared" si="13"/>
        <v>0.9567155630508798</v>
      </c>
    </row>
    <row r="103" spans="1:14" s="32" customFormat="1" ht="9.75">
      <c r="A103" s="72"/>
      <c r="B103" s="69" t="s">
        <v>90</v>
      </c>
      <c r="C103" s="25"/>
      <c r="D103" s="27">
        <f>SUM(D102)</f>
        <v>0</v>
      </c>
      <c r="E103" s="27">
        <f>SUM(E102)</f>
        <v>0</v>
      </c>
      <c r="F103" s="27">
        <f>SUM(F102)</f>
        <v>314270</v>
      </c>
      <c r="G103" s="27">
        <f>SUM(G102)</f>
        <v>0</v>
      </c>
      <c r="H103" s="27">
        <f t="shared" si="14"/>
        <v>314270</v>
      </c>
      <c r="I103" s="27">
        <f>SUM(I102)</f>
        <v>0</v>
      </c>
      <c r="J103" s="27">
        <f>SUM(J102)</f>
        <v>0</v>
      </c>
      <c r="K103" s="27">
        <f>SUM(K102)</f>
        <v>300667</v>
      </c>
      <c r="L103" s="27">
        <f>SUM(L102)</f>
        <v>0</v>
      </c>
      <c r="M103" s="27">
        <f>SUM(M102)</f>
        <v>300667</v>
      </c>
      <c r="N103" s="28">
        <f t="shared" si="13"/>
        <v>0.9567155630508798</v>
      </c>
    </row>
    <row r="104" spans="1:14" ht="11.25">
      <c r="A104" s="65" t="s">
        <v>91</v>
      </c>
      <c r="B104" s="66"/>
      <c r="C104" s="43"/>
      <c r="D104" s="44">
        <f>SUM(D103,D101,D99)</f>
        <v>0</v>
      </c>
      <c r="E104" s="44">
        <f>SUM(E103,E101,E99)</f>
        <v>0</v>
      </c>
      <c r="F104" s="44">
        <f>SUM(F103,F101,F99)</f>
        <v>842438</v>
      </c>
      <c r="G104" s="44">
        <f>SUM(G103,G101,G99)</f>
        <v>0</v>
      </c>
      <c r="H104" s="44">
        <f t="shared" si="14"/>
        <v>842438</v>
      </c>
      <c r="I104" s="44">
        <f>SUM(I99,I101,I103)</f>
        <v>0</v>
      </c>
      <c r="J104" s="44">
        <f>SUM(J99,J101,J103)</f>
        <v>0</v>
      </c>
      <c r="K104" s="44">
        <f>SUM(K99,K101,K103)</f>
        <v>806949</v>
      </c>
      <c r="L104" s="44">
        <f>SUM(L99,L101,L103)</f>
        <v>0</v>
      </c>
      <c r="M104" s="44">
        <f>SUM(M99,M101,M103)</f>
        <v>806949</v>
      </c>
      <c r="N104" s="45">
        <f t="shared" si="13"/>
        <v>0.9578734577500065</v>
      </c>
    </row>
    <row r="105" spans="1:14" s="32" customFormat="1" ht="11.25">
      <c r="A105" s="73" t="s">
        <v>92</v>
      </c>
      <c r="B105" s="60" t="s">
        <v>93</v>
      </c>
      <c r="C105" s="19" t="s">
        <v>17</v>
      </c>
      <c r="D105" s="57"/>
      <c r="E105" s="57"/>
      <c r="F105" s="57"/>
      <c r="G105" s="57"/>
      <c r="H105" s="17">
        <f t="shared" si="14"/>
        <v>0</v>
      </c>
      <c r="I105" s="57"/>
      <c r="J105" s="17">
        <v>4647</v>
      </c>
      <c r="K105" s="57"/>
      <c r="L105" s="57"/>
      <c r="M105" s="17">
        <f aca="true" t="shared" si="15" ref="M105:M136">SUM(I105:L105)</f>
        <v>4647</v>
      </c>
      <c r="N105" s="18"/>
    </row>
    <row r="106" spans="1:14" ht="39">
      <c r="A106" s="74"/>
      <c r="B106" s="60"/>
      <c r="C106" s="15" t="s">
        <v>44</v>
      </c>
      <c r="D106" s="16"/>
      <c r="E106" s="16"/>
      <c r="F106" s="16"/>
      <c r="G106" s="16">
        <f>7826000+40200</f>
        <v>7866200</v>
      </c>
      <c r="H106" s="17">
        <f t="shared" si="14"/>
        <v>7866200</v>
      </c>
      <c r="I106" s="17"/>
      <c r="J106" s="17"/>
      <c r="K106" s="17"/>
      <c r="L106" s="17">
        <v>7866168</v>
      </c>
      <c r="M106" s="17">
        <f t="shared" si="15"/>
        <v>7866168</v>
      </c>
      <c r="N106" s="18">
        <f>M106/H106</f>
        <v>0.9999959319620656</v>
      </c>
    </row>
    <row r="107" spans="1:14" ht="29.25">
      <c r="A107" s="74"/>
      <c r="B107" s="60"/>
      <c r="C107" s="19" t="s">
        <v>45</v>
      </c>
      <c r="D107" s="16"/>
      <c r="E107" s="16">
        <v>1100</v>
      </c>
      <c r="F107" s="16"/>
      <c r="G107" s="16"/>
      <c r="H107" s="17">
        <f t="shared" si="14"/>
        <v>1100</v>
      </c>
      <c r="I107" s="21"/>
      <c r="J107" s="17">
        <v>1547</v>
      </c>
      <c r="K107" s="21"/>
      <c r="L107" s="21"/>
      <c r="M107" s="17">
        <f t="shared" si="15"/>
        <v>1547</v>
      </c>
      <c r="N107" s="18">
        <f>M107/H107</f>
        <v>1.4063636363636363</v>
      </c>
    </row>
    <row r="108" spans="1:14" ht="48.75">
      <c r="A108" s="74"/>
      <c r="B108" s="60"/>
      <c r="C108" s="23" t="s">
        <v>94</v>
      </c>
      <c r="D108" s="16"/>
      <c r="E108" s="16"/>
      <c r="F108" s="16"/>
      <c r="G108" s="16">
        <f>60000+200000+20000+200000</f>
        <v>480000</v>
      </c>
      <c r="H108" s="17">
        <f t="shared" si="14"/>
        <v>480000</v>
      </c>
      <c r="I108" s="17"/>
      <c r="J108" s="17"/>
      <c r="K108" s="17"/>
      <c r="L108" s="17">
        <v>480000</v>
      </c>
      <c r="M108" s="17">
        <f t="shared" si="15"/>
        <v>480000</v>
      </c>
      <c r="N108" s="18">
        <f>M108/H108</f>
        <v>1</v>
      </c>
    </row>
    <row r="109" spans="1:14" ht="9.75">
      <c r="A109" s="74"/>
      <c r="B109" s="63" t="s">
        <v>95</v>
      </c>
      <c r="C109" s="26"/>
      <c r="D109" s="27">
        <f>SUM(D105:D108)</f>
        <v>0</v>
      </c>
      <c r="E109" s="27">
        <f>SUM(E105:E108)</f>
        <v>1100</v>
      </c>
      <c r="F109" s="27">
        <f>SUM(F105:F108)</f>
        <v>0</v>
      </c>
      <c r="G109" s="27">
        <f>SUM(G105:G108)</f>
        <v>8346200</v>
      </c>
      <c r="H109" s="27">
        <f t="shared" si="14"/>
        <v>8347300</v>
      </c>
      <c r="I109" s="27">
        <f>SUM(I105:I108)</f>
        <v>0</v>
      </c>
      <c r="J109" s="27">
        <f>SUM(J105:J108)</f>
        <v>6194</v>
      </c>
      <c r="K109" s="27">
        <f>SUM(K105:K108)</f>
        <v>0</v>
      </c>
      <c r="L109" s="27">
        <f>SUM(L105:L108)</f>
        <v>8346168</v>
      </c>
      <c r="M109" s="27">
        <f t="shared" si="15"/>
        <v>8352362</v>
      </c>
      <c r="N109" s="28">
        <f>M109/H109</f>
        <v>1.0006064236339893</v>
      </c>
    </row>
    <row r="110" spans="1:14" ht="19.5">
      <c r="A110" s="74"/>
      <c r="B110" s="30" t="s">
        <v>96</v>
      </c>
      <c r="C110" s="35" t="s">
        <v>97</v>
      </c>
      <c r="D110" s="16">
        <v>50000</v>
      </c>
      <c r="E110" s="16"/>
      <c r="F110" s="16"/>
      <c r="G110" s="16"/>
      <c r="H110" s="17">
        <f t="shared" si="14"/>
        <v>50000</v>
      </c>
      <c r="I110" s="17">
        <v>65762</v>
      </c>
      <c r="J110" s="17"/>
      <c r="K110" s="17"/>
      <c r="L110" s="17"/>
      <c r="M110" s="17">
        <f t="shared" si="15"/>
        <v>65762</v>
      </c>
      <c r="N110" s="18">
        <f>M110/H110</f>
        <v>1.31524</v>
      </c>
    </row>
    <row r="111" spans="1:14" ht="9.75">
      <c r="A111" s="74"/>
      <c r="B111" s="41"/>
      <c r="C111" s="19" t="s">
        <v>14</v>
      </c>
      <c r="D111" s="16"/>
      <c r="E111" s="16"/>
      <c r="F111" s="16"/>
      <c r="G111" s="16"/>
      <c r="H111" s="17">
        <f t="shared" si="14"/>
        <v>0</v>
      </c>
      <c r="I111" s="17">
        <v>160</v>
      </c>
      <c r="J111" s="17"/>
      <c r="K111" s="17"/>
      <c r="L111" s="17"/>
      <c r="M111" s="17">
        <f t="shared" si="15"/>
        <v>160</v>
      </c>
      <c r="N111" s="18"/>
    </row>
    <row r="112" spans="1:14" ht="9.75">
      <c r="A112" s="75"/>
      <c r="B112" s="64" t="s">
        <v>98</v>
      </c>
      <c r="C112" s="25"/>
      <c r="D112" s="27">
        <f>SUM(D110:D111)</f>
        <v>50000</v>
      </c>
      <c r="E112" s="27">
        <f>SUM(E110:E111)</f>
        <v>0</v>
      </c>
      <c r="F112" s="27">
        <f>SUM(F110:F111)</f>
        <v>0</v>
      </c>
      <c r="G112" s="27">
        <f>SUM(G110:G111)</f>
        <v>0</v>
      </c>
      <c r="H112" s="27">
        <f t="shared" si="14"/>
        <v>50000</v>
      </c>
      <c r="I112" s="27">
        <f>SUM(I110:I111)</f>
        <v>65922</v>
      </c>
      <c r="J112" s="27">
        <f>SUM(J110:J111)</f>
        <v>0</v>
      </c>
      <c r="K112" s="27">
        <f>SUM(K110:K111)</f>
        <v>0</v>
      </c>
      <c r="L112" s="27">
        <f>SUM(L110:L111)</f>
        <v>0</v>
      </c>
      <c r="M112" s="27">
        <f t="shared" si="15"/>
        <v>65922</v>
      </c>
      <c r="N112" s="28">
        <f aca="true" t="shared" si="16" ref="N112:N122">M112/H112</f>
        <v>1.31844</v>
      </c>
    </row>
    <row r="113" spans="1:14" ht="11.25">
      <c r="A113" s="65" t="s">
        <v>99</v>
      </c>
      <c r="B113" s="66"/>
      <c r="C113" s="43"/>
      <c r="D113" s="44">
        <f>SUM(D112,D109)</f>
        <v>50000</v>
      </c>
      <c r="E113" s="44">
        <f>SUM(E112,E109)</f>
        <v>1100</v>
      </c>
      <c r="F113" s="44">
        <f>SUM(F112,F109)</f>
        <v>0</v>
      </c>
      <c r="G113" s="44">
        <f>SUM(G112,G109)</f>
        <v>8346200</v>
      </c>
      <c r="H113" s="44">
        <f t="shared" si="14"/>
        <v>8397300</v>
      </c>
      <c r="I113" s="44">
        <f>SUM(I112,I109)</f>
        <v>65922</v>
      </c>
      <c r="J113" s="44">
        <f>SUM(J112,J109)</f>
        <v>6194</v>
      </c>
      <c r="K113" s="44">
        <f>SUM(K112,K109)</f>
        <v>0</v>
      </c>
      <c r="L113" s="44">
        <f>SUM(L112,L109)</f>
        <v>8346168</v>
      </c>
      <c r="M113" s="44">
        <f t="shared" si="15"/>
        <v>8418284</v>
      </c>
      <c r="N113" s="45">
        <f t="shared" si="16"/>
        <v>1.002498898455456</v>
      </c>
    </row>
    <row r="114" spans="1:14" ht="29.25">
      <c r="A114" s="74" t="s">
        <v>100</v>
      </c>
      <c r="B114" s="76" t="s">
        <v>101</v>
      </c>
      <c r="C114" s="15" t="s">
        <v>102</v>
      </c>
      <c r="D114" s="16">
        <v>1000000</v>
      </c>
      <c r="E114" s="16"/>
      <c r="F114" s="16"/>
      <c r="G114" s="16"/>
      <c r="H114" s="17">
        <f t="shared" si="14"/>
        <v>1000000</v>
      </c>
      <c r="I114" s="17">
        <v>1176228</v>
      </c>
      <c r="J114" s="21"/>
      <c r="K114" s="21"/>
      <c r="L114" s="21"/>
      <c r="M114" s="17">
        <f t="shared" si="15"/>
        <v>1176228</v>
      </c>
      <c r="N114" s="18">
        <f t="shared" si="16"/>
        <v>1.176228</v>
      </c>
    </row>
    <row r="115" spans="1:14" ht="19.5">
      <c r="A115" s="74"/>
      <c r="B115" s="77"/>
      <c r="C115" s="23" t="s">
        <v>103</v>
      </c>
      <c r="D115" s="16">
        <v>60000</v>
      </c>
      <c r="E115" s="16"/>
      <c r="F115" s="16"/>
      <c r="G115" s="16"/>
      <c r="H115" s="17">
        <f t="shared" si="14"/>
        <v>60000</v>
      </c>
      <c r="I115" s="17">
        <v>39513</v>
      </c>
      <c r="J115" s="17"/>
      <c r="K115" s="17"/>
      <c r="L115" s="17"/>
      <c r="M115" s="17">
        <f t="shared" si="15"/>
        <v>39513</v>
      </c>
      <c r="N115" s="18">
        <f t="shared" si="16"/>
        <v>0.65855</v>
      </c>
    </row>
    <row r="116" spans="1:14" ht="9.75">
      <c r="A116" s="74"/>
      <c r="B116" s="63" t="s">
        <v>104</v>
      </c>
      <c r="C116" s="26"/>
      <c r="D116" s="27">
        <f>SUM(D114:D115)</f>
        <v>1060000</v>
      </c>
      <c r="E116" s="27">
        <f>SUM(E114:E115)</f>
        <v>0</v>
      </c>
      <c r="F116" s="27">
        <f>SUM(F114:F115)</f>
        <v>0</v>
      </c>
      <c r="G116" s="27">
        <f>SUM(G114:G115)</f>
        <v>0</v>
      </c>
      <c r="H116" s="27">
        <f t="shared" si="14"/>
        <v>1060000</v>
      </c>
      <c r="I116" s="27">
        <f>SUM(I114:I115)</f>
        <v>1215741</v>
      </c>
      <c r="J116" s="27">
        <f>SUM(J114:J115)</f>
        <v>0</v>
      </c>
      <c r="K116" s="27">
        <f>SUM(K114:K115)</f>
        <v>0</v>
      </c>
      <c r="L116" s="27">
        <f>SUM(L114:L115)</f>
        <v>0</v>
      </c>
      <c r="M116" s="27">
        <f t="shared" si="15"/>
        <v>1215741</v>
      </c>
      <c r="N116" s="28">
        <f t="shared" si="16"/>
        <v>1.1469254716981132</v>
      </c>
    </row>
    <row r="117" spans="1:14" ht="9.75">
      <c r="A117" s="74"/>
      <c r="B117" s="30" t="s">
        <v>105</v>
      </c>
      <c r="C117" s="15" t="s">
        <v>106</v>
      </c>
      <c r="D117" s="16">
        <v>75600000</v>
      </c>
      <c r="E117" s="16"/>
      <c r="F117" s="16"/>
      <c r="G117" s="16"/>
      <c r="H117" s="17">
        <f t="shared" si="14"/>
        <v>75600000</v>
      </c>
      <c r="I117" s="17">
        <v>75668847</v>
      </c>
      <c r="J117" s="17"/>
      <c r="K117" s="17"/>
      <c r="L117" s="17"/>
      <c r="M117" s="17">
        <f t="shared" si="15"/>
        <v>75668847</v>
      </c>
      <c r="N117" s="18">
        <f t="shared" si="16"/>
        <v>1.0009106746031746</v>
      </c>
    </row>
    <row r="118" spans="1:14" ht="9.75">
      <c r="A118" s="74"/>
      <c r="B118" s="33"/>
      <c r="C118" s="19" t="s">
        <v>107</v>
      </c>
      <c r="D118" s="16">
        <v>400</v>
      </c>
      <c r="E118" s="16"/>
      <c r="F118" s="16"/>
      <c r="G118" s="16"/>
      <c r="H118" s="17">
        <f t="shared" si="14"/>
        <v>400</v>
      </c>
      <c r="I118" s="17">
        <v>398</v>
      </c>
      <c r="J118" s="21"/>
      <c r="K118" s="21"/>
      <c r="L118" s="21"/>
      <c r="M118" s="17">
        <f t="shared" si="15"/>
        <v>398</v>
      </c>
      <c r="N118" s="18">
        <f t="shared" si="16"/>
        <v>0.995</v>
      </c>
    </row>
    <row r="119" spans="1:14" ht="9.75">
      <c r="A119" s="74"/>
      <c r="B119" s="33"/>
      <c r="C119" s="19" t="s">
        <v>108</v>
      </c>
      <c r="D119" s="16">
        <v>64800</v>
      </c>
      <c r="E119" s="16"/>
      <c r="F119" s="16"/>
      <c r="G119" s="16"/>
      <c r="H119" s="17">
        <f t="shared" si="14"/>
        <v>64800</v>
      </c>
      <c r="I119" s="17">
        <v>67458</v>
      </c>
      <c r="J119" s="17"/>
      <c r="K119" s="17"/>
      <c r="L119" s="17"/>
      <c r="M119" s="17">
        <f t="shared" si="15"/>
        <v>67458</v>
      </c>
      <c r="N119" s="18">
        <f t="shared" si="16"/>
        <v>1.0410185185185186</v>
      </c>
    </row>
    <row r="120" spans="1:14" ht="9.75">
      <c r="A120" s="74"/>
      <c r="B120" s="33"/>
      <c r="C120" s="19" t="s">
        <v>109</v>
      </c>
      <c r="D120" s="16">
        <v>2800000</v>
      </c>
      <c r="E120" s="16"/>
      <c r="F120" s="16"/>
      <c r="G120" s="16"/>
      <c r="H120" s="17">
        <f t="shared" si="14"/>
        <v>2800000</v>
      </c>
      <c r="I120" s="17">
        <v>3575448</v>
      </c>
      <c r="J120" s="17"/>
      <c r="K120" s="17"/>
      <c r="L120" s="17"/>
      <c r="M120" s="17">
        <f t="shared" si="15"/>
        <v>3575448</v>
      </c>
      <c r="N120" s="18">
        <f t="shared" si="16"/>
        <v>1.2769457142857144</v>
      </c>
    </row>
    <row r="121" spans="1:14" ht="19.5">
      <c r="A121" s="74"/>
      <c r="B121" s="33"/>
      <c r="C121" s="19" t="s">
        <v>110</v>
      </c>
      <c r="D121" s="16">
        <v>3100000</v>
      </c>
      <c r="E121" s="16"/>
      <c r="F121" s="16"/>
      <c r="G121" s="16"/>
      <c r="H121" s="17">
        <f t="shared" si="14"/>
        <v>3100000</v>
      </c>
      <c r="I121" s="17">
        <v>2886799</v>
      </c>
      <c r="J121" s="21"/>
      <c r="K121" s="21"/>
      <c r="L121" s="21"/>
      <c r="M121" s="17">
        <f t="shared" si="15"/>
        <v>2886799</v>
      </c>
      <c r="N121" s="18">
        <f t="shared" si="16"/>
        <v>0.9312254838709677</v>
      </c>
    </row>
    <row r="122" spans="1:14" ht="19.5">
      <c r="A122" s="78"/>
      <c r="B122" s="33"/>
      <c r="C122" s="23" t="s">
        <v>103</v>
      </c>
      <c r="D122" s="16">
        <v>1000000</v>
      </c>
      <c r="E122" s="16"/>
      <c r="F122" s="16"/>
      <c r="G122" s="16"/>
      <c r="H122" s="17">
        <f t="shared" si="14"/>
        <v>1000000</v>
      </c>
      <c r="I122" s="17">
        <v>1523484</v>
      </c>
      <c r="J122" s="24"/>
      <c r="K122" s="24"/>
      <c r="L122" s="24"/>
      <c r="M122" s="17">
        <f t="shared" si="15"/>
        <v>1523484</v>
      </c>
      <c r="N122" s="18">
        <f t="shared" si="16"/>
        <v>1.523484</v>
      </c>
    </row>
    <row r="123" spans="1:14" ht="30.75" customHeight="1">
      <c r="A123" s="46"/>
      <c r="B123" s="41"/>
      <c r="C123" s="23" t="s">
        <v>78</v>
      </c>
      <c r="D123" s="16"/>
      <c r="E123" s="16"/>
      <c r="F123" s="16"/>
      <c r="G123" s="16"/>
      <c r="H123" s="17">
        <f t="shared" si="14"/>
        <v>0</v>
      </c>
      <c r="I123" s="17">
        <v>358003</v>
      </c>
      <c r="J123" s="24"/>
      <c r="K123" s="24"/>
      <c r="L123" s="24"/>
      <c r="M123" s="17">
        <f t="shared" si="15"/>
        <v>358003</v>
      </c>
      <c r="N123" s="18"/>
    </row>
    <row r="124" spans="1:14" ht="9.75">
      <c r="A124" s="22"/>
      <c r="B124" s="63" t="s">
        <v>111</v>
      </c>
      <c r="C124" s="26"/>
      <c r="D124" s="27">
        <f>SUM(D117:D122)</f>
        <v>82565200</v>
      </c>
      <c r="E124" s="27">
        <f>SUM(E117:E122)</f>
        <v>0</v>
      </c>
      <c r="F124" s="27">
        <f>SUM(F117:F122)</f>
        <v>0</v>
      </c>
      <c r="G124" s="27">
        <f>SUM(G117:G122)</f>
        <v>0</v>
      </c>
      <c r="H124" s="27">
        <f t="shared" si="14"/>
        <v>82565200</v>
      </c>
      <c r="I124" s="27">
        <f>SUM(I117:I123)</f>
        <v>84080437</v>
      </c>
      <c r="J124" s="27">
        <f>SUM(J117:J122)</f>
        <v>0</v>
      </c>
      <c r="K124" s="27">
        <f>SUM(K117:K122)</f>
        <v>0</v>
      </c>
      <c r="L124" s="27">
        <f>SUM(L117:L122)</f>
        <v>0</v>
      </c>
      <c r="M124" s="27">
        <f t="shared" si="15"/>
        <v>84080437</v>
      </c>
      <c r="N124" s="28">
        <f aca="true" t="shared" si="17" ref="N124:N155">M124/H124</f>
        <v>1.0183520054453934</v>
      </c>
    </row>
    <row r="125" spans="1:14" ht="9.75">
      <c r="A125" s="22"/>
      <c r="B125" s="14" t="s">
        <v>112</v>
      </c>
      <c r="C125" s="15" t="s">
        <v>106</v>
      </c>
      <c r="D125" s="16">
        <v>11900000</v>
      </c>
      <c r="E125" s="16"/>
      <c r="F125" s="16"/>
      <c r="G125" s="16"/>
      <c r="H125" s="17">
        <f t="shared" si="14"/>
        <v>11900000</v>
      </c>
      <c r="I125" s="17">
        <v>12862296</v>
      </c>
      <c r="J125" s="17"/>
      <c r="K125" s="17"/>
      <c r="L125" s="17"/>
      <c r="M125" s="17">
        <f t="shared" si="15"/>
        <v>12862296</v>
      </c>
      <c r="N125" s="18">
        <f t="shared" si="17"/>
        <v>1.0808652100840337</v>
      </c>
    </row>
    <row r="126" spans="1:14" ht="9.75">
      <c r="A126" s="22"/>
      <c r="B126" s="14"/>
      <c r="C126" s="19" t="s">
        <v>107</v>
      </c>
      <c r="D126" s="16">
        <v>27600</v>
      </c>
      <c r="E126" s="16"/>
      <c r="F126" s="16"/>
      <c r="G126" s="16"/>
      <c r="H126" s="17">
        <f t="shared" si="14"/>
        <v>27600</v>
      </c>
      <c r="I126" s="17">
        <v>29368</v>
      </c>
      <c r="J126" s="17"/>
      <c r="K126" s="17"/>
      <c r="L126" s="17"/>
      <c r="M126" s="17">
        <f t="shared" si="15"/>
        <v>29368</v>
      </c>
      <c r="N126" s="18">
        <f t="shared" si="17"/>
        <v>1.0640579710144928</v>
      </c>
    </row>
    <row r="127" spans="1:14" ht="9.75">
      <c r="A127" s="22"/>
      <c r="B127" s="14"/>
      <c r="C127" s="19" t="s">
        <v>108</v>
      </c>
      <c r="D127" s="16">
        <v>3200</v>
      </c>
      <c r="E127" s="16"/>
      <c r="F127" s="16"/>
      <c r="G127" s="16"/>
      <c r="H127" s="17">
        <f t="shared" si="14"/>
        <v>3200</v>
      </c>
      <c r="I127" s="17">
        <v>3449</v>
      </c>
      <c r="J127" s="21"/>
      <c r="K127" s="21"/>
      <c r="L127" s="21"/>
      <c r="M127" s="17">
        <f t="shared" si="15"/>
        <v>3449</v>
      </c>
      <c r="N127" s="18">
        <f t="shared" si="17"/>
        <v>1.0778125</v>
      </c>
    </row>
    <row r="128" spans="1:14" ht="9.75">
      <c r="A128" s="22"/>
      <c r="B128" s="14"/>
      <c r="C128" s="19" t="s">
        <v>109</v>
      </c>
      <c r="D128" s="16">
        <v>1700000</v>
      </c>
      <c r="E128" s="16"/>
      <c r="F128" s="16"/>
      <c r="G128" s="16"/>
      <c r="H128" s="17">
        <f t="shared" si="14"/>
        <v>1700000</v>
      </c>
      <c r="I128" s="17">
        <v>2117655</v>
      </c>
      <c r="J128" s="17"/>
      <c r="K128" s="17"/>
      <c r="L128" s="17"/>
      <c r="M128" s="17">
        <f t="shared" si="15"/>
        <v>2117655</v>
      </c>
      <c r="N128" s="18">
        <f t="shared" si="17"/>
        <v>1.2456794117647059</v>
      </c>
    </row>
    <row r="129" spans="1:14" ht="9.75">
      <c r="A129" s="22"/>
      <c r="B129" s="14"/>
      <c r="C129" s="19" t="s">
        <v>113</v>
      </c>
      <c r="D129" s="16">
        <v>3400000</v>
      </c>
      <c r="E129" s="16"/>
      <c r="F129" s="16"/>
      <c r="G129" s="16"/>
      <c r="H129" s="17">
        <f t="shared" si="14"/>
        <v>3400000</v>
      </c>
      <c r="I129" s="17">
        <v>3598915</v>
      </c>
      <c r="J129" s="17"/>
      <c r="K129" s="17"/>
      <c r="L129" s="17"/>
      <c r="M129" s="17">
        <f t="shared" si="15"/>
        <v>3598915</v>
      </c>
      <c r="N129" s="18">
        <f t="shared" si="17"/>
        <v>1.0585044117647058</v>
      </c>
    </row>
    <row r="130" spans="1:14" ht="9.75">
      <c r="A130" s="22"/>
      <c r="B130" s="14"/>
      <c r="C130" s="19" t="s">
        <v>114</v>
      </c>
      <c r="D130" s="16">
        <v>100000</v>
      </c>
      <c r="E130" s="16"/>
      <c r="F130" s="16"/>
      <c r="G130" s="16"/>
      <c r="H130" s="17">
        <f t="shared" si="14"/>
        <v>100000</v>
      </c>
      <c r="I130" s="17">
        <v>87094</v>
      </c>
      <c r="J130" s="17"/>
      <c r="K130" s="17"/>
      <c r="L130" s="17"/>
      <c r="M130" s="17">
        <f t="shared" si="15"/>
        <v>87094</v>
      </c>
      <c r="N130" s="18">
        <f t="shared" si="17"/>
        <v>0.87094</v>
      </c>
    </row>
    <row r="131" spans="1:14" ht="9.75">
      <c r="A131" s="22"/>
      <c r="B131" s="14"/>
      <c r="C131" s="19" t="s">
        <v>115</v>
      </c>
      <c r="D131" s="16">
        <v>1450000</v>
      </c>
      <c r="E131" s="16"/>
      <c r="F131" s="16"/>
      <c r="G131" s="16"/>
      <c r="H131" s="17">
        <f aca="true" t="shared" si="18" ref="H131:H162">SUM(D131:G131)</f>
        <v>1450000</v>
      </c>
      <c r="I131" s="17">
        <v>1148520</v>
      </c>
      <c r="J131" s="17"/>
      <c r="K131" s="17"/>
      <c r="L131" s="17"/>
      <c r="M131" s="17">
        <f t="shared" si="15"/>
        <v>1148520</v>
      </c>
      <c r="N131" s="18">
        <f t="shared" si="17"/>
        <v>0.7920827586206897</v>
      </c>
    </row>
    <row r="132" spans="1:14" ht="9.75">
      <c r="A132" s="22"/>
      <c r="B132" s="14"/>
      <c r="C132" s="19" t="s">
        <v>116</v>
      </c>
      <c r="D132" s="16">
        <f>125200+20000</f>
        <v>145200</v>
      </c>
      <c r="E132" s="16"/>
      <c r="F132" s="16"/>
      <c r="G132" s="16"/>
      <c r="H132" s="17">
        <f t="shared" si="18"/>
        <v>145200</v>
      </c>
      <c r="I132" s="17">
        <v>223214</v>
      </c>
      <c r="J132" s="17"/>
      <c r="K132" s="17"/>
      <c r="L132" s="17"/>
      <c r="M132" s="17">
        <f t="shared" si="15"/>
        <v>223214</v>
      </c>
      <c r="N132" s="18">
        <f t="shared" si="17"/>
        <v>1.5372865013774104</v>
      </c>
    </row>
    <row r="133" spans="1:14" ht="19.5">
      <c r="A133" s="22"/>
      <c r="B133" s="14"/>
      <c r="C133" s="19" t="s">
        <v>117</v>
      </c>
      <c r="D133" s="16">
        <v>6000</v>
      </c>
      <c r="E133" s="16"/>
      <c r="F133" s="16"/>
      <c r="G133" s="16"/>
      <c r="H133" s="17">
        <f t="shared" si="18"/>
        <v>6000</v>
      </c>
      <c r="I133" s="17">
        <v>6583</v>
      </c>
      <c r="J133" s="17"/>
      <c r="K133" s="17"/>
      <c r="L133" s="17"/>
      <c r="M133" s="17">
        <f t="shared" si="15"/>
        <v>6583</v>
      </c>
      <c r="N133" s="18">
        <f t="shared" si="17"/>
        <v>1.0971666666666666</v>
      </c>
    </row>
    <row r="134" spans="1:14" ht="19.5">
      <c r="A134" s="22"/>
      <c r="B134" s="14"/>
      <c r="C134" s="19" t="s">
        <v>110</v>
      </c>
      <c r="D134" s="16">
        <v>10900000</v>
      </c>
      <c r="E134" s="16"/>
      <c r="F134" s="16"/>
      <c r="G134" s="16"/>
      <c r="H134" s="17">
        <f t="shared" si="18"/>
        <v>10900000</v>
      </c>
      <c r="I134" s="17">
        <v>14254860</v>
      </c>
      <c r="J134" s="17"/>
      <c r="K134" s="17"/>
      <c r="L134" s="17"/>
      <c r="M134" s="17">
        <f t="shared" si="15"/>
        <v>14254860</v>
      </c>
      <c r="N134" s="18">
        <f t="shared" si="17"/>
        <v>1.3077853211009174</v>
      </c>
    </row>
    <row r="135" spans="1:14" ht="10.5" customHeight="1">
      <c r="A135" s="22"/>
      <c r="B135" s="14"/>
      <c r="C135" s="19" t="s">
        <v>118</v>
      </c>
      <c r="D135" s="16">
        <v>2000</v>
      </c>
      <c r="E135" s="16"/>
      <c r="F135" s="16"/>
      <c r="G135" s="16"/>
      <c r="H135" s="17">
        <f t="shared" si="18"/>
        <v>2000</v>
      </c>
      <c r="I135" s="17">
        <v>3173</v>
      </c>
      <c r="J135" s="17"/>
      <c r="K135" s="17"/>
      <c r="L135" s="17"/>
      <c r="M135" s="17">
        <f t="shared" si="15"/>
        <v>3173</v>
      </c>
      <c r="N135" s="18">
        <f t="shared" si="17"/>
        <v>1.5865</v>
      </c>
    </row>
    <row r="136" spans="1:14" ht="19.5">
      <c r="A136" s="22"/>
      <c r="B136" s="14"/>
      <c r="C136" s="23" t="s">
        <v>103</v>
      </c>
      <c r="D136" s="16">
        <v>500000</v>
      </c>
      <c r="E136" s="16"/>
      <c r="F136" s="16"/>
      <c r="G136" s="16"/>
      <c r="H136" s="17">
        <f t="shared" si="18"/>
        <v>500000</v>
      </c>
      <c r="I136" s="17">
        <v>468545</v>
      </c>
      <c r="J136" s="17"/>
      <c r="K136" s="17"/>
      <c r="L136" s="17"/>
      <c r="M136" s="17">
        <f t="shared" si="15"/>
        <v>468545</v>
      </c>
      <c r="N136" s="18">
        <f t="shared" si="17"/>
        <v>0.93709</v>
      </c>
    </row>
    <row r="137" spans="1:14" ht="9.75">
      <c r="A137" s="22"/>
      <c r="B137" s="63" t="s">
        <v>119</v>
      </c>
      <c r="C137" s="26"/>
      <c r="D137" s="27">
        <f>SUM(D125:D136)</f>
        <v>30134000</v>
      </c>
      <c r="E137" s="27">
        <f>SUM(E125:E136)</f>
        <v>0</v>
      </c>
      <c r="F137" s="27">
        <f>SUM(F125:F136)</f>
        <v>0</v>
      </c>
      <c r="G137" s="27">
        <f>SUM(G125:G136)</f>
        <v>0</v>
      </c>
      <c r="H137" s="27">
        <f t="shared" si="18"/>
        <v>30134000</v>
      </c>
      <c r="I137" s="27">
        <f>SUM(I125:I136)</f>
        <v>34803672</v>
      </c>
      <c r="J137" s="27">
        <f>SUM(J125:J136)</f>
        <v>0</v>
      </c>
      <c r="K137" s="27">
        <f>SUM(K125:K136)</f>
        <v>0</v>
      </c>
      <c r="L137" s="27">
        <f>SUM(L125:L136)</f>
        <v>0</v>
      </c>
      <c r="M137" s="27">
        <f aca="true" t="shared" si="19" ref="M137:M168">SUM(I137:L137)</f>
        <v>34803672</v>
      </c>
      <c r="N137" s="28">
        <f t="shared" si="17"/>
        <v>1.1549635627530364</v>
      </c>
    </row>
    <row r="138" spans="1:14" ht="9.75">
      <c r="A138" s="22"/>
      <c r="B138" s="76" t="s">
        <v>120</v>
      </c>
      <c r="C138" s="15" t="s">
        <v>121</v>
      </c>
      <c r="D138" s="16">
        <v>4738000</v>
      </c>
      <c r="E138" s="16"/>
      <c r="F138" s="16"/>
      <c r="G138" s="16"/>
      <c r="H138" s="17">
        <f t="shared" si="18"/>
        <v>4738000</v>
      </c>
      <c r="I138" s="17">
        <v>4869229</v>
      </c>
      <c r="J138" s="17"/>
      <c r="K138" s="17"/>
      <c r="L138" s="17"/>
      <c r="M138" s="17">
        <f t="shared" si="19"/>
        <v>4869229</v>
      </c>
      <c r="N138" s="18">
        <f t="shared" si="17"/>
        <v>1.0276971295905446</v>
      </c>
    </row>
    <row r="139" spans="1:14" ht="9.75">
      <c r="A139" s="22"/>
      <c r="B139" s="14"/>
      <c r="C139" s="19" t="s">
        <v>122</v>
      </c>
      <c r="D139" s="16"/>
      <c r="E139" s="16">
        <f>4200000+310000</f>
        <v>4510000</v>
      </c>
      <c r="F139" s="16"/>
      <c r="G139" s="16"/>
      <c r="H139" s="17">
        <f t="shared" si="18"/>
        <v>4510000</v>
      </c>
      <c r="I139" s="17"/>
      <c r="J139" s="17">
        <v>6476928</v>
      </c>
      <c r="K139" s="17"/>
      <c r="L139" s="17"/>
      <c r="M139" s="17">
        <f t="shared" si="19"/>
        <v>6476928</v>
      </c>
      <c r="N139" s="18">
        <f t="shared" si="17"/>
        <v>1.4361259423503325</v>
      </c>
    </row>
    <row r="140" spans="1:14" ht="19.5">
      <c r="A140" s="22"/>
      <c r="B140" s="14"/>
      <c r="C140" s="19" t="s">
        <v>123</v>
      </c>
      <c r="D140" s="16">
        <f>3800000+100000</f>
        <v>3900000</v>
      </c>
      <c r="E140" s="16"/>
      <c r="F140" s="16"/>
      <c r="G140" s="16"/>
      <c r="H140" s="17">
        <f t="shared" si="18"/>
        <v>3900000</v>
      </c>
      <c r="I140" s="17">
        <v>3985498</v>
      </c>
      <c r="J140" s="17"/>
      <c r="K140" s="17"/>
      <c r="L140" s="17"/>
      <c r="M140" s="17">
        <f t="shared" si="19"/>
        <v>3985498</v>
      </c>
      <c r="N140" s="18">
        <f t="shared" si="17"/>
        <v>1.0219225641025642</v>
      </c>
    </row>
    <row r="141" spans="1:14" ht="19.5">
      <c r="A141" s="22"/>
      <c r="B141" s="79"/>
      <c r="C141" s="23" t="s">
        <v>103</v>
      </c>
      <c r="D141" s="16">
        <v>40000</v>
      </c>
      <c r="E141" s="16"/>
      <c r="F141" s="16"/>
      <c r="G141" s="16"/>
      <c r="H141" s="17">
        <f t="shared" si="18"/>
        <v>40000</v>
      </c>
      <c r="I141" s="17">
        <v>119474</v>
      </c>
      <c r="J141" s="21"/>
      <c r="K141" s="21"/>
      <c r="L141" s="21"/>
      <c r="M141" s="17">
        <f t="shared" si="19"/>
        <v>119474</v>
      </c>
      <c r="N141" s="18">
        <f t="shared" si="17"/>
        <v>2.98685</v>
      </c>
    </row>
    <row r="142" spans="1:14" ht="9.75">
      <c r="A142" s="22"/>
      <c r="B142" s="63" t="s">
        <v>124</v>
      </c>
      <c r="C142" s="26"/>
      <c r="D142" s="27">
        <f>SUM(D138:D141)</f>
        <v>8678000</v>
      </c>
      <c r="E142" s="27">
        <f>SUM(E138:E141)</f>
        <v>4510000</v>
      </c>
      <c r="F142" s="27">
        <f>SUM(F138:F141)</f>
        <v>0</v>
      </c>
      <c r="G142" s="27">
        <f>SUM(G138:G141)</f>
        <v>0</v>
      </c>
      <c r="H142" s="27">
        <f t="shared" si="18"/>
        <v>13188000</v>
      </c>
      <c r="I142" s="27">
        <f>SUM(I138:I141)</f>
        <v>8974201</v>
      </c>
      <c r="J142" s="27">
        <f>SUM(J138:J141)</f>
        <v>6476928</v>
      </c>
      <c r="K142" s="27">
        <f>SUM(K138:K141)</f>
        <v>0</v>
      </c>
      <c r="L142" s="27">
        <f>SUM(L138:L141)</f>
        <v>0</v>
      </c>
      <c r="M142" s="27">
        <f t="shared" si="19"/>
        <v>15451129</v>
      </c>
      <c r="N142" s="28">
        <f t="shared" si="17"/>
        <v>1.1716051713679103</v>
      </c>
    </row>
    <row r="143" spans="1:14" ht="19.5">
      <c r="A143" s="22"/>
      <c r="B143" s="14" t="s">
        <v>125</v>
      </c>
      <c r="C143" s="15" t="s">
        <v>126</v>
      </c>
      <c r="D143" s="16">
        <f>137843412+923116</f>
        <v>138766528</v>
      </c>
      <c r="E143" s="16"/>
      <c r="F143" s="16"/>
      <c r="G143" s="16"/>
      <c r="H143" s="17">
        <f t="shared" si="18"/>
        <v>138766528</v>
      </c>
      <c r="I143" s="17">
        <v>143894678</v>
      </c>
      <c r="J143" s="21"/>
      <c r="K143" s="21"/>
      <c r="L143" s="21"/>
      <c r="M143" s="17">
        <f t="shared" si="19"/>
        <v>143894678</v>
      </c>
      <c r="N143" s="18">
        <f t="shared" si="17"/>
        <v>1.0369552375051136</v>
      </c>
    </row>
    <row r="144" spans="1:14" ht="19.5">
      <c r="A144" s="22"/>
      <c r="B144" s="14"/>
      <c r="C144" s="23" t="s">
        <v>127</v>
      </c>
      <c r="D144" s="16">
        <v>10772284</v>
      </c>
      <c r="E144" s="16"/>
      <c r="F144" s="16"/>
      <c r="G144" s="16"/>
      <c r="H144" s="17">
        <f t="shared" si="18"/>
        <v>10772284</v>
      </c>
      <c r="I144" s="17">
        <v>10108758</v>
      </c>
      <c r="J144" s="17"/>
      <c r="K144" s="17"/>
      <c r="L144" s="17"/>
      <c r="M144" s="17">
        <f t="shared" si="19"/>
        <v>10108758</v>
      </c>
      <c r="N144" s="18">
        <f t="shared" si="17"/>
        <v>0.9384043346796278</v>
      </c>
    </row>
    <row r="145" spans="1:14" ht="9.75">
      <c r="A145" s="22"/>
      <c r="B145" s="63" t="s">
        <v>128</v>
      </c>
      <c r="C145" s="26"/>
      <c r="D145" s="27">
        <f>SUM(D143:D144)</f>
        <v>149538812</v>
      </c>
      <c r="E145" s="27">
        <f>SUM(E143:E144)</f>
        <v>0</v>
      </c>
      <c r="F145" s="27">
        <f>SUM(F143:F144)</f>
        <v>0</v>
      </c>
      <c r="G145" s="27">
        <f>SUM(G143:G144)</f>
        <v>0</v>
      </c>
      <c r="H145" s="27">
        <f t="shared" si="18"/>
        <v>149538812</v>
      </c>
      <c r="I145" s="27">
        <f>SUM(I143:I144)</f>
        <v>154003436</v>
      </c>
      <c r="J145" s="27">
        <f>SUM(J143:J144)</f>
        <v>0</v>
      </c>
      <c r="K145" s="27">
        <f>SUM(K143:K144)</f>
        <v>0</v>
      </c>
      <c r="L145" s="27">
        <f>SUM(L143:L144)</f>
        <v>0</v>
      </c>
      <c r="M145" s="27">
        <f t="shared" si="19"/>
        <v>154003436</v>
      </c>
      <c r="N145" s="28">
        <f t="shared" si="17"/>
        <v>1.0298559547203037</v>
      </c>
    </row>
    <row r="146" spans="1:14" ht="19.5">
      <c r="A146" s="22"/>
      <c r="B146" s="14" t="s">
        <v>129</v>
      </c>
      <c r="C146" s="15" t="s">
        <v>126</v>
      </c>
      <c r="D146" s="16"/>
      <c r="E146" s="16">
        <f>39676916+265710</f>
        <v>39942626</v>
      </c>
      <c r="F146" s="16"/>
      <c r="G146" s="16"/>
      <c r="H146" s="17">
        <f t="shared" si="18"/>
        <v>39942626</v>
      </c>
      <c r="I146" s="17"/>
      <c r="J146" s="17">
        <v>41418818</v>
      </c>
      <c r="K146" s="17"/>
      <c r="L146" s="17"/>
      <c r="M146" s="17">
        <f t="shared" si="19"/>
        <v>41418818</v>
      </c>
      <c r="N146" s="18">
        <f t="shared" si="17"/>
        <v>1.036957810435398</v>
      </c>
    </row>
    <row r="147" spans="1:14" ht="19.5">
      <c r="A147" s="22"/>
      <c r="B147" s="14"/>
      <c r="C147" s="23" t="s">
        <v>127</v>
      </c>
      <c r="D147" s="16"/>
      <c r="E147" s="16">
        <v>2630600</v>
      </c>
      <c r="F147" s="16"/>
      <c r="G147" s="16"/>
      <c r="H147" s="17">
        <f t="shared" si="18"/>
        <v>2630600</v>
      </c>
      <c r="I147" s="17"/>
      <c r="J147" s="17">
        <v>2135408</v>
      </c>
      <c r="K147" s="17"/>
      <c r="L147" s="17"/>
      <c r="M147" s="17">
        <f t="shared" si="19"/>
        <v>2135408</v>
      </c>
      <c r="N147" s="18">
        <f t="shared" si="17"/>
        <v>0.8117570136090626</v>
      </c>
    </row>
    <row r="148" spans="1:14" ht="9.75">
      <c r="A148" s="22"/>
      <c r="B148" s="64" t="s">
        <v>130</v>
      </c>
      <c r="C148" s="25"/>
      <c r="D148" s="27">
        <f>SUM(D146:D147)</f>
        <v>0</v>
      </c>
      <c r="E148" s="27">
        <f>SUM(E146:E147)</f>
        <v>42573226</v>
      </c>
      <c r="F148" s="27">
        <f>SUM(F146:F147)</f>
        <v>0</v>
      </c>
      <c r="G148" s="27">
        <f>SUM(G146:G147)</f>
        <v>0</v>
      </c>
      <c r="H148" s="27">
        <f t="shared" si="18"/>
        <v>42573226</v>
      </c>
      <c r="I148" s="27">
        <f>SUM(I146:I147)</f>
        <v>0</v>
      </c>
      <c r="J148" s="27">
        <f>SUM(J146:J147)</f>
        <v>43554226</v>
      </c>
      <c r="K148" s="27">
        <f>SUM(K146:K147)</f>
        <v>0</v>
      </c>
      <c r="L148" s="27">
        <f>SUM(L146:L147)</f>
        <v>0</v>
      </c>
      <c r="M148" s="27">
        <f t="shared" si="19"/>
        <v>43554226</v>
      </c>
      <c r="N148" s="28">
        <f t="shared" si="17"/>
        <v>1.0230426512663147</v>
      </c>
    </row>
    <row r="149" spans="1:14" ht="11.25">
      <c r="A149" s="42" t="s">
        <v>131</v>
      </c>
      <c r="B149" s="80"/>
      <c r="C149" s="43"/>
      <c r="D149" s="44">
        <f>SUM(D148,D145,D142,D137,D124,D116)</f>
        <v>271976012</v>
      </c>
      <c r="E149" s="44">
        <f>SUM(E148,E145,E142,E137,E124,E116)</f>
        <v>47083226</v>
      </c>
      <c r="F149" s="44">
        <f>SUM(F148,F145,F142,F137,F124,F116)</f>
        <v>0</v>
      </c>
      <c r="G149" s="44">
        <f>SUM(G148,G145,G142,G137,G124,G116)</f>
        <v>0</v>
      </c>
      <c r="H149" s="44">
        <f t="shared" si="18"/>
        <v>319059238</v>
      </c>
      <c r="I149" s="44">
        <f>SUM(I148,I145,I142,I137,I124,I116)</f>
        <v>283077487</v>
      </c>
      <c r="J149" s="44">
        <f>SUM(J148,J145,J142,J137,J124,J116)</f>
        <v>50031154</v>
      </c>
      <c r="K149" s="44">
        <f>SUM(K148,K145,K142,K137,K124,K116)</f>
        <v>0</v>
      </c>
      <c r="L149" s="44">
        <f>SUM(L148,L145,L142,L137,L124,L116)</f>
        <v>0</v>
      </c>
      <c r="M149" s="44">
        <f t="shared" si="19"/>
        <v>333108641</v>
      </c>
      <c r="N149" s="45">
        <f t="shared" si="17"/>
        <v>1.0440338386315584</v>
      </c>
    </row>
    <row r="150" spans="1:14" ht="58.5">
      <c r="A150" s="46" t="s">
        <v>132</v>
      </c>
      <c r="B150" s="51" t="s">
        <v>133</v>
      </c>
      <c r="C150" s="35" t="s">
        <v>134</v>
      </c>
      <c r="D150" s="16">
        <f>70446038-2286984+81728+3400+833147</f>
        <v>69077329</v>
      </c>
      <c r="E150" s="16">
        <f>61525907-1221568+137458+114600+445016</f>
        <v>61001413</v>
      </c>
      <c r="F150" s="16"/>
      <c r="G150" s="16"/>
      <c r="H150" s="17">
        <f t="shared" si="18"/>
        <v>130078742</v>
      </c>
      <c r="I150" s="17">
        <v>69077329</v>
      </c>
      <c r="J150" s="17">
        <v>61001413</v>
      </c>
      <c r="K150" s="21"/>
      <c r="L150" s="21"/>
      <c r="M150" s="17">
        <f t="shared" si="19"/>
        <v>130078742</v>
      </c>
      <c r="N150" s="18">
        <f t="shared" si="17"/>
        <v>1</v>
      </c>
    </row>
    <row r="151" spans="1:14" ht="9.75">
      <c r="A151" s="22"/>
      <c r="B151" s="63" t="s">
        <v>135</v>
      </c>
      <c r="C151" s="26"/>
      <c r="D151" s="27">
        <f>SUM(D150)</f>
        <v>69077329</v>
      </c>
      <c r="E151" s="27">
        <f>SUM(E150)</f>
        <v>61001413</v>
      </c>
      <c r="F151" s="27">
        <f>SUM(F150)</f>
        <v>0</v>
      </c>
      <c r="G151" s="27">
        <f>SUM(G150)</f>
        <v>0</v>
      </c>
      <c r="H151" s="27">
        <f t="shared" si="18"/>
        <v>130078742</v>
      </c>
      <c r="I151" s="27">
        <f>SUM(I150)</f>
        <v>69077329</v>
      </c>
      <c r="J151" s="27">
        <f>SUM(J150)</f>
        <v>61001413</v>
      </c>
      <c r="K151" s="27">
        <f>SUM(K150)</f>
        <v>0</v>
      </c>
      <c r="L151" s="27">
        <f>SUM(L150)</f>
        <v>0</v>
      </c>
      <c r="M151" s="27">
        <f t="shared" si="19"/>
        <v>130078742</v>
      </c>
      <c r="N151" s="28">
        <f t="shared" si="17"/>
        <v>1</v>
      </c>
    </row>
    <row r="152" spans="1:14" s="32" customFormat="1" ht="19.5">
      <c r="A152" s="70"/>
      <c r="B152" s="30" t="s">
        <v>136</v>
      </c>
      <c r="C152" s="19" t="s">
        <v>137</v>
      </c>
      <c r="D152" s="24">
        <v>70894</v>
      </c>
      <c r="E152" s="24"/>
      <c r="F152" s="24"/>
      <c r="G152" s="24"/>
      <c r="H152" s="17">
        <f t="shared" si="18"/>
        <v>70894</v>
      </c>
      <c r="I152" s="17">
        <v>70894</v>
      </c>
      <c r="J152" s="24"/>
      <c r="K152" s="24"/>
      <c r="L152" s="24"/>
      <c r="M152" s="17">
        <f t="shared" si="19"/>
        <v>70894</v>
      </c>
      <c r="N152" s="18">
        <f t="shared" si="17"/>
        <v>1</v>
      </c>
    </row>
    <row r="153" spans="1:14" ht="19.5">
      <c r="A153" s="46"/>
      <c r="B153" s="41"/>
      <c r="C153" s="35" t="s">
        <v>138</v>
      </c>
      <c r="D153" s="16"/>
      <c r="E153" s="16">
        <v>6500000</v>
      </c>
      <c r="F153" s="16"/>
      <c r="G153" s="16"/>
      <c r="H153" s="17">
        <f t="shared" si="18"/>
        <v>6500000</v>
      </c>
      <c r="I153" s="17"/>
      <c r="J153" s="17">
        <v>6500000</v>
      </c>
      <c r="K153" s="21"/>
      <c r="L153" s="21"/>
      <c r="M153" s="17">
        <f t="shared" si="19"/>
        <v>6500000</v>
      </c>
      <c r="N153" s="18">
        <f t="shared" si="17"/>
        <v>1</v>
      </c>
    </row>
    <row r="154" spans="1:14" ht="9.75">
      <c r="A154" s="22"/>
      <c r="B154" s="81" t="s">
        <v>139</v>
      </c>
      <c r="C154" s="81"/>
      <c r="D154" s="27">
        <f>SUM(D152:D153)</f>
        <v>70894</v>
      </c>
      <c r="E154" s="27">
        <f>SUM(E152:E153)</f>
        <v>6500000</v>
      </c>
      <c r="F154" s="27">
        <f>SUM(F152:F153)</f>
        <v>0</v>
      </c>
      <c r="G154" s="27">
        <f>SUM(G152:G153)</f>
        <v>0</v>
      </c>
      <c r="H154" s="27">
        <f t="shared" si="18"/>
        <v>6570894</v>
      </c>
      <c r="I154" s="27">
        <f>SUM(I152:I153)</f>
        <v>70894</v>
      </c>
      <c r="J154" s="27">
        <f>SUM(J152:J153)</f>
        <v>6500000</v>
      </c>
      <c r="K154" s="27">
        <f>SUM(K152:K153)</f>
        <v>0</v>
      </c>
      <c r="L154" s="27">
        <f>SUM(L152:L153)</f>
        <v>0</v>
      </c>
      <c r="M154" s="27">
        <f t="shared" si="19"/>
        <v>6570894</v>
      </c>
      <c r="N154" s="28">
        <f t="shared" si="17"/>
        <v>1</v>
      </c>
    </row>
    <row r="155" spans="1:14" ht="9.75">
      <c r="A155" s="22"/>
      <c r="B155" s="60" t="s">
        <v>140</v>
      </c>
      <c r="C155" s="19" t="s">
        <v>17</v>
      </c>
      <c r="D155" s="16">
        <v>700000</v>
      </c>
      <c r="E155" s="16"/>
      <c r="F155" s="16"/>
      <c r="G155" s="16"/>
      <c r="H155" s="17">
        <f t="shared" si="18"/>
        <v>700000</v>
      </c>
      <c r="I155" s="17">
        <v>1652412</v>
      </c>
      <c r="J155" s="17">
        <v>1178</v>
      </c>
      <c r="K155" s="17"/>
      <c r="L155" s="17"/>
      <c r="M155" s="17">
        <f t="shared" si="19"/>
        <v>1653590</v>
      </c>
      <c r="N155" s="18">
        <f t="shared" si="17"/>
        <v>2.3622714285714284</v>
      </c>
    </row>
    <row r="156" spans="1:14" ht="9.75">
      <c r="A156" s="22"/>
      <c r="B156" s="60"/>
      <c r="C156" s="19" t="s">
        <v>141</v>
      </c>
      <c r="D156" s="16"/>
      <c r="E156" s="16"/>
      <c r="F156" s="16"/>
      <c r="G156" s="16"/>
      <c r="H156" s="17">
        <f t="shared" si="18"/>
        <v>0</v>
      </c>
      <c r="I156" s="17">
        <v>123</v>
      </c>
      <c r="J156" s="17"/>
      <c r="K156" s="17"/>
      <c r="L156" s="17"/>
      <c r="M156" s="17">
        <f t="shared" si="19"/>
        <v>123</v>
      </c>
      <c r="N156" s="18"/>
    </row>
    <row r="157" spans="1:14" ht="9.75">
      <c r="A157" s="22"/>
      <c r="B157" s="63" t="s">
        <v>142</v>
      </c>
      <c r="C157" s="26"/>
      <c r="D157" s="27">
        <f>SUM(D155:D156)</f>
        <v>700000</v>
      </c>
      <c r="E157" s="27">
        <f>SUM(E155:E156)</f>
        <v>0</v>
      </c>
      <c r="F157" s="27">
        <f>SUM(F155:F156)</f>
        <v>0</v>
      </c>
      <c r="G157" s="27">
        <f>SUM(G155:G156)</f>
        <v>0</v>
      </c>
      <c r="H157" s="27">
        <f t="shared" si="18"/>
        <v>700000</v>
      </c>
      <c r="I157" s="27">
        <f>SUM(I155:I156)</f>
        <v>1652535</v>
      </c>
      <c r="J157" s="27">
        <f>SUM(J155:J156)</f>
        <v>1178</v>
      </c>
      <c r="K157" s="27">
        <f>SUM(K155:K156)</f>
        <v>0</v>
      </c>
      <c r="L157" s="27">
        <f>SUM(L155:L156)</f>
        <v>0</v>
      </c>
      <c r="M157" s="27">
        <f t="shared" si="19"/>
        <v>1653713</v>
      </c>
      <c r="N157" s="28">
        <f>M157/H157</f>
        <v>2.362447142857143</v>
      </c>
    </row>
    <row r="158" spans="1:14" ht="19.5">
      <c r="A158" s="22"/>
      <c r="B158" s="19" t="s">
        <v>143</v>
      </c>
      <c r="C158" s="82" t="s">
        <v>144</v>
      </c>
      <c r="D158" s="16"/>
      <c r="E158" s="16"/>
      <c r="F158" s="16"/>
      <c r="G158" s="16"/>
      <c r="H158" s="17">
        <f t="shared" si="18"/>
        <v>0</v>
      </c>
      <c r="I158" s="17">
        <v>86</v>
      </c>
      <c r="J158" s="17"/>
      <c r="K158" s="17"/>
      <c r="L158" s="17"/>
      <c r="M158" s="17">
        <f t="shared" si="19"/>
        <v>86</v>
      </c>
      <c r="N158" s="18"/>
    </row>
    <row r="159" spans="1:14" ht="9.75">
      <c r="A159" s="22"/>
      <c r="B159" s="63" t="s">
        <v>145</v>
      </c>
      <c r="C159" s="26"/>
      <c r="D159" s="27">
        <f>SUM(D158)</f>
        <v>0</v>
      </c>
      <c r="E159" s="27">
        <f>SUM(E158)</f>
        <v>0</v>
      </c>
      <c r="F159" s="27">
        <f>SUM(F158)</f>
        <v>0</v>
      </c>
      <c r="G159" s="27">
        <f>SUM(G158)</f>
        <v>0</v>
      </c>
      <c r="H159" s="27">
        <f t="shared" si="18"/>
        <v>0</v>
      </c>
      <c r="I159" s="27">
        <f>SUM(I158:I158)</f>
        <v>86</v>
      </c>
      <c r="J159" s="27">
        <f>SUM(J158:J158)</f>
        <v>0</v>
      </c>
      <c r="K159" s="27">
        <f>SUM(K158:K158)</f>
        <v>0</v>
      </c>
      <c r="L159" s="27">
        <f>SUM(L158:L158)</f>
        <v>0</v>
      </c>
      <c r="M159" s="27">
        <f t="shared" si="19"/>
        <v>86</v>
      </c>
      <c r="N159" s="28"/>
    </row>
    <row r="160" spans="1:14" ht="39">
      <c r="A160" s="22"/>
      <c r="B160" s="51" t="s">
        <v>146</v>
      </c>
      <c r="C160" s="35" t="s">
        <v>134</v>
      </c>
      <c r="D160" s="16"/>
      <c r="E160" s="16">
        <v>604865</v>
      </c>
      <c r="F160" s="16"/>
      <c r="G160" s="16"/>
      <c r="H160" s="17">
        <f t="shared" si="18"/>
        <v>604865</v>
      </c>
      <c r="I160" s="17"/>
      <c r="J160" s="17">
        <v>604865</v>
      </c>
      <c r="K160" s="17"/>
      <c r="L160" s="17"/>
      <c r="M160" s="17">
        <f t="shared" si="19"/>
        <v>604865</v>
      </c>
      <c r="N160" s="18">
        <f>M160/H160</f>
        <v>1</v>
      </c>
    </row>
    <row r="161" spans="1:14" ht="9.75">
      <c r="A161" s="22"/>
      <c r="B161" s="64" t="s">
        <v>147</v>
      </c>
      <c r="C161" s="25"/>
      <c r="D161" s="27">
        <f>SUM(D160)</f>
        <v>0</v>
      </c>
      <c r="E161" s="27">
        <f>SUM(E160)</f>
        <v>604865</v>
      </c>
      <c r="F161" s="27">
        <f>SUM(F160)</f>
        <v>0</v>
      </c>
      <c r="G161" s="27">
        <f>SUM(G160)</f>
        <v>0</v>
      </c>
      <c r="H161" s="27">
        <f t="shared" si="18"/>
        <v>604865</v>
      </c>
      <c r="I161" s="27">
        <f>SUM(I160)</f>
        <v>0</v>
      </c>
      <c r="J161" s="27">
        <f>SUM(J160)</f>
        <v>604865</v>
      </c>
      <c r="K161" s="27">
        <f>SUM(K160)</f>
        <v>0</v>
      </c>
      <c r="L161" s="27">
        <f>SUM(L160)</f>
        <v>0</v>
      </c>
      <c r="M161" s="27">
        <f t="shared" si="19"/>
        <v>604865</v>
      </c>
      <c r="N161" s="28">
        <f>M161/H161</f>
        <v>1</v>
      </c>
    </row>
    <row r="162" spans="1:14" ht="11.25">
      <c r="A162" s="65" t="s">
        <v>148</v>
      </c>
      <c r="B162" s="66"/>
      <c r="C162" s="43"/>
      <c r="D162" s="44">
        <f>SUM(D161,D159,D151,D154,D157)</f>
        <v>69848223</v>
      </c>
      <c r="E162" s="44">
        <f>SUM(E161,E159,E151,E154,E157)</f>
        <v>68106278</v>
      </c>
      <c r="F162" s="44">
        <f>SUM(F161,F159,F151,F154,F157)</f>
        <v>0</v>
      </c>
      <c r="G162" s="44">
        <f>SUM(G161,G159,G151,G154,G157)</f>
        <v>0</v>
      </c>
      <c r="H162" s="44">
        <f t="shared" si="18"/>
        <v>137954501</v>
      </c>
      <c r="I162" s="44">
        <f>SUM(I161,I159,I157,I154,I151)</f>
        <v>70800844</v>
      </c>
      <c r="J162" s="44">
        <f>SUM(J161,J159,J157,J154,J151)</f>
        <v>68107456</v>
      </c>
      <c r="K162" s="44">
        <f>SUM(K161,K159,K157,K154,K151)</f>
        <v>0</v>
      </c>
      <c r="L162" s="44">
        <f>SUM(L161,L159,L157,L154,L151)</f>
        <v>0</v>
      </c>
      <c r="M162" s="44">
        <f t="shared" si="19"/>
        <v>138908300</v>
      </c>
      <c r="N162" s="45">
        <f>M162/H162</f>
        <v>1.00691386647834</v>
      </c>
    </row>
    <row r="163" spans="1:14" ht="11.25">
      <c r="A163" s="73" t="s">
        <v>149</v>
      </c>
      <c r="B163" s="30" t="s">
        <v>150</v>
      </c>
      <c r="C163" s="19" t="s">
        <v>14</v>
      </c>
      <c r="D163" s="57"/>
      <c r="E163" s="57"/>
      <c r="F163" s="57"/>
      <c r="G163" s="57"/>
      <c r="H163" s="17">
        <f aca="true" t="shared" si="20" ref="H163:H194">SUM(D163:G163)</f>
        <v>0</v>
      </c>
      <c r="I163" s="17">
        <v>19</v>
      </c>
      <c r="J163" s="57"/>
      <c r="K163" s="57"/>
      <c r="L163" s="57"/>
      <c r="M163" s="17">
        <f t="shared" si="19"/>
        <v>19</v>
      </c>
      <c r="N163" s="18"/>
    </row>
    <row r="164" spans="1:14" ht="48.75">
      <c r="A164" s="74"/>
      <c r="B164" s="33"/>
      <c r="C164" s="19" t="s">
        <v>15</v>
      </c>
      <c r="D164" s="16">
        <f>1035741+2000+108500-65000</f>
        <v>1081241</v>
      </c>
      <c r="E164" s="16"/>
      <c r="F164" s="16"/>
      <c r="G164" s="16"/>
      <c r="H164" s="17">
        <f t="shared" si="20"/>
        <v>1081241</v>
      </c>
      <c r="I164" s="17">
        <v>1244991</v>
      </c>
      <c r="J164" s="17"/>
      <c r="K164" s="17"/>
      <c r="L164" s="17"/>
      <c r="M164" s="17">
        <f t="shared" si="19"/>
        <v>1244991</v>
      </c>
      <c r="N164" s="40">
        <f>M164/H164</f>
        <v>1.1514463472990757</v>
      </c>
    </row>
    <row r="165" spans="1:14" ht="9.75">
      <c r="A165" s="74"/>
      <c r="B165" s="33"/>
      <c r="C165" s="19" t="s">
        <v>151</v>
      </c>
      <c r="D165" s="16">
        <f>389871-262615-3405</f>
        <v>123851</v>
      </c>
      <c r="E165" s="16"/>
      <c r="F165" s="16"/>
      <c r="G165" s="16"/>
      <c r="H165" s="17">
        <f t="shared" si="20"/>
        <v>123851</v>
      </c>
      <c r="I165" s="17">
        <v>123850</v>
      </c>
      <c r="J165" s="17"/>
      <c r="K165" s="17"/>
      <c r="L165" s="17"/>
      <c r="M165" s="17">
        <f t="shared" si="19"/>
        <v>123850</v>
      </c>
      <c r="N165" s="40">
        <f>M165/H165</f>
        <v>0.9999919257817862</v>
      </c>
    </row>
    <row r="166" spans="1:14" ht="9.75">
      <c r="A166" s="74"/>
      <c r="B166" s="33"/>
      <c r="C166" s="19" t="s">
        <v>17</v>
      </c>
      <c r="D166" s="16">
        <f>2351+65</f>
        <v>2416</v>
      </c>
      <c r="E166" s="16"/>
      <c r="F166" s="16"/>
      <c r="G166" s="16"/>
      <c r="H166" s="17">
        <f t="shared" si="20"/>
        <v>2416</v>
      </c>
      <c r="I166" s="17">
        <v>111305</v>
      </c>
      <c r="J166" s="17"/>
      <c r="K166" s="17"/>
      <c r="L166" s="17"/>
      <c r="M166" s="17">
        <f t="shared" si="19"/>
        <v>111305</v>
      </c>
      <c r="N166" s="40">
        <f>M166/H166</f>
        <v>46.06995033112583</v>
      </c>
    </row>
    <row r="167" spans="1:14" ht="9.75">
      <c r="A167" s="74"/>
      <c r="B167" s="33"/>
      <c r="C167" s="19" t="s">
        <v>141</v>
      </c>
      <c r="D167" s="16"/>
      <c r="E167" s="16"/>
      <c r="F167" s="16"/>
      <c r="G167" s="16"/>
      <c r="H167" s="17">
        <f t="shared" si="20"/>
        <v>0</v>
      </c>
      <c r="I167" s="17">
        <v>79</v>
      </c>
      <c r="J167" s="17"/>
      <c r="K167" s="17"/>
      <c r="L167" s="17"/>
      <c r="M167" s="17">
        <f t="shared" si="19"/>
        <v>79</v>
      </c>
      <c r="N167" s="40"/>
    </row>
    <row r="168" spans="1:14" ht="19.5">
      <c r="A168" s="74"/>
      <c r="B168" s="33"/>
      <c r="C168" s="19" t="s">
        <v>76</v>
      </c>
      <c r="D168" s="16">
        <f>72916+4787</f>
        <v>77703</v>
      </c>
      <c r="E168" s="16"/>
      <c r="F168" s="16"/>
      <c r="G168" s="16"/>
      <c r="H168" s="17">
        <f t="shared" si="20"/>
        <v>77703</v>
      </c>
      <c r="I168" s="17">
        <v>77802</v>
      </c>
      <c r="J168" s="17"/>
      <c r="K168" s="17"/>
      <c r="L168" s="17"/>
      <c r="M168" s="17">
        <f t="shared" si="19"/>
        <v>77802</v>
      </c>
      <c r="N168" s="40">
        <f aca="true" t="shared" si="21" ref="N168:N178">M168/H168</f>
        <v>1.001274082081773</v>
      </c>
    </row>
    <row r="169" spans="1:14" ht="9.75">
      <c r="A169" s="46"/>
      <c r="B169" s="33"/>
      <c r="C169" s="19" t="s">
        <v>18</v>
      </c>
      <c r="D169" s="16">
        <f>6770+23</f>
        <v>6793</v>
      </c>
      <c r="E169" s="16"/>
      <c r="F169" s="16"/>
      <c r="G169" s="16"/>
      <c r="H169" s="17">
        <f t="shared" si="20"/>
        <v>6793</v>
      </c>
      <c r="I169" s="17">
        <v>13757</v>
      </c>
      <c r="J169" s="17"/>
      <c r="K169" s="17"/>
      <c r="L169" s="17"/>
      <c r="M169" s="17">
        <f aca="true" t="shared" si="22" ref="M169:M200">SUM(I169:L169)</f>
        <v>13757</v>
      </c>
      <c r="N169" s="40">
        <f t="shared" si="21"/>
        <v>2.0251729721772413</v>
      </c>
    </row>
    <row r="170" spans="1:14" ht="29.25" customHeight="1">
      <c r="A170" s="46"/>
      <c r="B170" s="33"/>
      <c r="C170" s="19" t="s">
        <v>152</v>
      </c>
      <c r="D170" s="16">
        <f>17888+4467</f>
        <v>22355</v>
      </c>
      <c r="E170" s="16"/>
      <c r="F170" s="16"/>
      <c r="G170" s="16"/>
      <c r="H170" s="17">
        <f t="shared" si="20"/>
        <v>22355</v>
      </c>
      <c r="I170" s="17">
        <v>22355</v>
      </c>
      <c r="J170" s="17"/>
      <c r="K170" s="17"/>
      <c r="L170" s="17"/>
      <c r="M170" s="17">
        <f t="shared" si="22"/>
        <v>22355</v>
      </c>
      <c r="N170" s="40">
        <f t="shared" si="21"/>
        <v>1</v>
      </c>
    </row>
    <row r="171" spans="1:14" ht="19.5">
      <c r="A171" s="46"/>
      <c r="B171" s="33"/>
      <c r="C171" s="19" t="s">
        <v>22</v>
      </c>
      <c r="D171" s="16">
        <v>281204</v>
      </c>
      <c r="E171" s="16"/>
      <c r="F171" s="16"/>
      <c r="G171" s="16"/>
      <c r="H171" s="17">
        <f t="shared" si="20"/>
        <v>281204</v>
      </c>
      <c r="I171" s="17">
        <v>281232</v>
      </c>
      <c r="J171" s="17"/>
      <c r="K171" s="17"/>
      <c r="L171" s="17"/>
      <c r="M171" s="17">
        <f t="shared" si="22"/>
        <v>281232</v>
      </c>
      <c r="N171" s="40">
        <f t="shared" si="21"/>
        <v>1.0000995718410834</v>
      </c>
    </row>
    <row r="172" spans="1:14" ht="48.75">
      <c r="A172" s="46"/>
      <c r="B172" s="41"/>
      <c r="C172" s="19" t="s">
        <v>30</v>
      </c>
      <c r="D172" s="16">
        <v>24746</v>
      </c>
      <c r="E172" s="16"/>
      <c r="F172" s="16"/>
      <c r="G172" s="16"/>
      <c r="H172" s="17">
        <f t="shared" si="20"/>
        <v>24746</v>
      </c>
      <c r="I172" s="17">
        <v>24746</v>
      </c>
      <c r="J172" s="17"/>
      <c r="K172" s="17"/>
      <c r="L172" s="17"/>
      <c r="M172" s="17">
        <f t="shared" si="22"/>
        <v>24746</v>
      </c>
      <c r="N172" s="40">
        <f t="shared" si="21"/>
        <v>1</v>
      </c>
    </row>
    <row r="173" spans="1:14" ht="9.75">
      <c r="A173" s="22"/>
      <c r="B173" s="63" t="s">
        <v>153</v>
      </c>
      <c r="C173" s="26"/>
      <c r="D173" s="27">
        <f>SUM(D163:D172)</f>
        <v>1620309</v>
      </c>
      <c r="E173" s="27">
        <f>SUM(E163:E172)</f>
        <v>0</v>
      </c>
      <c r="F173" s="27">
        <f>SUM(F163:F172)</f>
        <v>0</v>
      </c>
      <c r="G173" s="27">
        <f>SUM(G163:G172)</f>
        <v>0</v>
      </c>
      <c r="H173" s="27">
        <f t="shared" si="20"/>
        <v>1620309</v>
      </c>
      <c r="I173" s="27">
        <f>SUM(I163:I172)</f>
        <v>1900136</v>
      </c>
      <c r="J173" s="27">
        <f>SUM(J163:J172)</f>
        <v>0</v>
      </c>
      <c r="K173" s="27">
        <f>SUM(K163:K172)</f>
        <v>0</v>
      </c>
      <c r="L173" s="27">
        <f>SUM(L163:L172)</f>
        <v>0</v>
      </c>
      <c r="M173" s="27">
        <f t="shared" si="22"/>
        <v>1900136</v>
      </c>
      <c r="N173" s="28">
        <f t="shared" si="21"/>
        <v>1.1726997751663417</v>
      </c>
    </row>
    <row r="174" spans="1:14" ht="48.75">
      <c r="A174" s="22"/>
      <c r="B174" s="30" t="s">
        <v>154</v>
      </c>
      <c r="C174" s="19" t="s">
        <v>15</v>
      </c>
      <c r="D174" s="16"/>
      <c r="E174" s="16">
        <v>35000</v>
      </c>
      <c r="F174" s="16"/>
      <c r="G174" s="16"/>
      <c r="H174" s="17">
        <f t="shared" si="20"/>
        <v>35000</v>
      </c>
      <c r="I174" s="24"/>
      <c r="J174" s="17">
        <v>28668</v>
      </c>
      <c r="K174" s="24"/>
      <c r="L174" s="24"/>
      <c r="M174" s="17">
        <f t="shared" si="22"/>
        <v>28668</v>
      </c>
      <c r="N174" s="18">
        <f t="shared" si="21"/>
        <v>0.8190857142857143</v>
      </c>
    </row>
    <row r="175" spans="1:14" ht="9.75">
      <c r="A175" s="22"/>
      <c r="B175" s="33"/>
      <c r="C175" s="19" t="s">
        <v>17</v>
      </c>
      <c r="D175" s="16"/>
      <c r="E175" s="16">
        <v>23</v>
      </c>
      <c r="F175" s="16"/>
      <c r="G175" s="16"/>
      <c r="H175" s="17">
        <f t="shared" si="20"/>
        <v>23</v>
      </c>
      <c r="I175" s="24"/>
      <c r="J175" s="17">
        <v>2134</v>
      </c>
      <c r="K175" s="24"/>
      <c r="L175" s="24"/>
      <c r="M175" s="17">
        <f t="shared" si="22"/>
        <v>2134</v>
      </c>
      <c r="N175" s="18">
        <f t="shared" si="21"/>
        <v>92.78260869565217</v>
      </c>
    </row>
    <row r="176" spans="1:14" ht="19.5">
      <c r="A176" s="22"/>
      <c r="B176" s="41"/>
      <c r="C176" s="19" t="s">
        <v>22</v>
      </c>
      <c r="D176" s="16"/>
      <c r="E176" s="16">
        <v>7062</v>
      </c>
      <c r="F176" s="16"/>
      <c r="G176" s="16"/>
      <c r="H176" s="17">
        <f t="shared" si="20"/>
        <v>7062</v>
      </c>
      <c r="I176" s="24"/>
      <c r="J176" s="17">
        <v>7062</v>
      </c>
      <c r="K176" s="24"/>
      <c r="L176" s="24"/>
      <c r="M176" s="17">
        <f t="shared" si="22"/>
        <v>7062</v>
      </c>
      <c r="N176" s="18">
        <f t="shared" si="21"/>
        <v>1</v>
      </c>
    </row>
    <row r="177" spans="1:14" ht="9.75">
      <c r="A177" s="22"/>
      <c r="B177" s="63" t="s">
        <v>155</v>
      </c>
      <c r="C177" s="26"/>
      <c r="D177" s="27">
        <f>SUM(D174:D176)</f>
        <v>0</v>
      </c>
      <c r="E177" s="27">
        <f>SUM(E174:E176)</f>
        <v>42085</v>
      </c>
      <c r="F177" s="27">
        <f>SUM(F174:F176)</f>
        <v>0</v>
      </c>
      <c r="G177" s="27">
        <f>SUM(G174:G176)</f>
        <v>0</v>
      </c>
      <c r="H177" s="27">
        <f t="shared" si="20"/>
        <v>42085</v>
      </c>
      <c r="I177" s="27">
        <f>SUM(I174:I176)</f>
        <v>0</v>
      </c>
      <c r="J177" s="27">
        <f>SUM(J174:J176)</f>
        <v>37864</v>
      </c>
      <c r="K177" s="27">
        <f>SUM(K174:K176)</f>
        <v>0</v>
      </c>
      <c r="L177" s="27">
        <f>SUM(L174:L176)</f>
        <v>0</v>
      </c>
      <c r="M177" s="27">
        <f t="shared" si="22"/>
        <v>37864</v>
      </c>
      <c r="N177" s="28">
        <f t="shared" si="21"/>
        <v>0.8997029820601165</v>
      </c>
    </row>
    <row r="178" spans="1:14" ht="48.75">
      <c r="A178" s="22"/>
      <c r="B178" s="30" t="s">
        <v>156</v>
      </c>
      <c r="C178" s="19" t="s">
        <v>15</v>
      </c>
      <c r="D178" s="16">
        <f>2541+10191+16475</f>
        <v>29207</v>
      </c>
      <c r="E178" s="16"/>
      <c r="F178" s="16"/>
      <c r="G178" s="16"/>
      <c r="H178" s="17">
        <f t="shared" si="20"/>
        <v>29207</v>
      </c>
      <c r="I178" s="17">
        <v>76217</v>
      </c>
      <c r="J178" s="24"/>
      <c r="K178" s="24"/>
      <c r="L178" s="24"/>
      <c r="M178" s="17">
        <f t="shared" si="22"/>
        <v>76217</v>
      </c>
      <c r="N178" s="18">
        <f t="shared" si="21"/>
        <v>2.6095456568630806</v>
      </c>
    </row>
    <row r="179" spans="1:14" ht="9.75">
      <c r="A179" s="22"/>
      <c r="B179" s="33"/>
      <c r="C179" s="19" t="s">
        <v>17</v>
      </c>
      <c r="D179" s="16"/>
      <c r="E179" s="16"/>
      <c r="F179" s="16"/>
      <c r="G179" s="16"/>
      <c r="H179" s="17">
        <f t="shared" si="20"/>
        <v>0</v>
      </c>
      <c r="I179" s="17">
        <v>21335</v>
      </c>
      <c r="J179" s="24"/>
      <c r="K179" s="24"/>
      <c r="L179" s="24"/>
      <c r="M179" s="17">
        <f t="shared" si="22"/>
        <v>21335</v>
      </c>
      <c r="N179" s="18"/>
    </row>
    <row r="180" spans="1:14" ht="37.5" customHeight="1">
      <c r="A180" s="22"/>
      <c r="B180" s="33"/>
      <c r="C180" s="19" t="s">
        <v>19</v>
      </c>
      <c r="D180" s="16"/>
      <c r="E180" s="16"/>
      <c r="F180" s="16"/>
      <c r="G180" s="16"/>
      <c r="H180" s="17">
        <f t="shared" si="20"/>
        <v>0</v>
      </c>
      <c r="I180" s="17">
        <v>77445</v>
      </c>
      <c r="J180" s="24"/>
      <c r="K180" s="24"/>
      <c r="L180" s="24"/>
      <c r="M180" s="17">
        <f t="shared" si="22"/>
        <v>77445</v>
      </c>
      <c r="N180" s="18"/>
    </row>
    <row r="181" spans="1:14" ht="19.5">
      <c r="A181" s="22"/>
      <c r="B181" s="33"/>
      <c r="C181" s="19" t="s">
        <v>157</v>
      </c>
      <c r="D181" s="16"/>
      <c r="E181" s="16"/>
      <c r="F181" s="16"/>
      <c r="G181" s="16"/>
      <c r="H181" s="17">
        <f t="shared" si="20"/>
        <v>0</v>
      </c>
      <c r="I181" s="17">
        <v>111461</v>
      </c>
      <c r="J181" s="24"/>
      <c r="K181" s="24"/>
      <c r="L181" s="24"/>
      <c r="M181" s="17">
        <f t="shared" si="22"/>
        <v>111461</v>
      </c>
      <c r="N181" s="18"/>
    </row>
    <row r="182" spans="1:14" ht="48.75">
      <c r="A182" s="22"/>
      <c r="B182" s="41"/>
      <c r="C182" s="19" t="s">
        <v>30</v>
      </c>
      <c r="D182" s="16">
        <v>14033</v>
      </c>
      <c r="E182" s="16"/>
      <c r="F182" s="16"/>
      <c r="G182" s="16"/>
      <c r="H182" s="17">
        <f t="shared" si="20"/>
        <v>14033</v>
      </c>
      <c r="I182" s="17">
        <v>14033</v>
      </c>
      <c r="J182" s="24"/>
      <c r="K182" s="24"/>
      <c r="L182" s="24"/>
      <c r="M182" s="17">
        <f t="shared" si="22"/>
        <v>14033</v>
      </c>
      <c r="N182" s="18">
        <f>M182/H182</f>
        <v>1</v>
      </c>
    </row>
    <row r="183" spans="1:14" ht="9.75">
      <c r="A183" s="22"/>
      <c r="B183" s="63" t="s">
        <v>158</v>
      </c>
      <c r="C183" s="26"/>
      <c r="D183" s="27">
        <f>SUM(D178:D182)</f>
        <v>43240</v>
      </c>
      <c r="E183" s="27">
        <f>SUM(E178:E182)</f>
        <v>0</v>
      </c>
      <c r="F183" s="27">
        <f>SUM(F178:F182)</f>
        <v>0</v>
      </c>
      <c r="G183" s="27">
        <f>SUM(G178:G182)</f>
        <v>0</v>
      </c>
      <c r="H183" s="27">
        <f t="shared" si="20"/>
        <v>43240</v>
      </c>
      <c r="I183" s="27">
        <f>SUM(I178:I182)</f>
        <v>300491</v>
      </c>
      <c r="J183" s="27">
        <f>SUM(J178:J182)</f>
        <v>0</v>
      </c>
      <c r="K183" s="27">
        <f>SUM(K178:K182)</f>
        <v>0</v>
      </c>
      <c r="L183" s="27">
        <f>SUM(L178:L182)</f>
        <v>0</v>
      </c>
      <c r="M183" s="27">
        <f t="shared" si="22"/>
        <v>300491</v>
      </c>
      <c r="N183" s="28">
        <f>M183/H183</f>
        <v>6.949375578168363</v>
      </c>
    </row>
    <row r="184" spans="1:14" s="32" customFormat="1" ht="9.75">
      <c r="A184" s="29"/>
      <c r="B184" s="30" t="s">
        <v>159</v>
      </c>
      <c r="C184" s="19" t="s">
        <v>14</v>
      </c>
      <c r="D184" s="24"/>
      <c r="E184" s="24"/>
      <c r="F184" s="24"/>
      <c r="G184" s="24"/>
      <c r="H184" s="17">
        <f t="shared" si="20"/>
        <v>0</v>
      </c>
      <c r="I184" s="17">
        <v>259</v>
      </c>
      <c r="J184" s="24"/>
      <c r="K184" s="24"/>
      <c r="L184" s="24"/>
      <c r="M184" s="17">
        <f t="shared" si="22"/>
        <v>259</v>
      </c>
      <c r="N184" s="18"/>
    </row>
    <row r="185" spans="1:14" ht="48.75">
      <c r="A185" s="22"/>
      <c r="B185" s="33"/>
      <c r="C185" s="35" t="s">
        <v>15</v>
      </c>
      <c r="D185" s="16">
        <f>271286+6000</f>
        <v>277286</v>
      </c>
      <c r="E185" s="16"/>
      <c r="F185" s="16"/>
      <c r="G185" s="16"/>
      <c r="H185" s="17">
        <f t="shared" si="20"/>
        <v>277286</v>
      </c>
      <c r="I185" s="17">
        <v>267811</v>
      </c>
      <c r="J185" s="17"/>
      <c r="K185" s="17"/>
      <c r="L185" s="17"/>
      <c r="M185" s="17">
        <f t="shared" si="22"/>
        <v>267811</v>
      </c>
      <c r="N185" s="18">
        <f aca="true" t="shared" si="23" ref="N185:N193">M185/H185</f>
        <v>0.9658295045548639</v>
      </c>
    </row>
    <row r="186" spans="1:14" ht="9.75">
      <c r="A186" s="22"/>
      <c r="B186" s="33"/>
      <c r="C186" s="19" t="s">
        <v>151</v>
      </c>
      <c r="D186" s="16">
        <f>44865-38780-200</f>
        <v>5885</v>
      </c>
      <c r="E186" s="16"/>
      <c r="F186" s="16"/>
      <c r="G186" s="16"/>
      <c r="H186" s="17">
        <f t="shared" si="20"/>
        <v>5885</v>
      </c>
      <c r="I186" s="17">
        <v>7334</v>
      </c>
      <c r="J186" s="17"/>
      <c r="K186" s="17"/>
      <c r="L186" s="17"/>
      <c r="M186" s="17">
        <f t="shared" si="22"/>
        <v>7334</v>
      </c>
      <c r="N186" s="18">
        <f t="shared" si="23"/>
        <v>1.2462192013593882</v>
      </c>
    </row>
    <row r="187" spans="1:14" ht="9.75">
      <c r="A187" s="22"/>
      <c r="B187" s="33"/>
      <c r="C187" s="19" t="s">
        <v>17</v>
      </c>
      <c r="D187" s="16">
        <f>660-81</f>
        <v>579</v>
      </c>
      <c r="E187" s="16"/>
      <c r="F187" s="16"/>
      <c r="G187" s="16"/>
      <c r="H187" s="17">
        <f t="shared" si="20"/>
        <v>579</v>
      </c>
      <c r="I187" s="17">
        <v>19991</v>
      </c>
      <c r="J187" s="17"/>
      <c r="K187" s="17"/>
      <c r="L187" s="17"/>
      <c r="M187" s="17">
        <f t="shared" si="22"/>
        <v>19991</v>
      </c>
      <c r="N187" s="18">
        <f t="shared" si="23"/>
        <v>34.52677029360967</v>
      </c>
    </row>
    <row r="188" spans="1:14" ht="19.5">
      <c r="A188" s="22"/>
      <c r="B188" s="33"/>
      <c r="C188" s="19" t="s">
        <v>76</v>
      </c>
      <c r="D188" s="16">
        <f>21392+200</f>
        <v>21592</v>
      </c>
      <c r="E188" s="16"/>
      <c r="F188" s="16"/>
      <c r="G188" s="16"/>
      <c r="H188" s="17">
        <f t="shared" si="20"/>
        <v>21592</v>
      </c>
      <c r="I188" s="17">
        <v>20144</v>
      </c>
      <c r="J188" s="17"/>
      <c r="K188" s="17"/>
      <c r="L188" s="17"/>
      <c r="M188" s="17">
        <f t="shared" si="22"/>
        <v>20144</v>
      </c>
      <c r="N188" s="18">
        <f t="shared" si="23"/>
        <v>0.9329381252315673</v>
      </c>
    </row>
    <row r="189" spans="1:14" ht="9.75">
      <c r="A189" s="22"/>
      <c r="B189" s="33"/>
      <c r="C189" s="19" t="s">
        <v>18</v>
      </c>
      <c r="D189" s="16">
        <v>7200</v>
      </c>
      <c r="E189" s="16"/>
      <c r="F189" s="16"/>
      <c r="G189" s="16"/>
      <c r="H189" s="17">
        <f t="shared" si="20"/>
        <v>7200</v>
      </c>
      <c r="I189" s="17">
        <v>9894</v>
      </c>
      <c r="J189" s="17"/>
      <c r="K189" s="17"/>
      <c r="L189" s="17"/>
      <c r="M189" s="17">
        <f t="shared" si="22"/>
        <v>9894</v>
      </c>
      <c r="N189" s="18">
        <f t="shared" si="23"/>
        <v>1.3741666666666668</v>
      </c>
    </row>
    <row r="190" spans="1:14" ht="19.5">
      <c r="A190" s="22"/>
      <c r="B190" s="41"/>
      <c r="C190" s="19" t="s">
        <v>22</v>
      </c>
      <c r="D190" s="16">
        <v>58730</v>
      </c>
      <c r="E190" s="16"/>
      <c r="F190" s="16"/>
      <c r="G190" s="16"/>
      <c r="H190" s="17">
        <f t="shared" si="20"/>
        <v>58730</v>
      </c>
      <c r="I190" s="17">
        <v>58730</v>
      </c>
      <c r="J190" s="17"/>
      <c r="K190" s="17"/>
      <c r="L190" s="17"/>
      <c r="M190" s="17">
        <f t="shared" si="22"/>
        <v>58730</v>
      </c>
      <c r="N190" s="18">
        <f t="shared" si="23"/>
        <v>1</v>
      </c>
    </row>
    <row r="191" spans="1:14" ht="9.75">
      <c r="A191" s="22"/>
      <c r="B191" s="63" t="s">
        <v>160</v>
      </c>
      <c r="C191" s="26"/>
      <c r="D191" s="27">
        <f>SUM(D184:D190)</f>
        <v>371272</v>
      </c>
      <c r="E191" s="27">
        <f>SUM(E184:E190)</f>
        <v>0</v>
      </c>
      <c r="F191" s="27">
        <f>SUM(F184:F190)</f>
        <v>0</v>
      </c>
      <c r="G191" s="27">
        <f>SUM(G184:G190)</f>
        <v>0</v>
      </c>
      <c r="H191" s="27">
        <f t="shared" si="20"/>
        <v>371272</v>
      </c>
      <c r="I191" s="27">
        <f>SUM(I184:I190)</f>
        <v>384163</v>
      </c>
      <c r="J191" s="27">
        <f>SUM(J184:J190)</f>
        <v>0</v>
      </c>
      <c r="K191" s="27">
        <f>SUM(K184:K190)</f>
        <v>0</v>
      </c>
      <c r="L191" s="27">
        <f>SUM(L184:L190)</f>
        <v>0</v>
      </c>
      <c r="M191" s="27">
        <f t="shared" si="22"/>
        <v>384163</v>
      </c>
      <c r="N191" s="28">
        <f t="shared" si="23"/>
        <v>1.0347211747721348</v>
      </c>
    </row>
    <row r="192" spans="1:14" ht="48.75">
      <c r="A192" s="22"/>
      <c r="B192" s="30" t="s">
        <v>161</v>
      </c>
      <c r="C192" s="19" t="s">
        <v>15</v>
      </c>
      <c r="D192" s="16"/>
      <c r="E192" s="16">
        <f>178500+11900+2120</f>
        <v>192520</v>
      </c>
      <c r="F192" s="16"/>
      <c r="G192" s="16"/>
      <c r="H192" s="17">
        <f t="shared" si="20"/>
        <v>192520</v>
      </c>
      <c r="I192" s="17"/>
      <c r="J192" s="17">
        <v>226337</v>
      </c>
      <c r="K192" s="17"/>
      <c r="L192" s="17"/>
      <c r="M192" s="17">
        <f t="shared" si="22"/>
        <v>226337</v>
      </c>
      <c r="N192" s="18">
        <f t="shared" si="23"/>
        <v>1.1756544774568876</v>
      </c>
    </row>
    <row r="193" spans="1:14" ht="9.75">
      <c r="A193" s="22"/>
      <c r="B193" s="33"/>
      <c r="C193" s="19" t="s">
        <v>17</v>
      </c>
      <c r="D193" s="16"/>
      <c r="E193" s="16">
        <v>2236</v>
      </c>
      <c r="F193" s="16"/>
      <c r="G193" s="16"/>
      <c r="H193" s="17">
        <f t="shared" si="20"/>
        <v>2236</v>
      </c>
      <c r="I193" s="17"/>
      <c r="J193" s="17">
        <v>31398</v>
      </c>
      <c r="K193" s="17"/>
      <c r="L193" s="17"/>
      <c r="M193" s="17">
        <f t="shared" si="22"/>
        <v>31398</v>
      </c>
      <c r="N193" s="18">
        <f t="shared" si="23"/>
        <v>14.042039355992845</v>
      </c>
    </row>
    <row r="194" spans="1:14" ht="9.75">
      <c r="A194" s="22"/>
      <c r="B194" s="33"/>
      <c r="C194" s="19" t="s">
        <v>141</v>
      </c>
      <c r="D194" s="16"/>
      <c r="E194" s="16"/>
      <c r="F194" s="16"/>
      <c r="G194" s="16"/>
      <c r="H194" s="17">
        <f t="shared" si="20"/>
        <v>0</v>
      </c>
      <c r="I194" s="17"/>
      <c r="J194" s="17">
        <v>64</v>
      </c>
      <c r="K194" s="17"/>
      <c r="L194" s="17"/>
      <c r="M194" s="17">
        <f t="shared" si="22"/>
        <v>64</v>
      </c>
      <c r="N194" s="18"/>
    </row>
    <row r="195" spans="1:14" ht="19.5">
      <c r="A195" s="22"/>
      <c r="B195" s="33"/>
      <c r="C195" s="19" t="s">
        <v>76</v>
      </c>
      <c r="D195" s="16"/>
      <c r="E195" s="16">
        <v>112413</v>
      </c>
      <c r="F195" s="16"/>
      <c r="G195" s="16"/>
      <c r="H195" s="17">
        <f>SUM(D195:G195)</f>
        <v>112413</v>
      </c>
      <c r="I195" s="17"/>
      <c r="J195" s="17">
        <v>112234</v>
      </c>
      <c r="K195" s="17"/>
      <c r="L195" s="17"/>
      <c r="M195" s="17">
        <f t="shared" si="22"/>
        <v>112234</v>
      </c>
      <c r="N195" s="18">
        <f>M195/H195</f>
        <v>0.9984076574773381</v>
      </c>
    </row>
    <row r="196" spans="1:14" ht="9.75">
      <c r="A196" s="22"/>
      <c r="B196" s="33"/>
      <c r="C196" s="19" t="s">
        <v>18</v>
      </c>
      <c r="D196" s="16"/>
      <c r="E196" s="16">
        <v>4924</v>
      </c>
      <c r="F196" s="16"/>
      <c r="G196" s="16"/>
      <c r="H196" s="17">
        <f>SUM(D196:G196)</f>
        <v>4924</v>
      </c>
      <c r="I196" s="17"/>
      <c r="J196" s="17">
        <v>5820</v>
      </c>
      <c r="K196" s="17"/>
      <c r="L196" s="17"/>
      <c r="M196" s="17">
        <f t="shared" si="22"/>
        <v>5820</v>
      </c>
      <c r="N196" s="18">
        <f>M196/H196</f>
        <v>1.181965881397238</v>
      </c>
    </row>
    <row r="197" spans="1:14" ht="19.5">
      <c r="A197" s="22"/>
      <c r="B197" s="33"/>
      <c r="C197" s="19" t="s">
        <v>22</v>
      </c>
      <c r="D197" s="16"/>
      <c r="E197" s="16">
        <v>406206</v>
      </c>
      <c r="F197" s="16"/>
      <c r="G197" s="16"/>
      <c r="H197" s="17">
        <f>SUM(D197:G197)</f>
        <v>406206</v>
      </c>
      <c r="I197" s="17"/>
      <c r="J197" s="17">
        <v>406205</v>
      </c>
      <c r="K197" s="17"/>
      <c r="L197" s="17"/>
      <c r="M197" s="17">
        <f t="shared" si="22"/>
        <v>406205</v>
      </c>
      <c r="N197" s="18">
        <f>M197/H197</f>
        <v>0.999997538194906</v>
      </c>
    </row>
    <row r="198" spans="1:14" ht="29.25">
      <c r="A198" s="22"/>
      <c r="B198" s="33"/>
      <c r="C198" s="19" t="s">
        <v>162</v>
      </c>
      <c r="D198" s="16"/>
      <c r="E198" s="16"/>
      <c r="F198" s="16"/>
      <c r="G198" s="16"/>
      <c r="H198" s="17"/>
      <c r="I198" s="17"/>
      <c r="J198" s="17">
        <v>259288</v>
      </c>
      <c r="K198" s="17"/>
      <c r="L198" s="17"/>
      <c r="M198" s="17">
        <f t="shared" si="22"/>
        <v>259288</v>
      </c>
      <c r="N198" s="18"/>
    </row>
    <row r="199" spans="1:14" ht="48.75">
      <c r="A199" s="22"/>
      <c r="B199" s="41"/>
      <c r="C199" s="19" t="s">
        <v>30</v>
      </c>
      <c r="D199" s="16"/>
      <c r="E199" s="16">
        <v>49040</v>
      </c>
      <c r="F199" s="16"/>
      <c r="G199" s="16"/>
      <c r="H199" s="17">
        <f aca="true" t="shared" si="24" ref="H199:H230">SUM(D199:G199)</f>
        <v>49040</v>
      </c>
      <c r="I199" s="17"/>
      <c r="J199" s="17">
        <v>49039</v>
      </c>
      <c r="K199" s="17"/>
      <c r="L199" s="17"/>
      <c r="M199" s="17">
        <f t="shared" si="22"/>
        <v>49039</v>
      </c>
      <c r="N199" s="18">
        <f>M199/H199</f>
        <v>0.9999796084828712</v>
      </c>
    </row>
    <row r="200" spans="1:14" ht="9.75">
      <c r="A200" s="22"/>
      <c r="B200" s="63" t="s">
        <v>163</v>
      </c>
      <c r="C200" s="26"/>
      <c r="D200" s="27">
        <f>SUM(D192:D199)</f>
        <v>0</v>
      </c>
      <c r="E200" s="27">
        <f>SUM(E192:E199)</f>
        <v>767339</v>
      </c>
      <c r="F200" s="27">
        <f>SUM(F192:F199)</f>
        <v>0</v>
      </c>
      <c r="G200" s="27">
        <f>SUM(G192:G199)</f>
        <v>0</v>
      </c>
      <c r="H200" s="27">
        <f t="shared" si="24"/>
        <v>767339</v>
      </c>
      <c r="I200" s="27">
        <f>SUM(I192:I199)</f>
        <v>0</v>
      </c>
      <c r="J200" s="27">
        <f>SUM(J192:J199)</f>
        <v>1090385</v>
      </c>
      <c r="K200" s="27">
        <f>SUM(K192:K199)</f>
        <v>0</v>
      </c>
      <c r="L200" s="27">
        <f>SUM(L192:L199)</f>
        <v>0</v>
      </c>
      <c r="M200" s="27">
        <f t="shared" si="22"/>
        <v>1090385</v>
      </c>
      <c r="N200" s="28">
        <f>M200/H200</f>
        <v>1.4209951533807093</v>
      </c>
    </row>
    <row r="201" spans="1:14" ht="48.75">
      <c r="A201" s="22"/>
      <c r="B201" s="30" t="s">
        <v>164</v>
      </c>
      <c r="C201" s="35" t="s">
        <v>15</v>
      </c>
      <c r="D201" s="17"/>
      <c r="E201" s="16">
        <f>156001+870</f>
        <v>156871</v>
      </c>
      <c r="F201" s="16"/>
      <c r="G201" s="16"/>
      <c r="H201" s="17">
        <f t="shared" si="24"/>
        <v>156871</v>
      </c>
      <c r="I201" s="17"/>
      <c r="J201" s="17">
        <v>166849</v>
      </c>
      <c r="K201" s="17"/>
      <c r="L201" s="17"/>
      <c r="M201" s="17">
        <f aca="true" t="shared" si="25" ref="M201:M232">SUM(I201:L201)</f>
        <v>166849</v>
      </c>
      <c r="N201" s="18">
        <f>M201/H201</f>
        <v>1.0636064027130572</v>
      </c>
    </row>
    <row r="202" spans="1:14" ht="9.75">
      <c r="A202" s="22"/>
      <c r="B202" s="33"/>
      <c r="C202" s="19" t="s">
        <v>151</v>
      </c>
      <c r="D202" s="16"/>
      <c r="E202" s="16">
        <f>30658+12374</f>
        <v>43032</v>
      </c>
      <c r="F202" s="16"/>
      <c r="G202" s="16"/>
      <c r="H202" s="17">
        <f t="shared" si="24"/>
        <v>43032</v>
      </c>
      <c r="I202" s="17"/>
      <c r="J202" s="17">
        <v>44559</v>
      </c>
      <c r="K202" s="17"/>
      <c r="L202" s="17"/>
      <c r="M202" s="17">
        <f t="shared" si="25"/>
        <v>44559</v>
      </c>
      <c r="N202" s="18">
        <f>M202/H202</f>
        <v>1.0354852203011713</v>
      </c>
    </row>
    <row r="203" spans="1:14" ht="9.75">
      <c r="A203" s="22"/>
      <c r="B203" s="33"/>
      <c r="C203" s="19" t="s">
        <v>165</v>
      </c>
      <c r="D203" s="16"/>
      <c r="E203" s="16">
        <f>26000-10350</f>
        <v>15650</v>
      </c>
      <c r="F203" s="16"/>
      <c r="G203" s="16"/>
      <c r="H203" s="17">
        <f t="shared" si="24"/>
        <v>15650</v>
      </c>
      <c r="I203" s="17"/>
      <c r="J203" s="17">
        <v>16293</v>
      </c>
      <c r="K203" s="17"/>
      <c r="L203" s="17"/>
      <c r="M203" s="17">
        <f t="shared" si="25"/>
        <v>16293</v>
      </c>
      <c r="N203" s="18">
        <f>M203/H203</f>
        <v>1.0410862619808308</v>
      </c>
    </row>
    <row r="204" spans="1:14" ht="19.5">
      <c r="A204" s="22"/>
      <c r="B204" s="33"/>
      <c r="C204" s="19" t="s">
        <v>166</v>
      </c>
      <c r="D204" s="16"/>
      <c r="E204" s="16"/>
      <c r="F204" s="16"/>
      <c r="G204" s="16"/>
      <c r="H204" s="17">
        <f t="shared" si="24"/>
        <v>0</v>
      </c>
      <c r="I204" s="17"/>
      <c r="J204" s="17">
        <v>14198</v>
      </c>
      <c r="K204" s="17"/>
      <c r="L204" s="17"/>
      <c r="M204" s="17">
        <f t="shared" si="25"/>
        <v>14198</v>
      </c>
      <c r="N204" s="18"/>
    </row>
    <row r="205" spans="1:14" ht="9.75">
      <c r="A205" s="22"/>
      <c r="B205" s="33"/>
      <c r="C205" s="19" t="s">
        <v>17</v>
      </c>
      <c r="D205" s="16"/>
      <c r="E205" s="16">
        <v>519</v>
      </c>
      <c r="F205" s="16"/>
      <c r="G205" s="16"/>
      <c r="H205" s="17">
        <f t="shared" si="24"/>
        <v>519</v>
      </c>
      <c r="I205" s="17"/>
      <c r="J205" s="17">
        <v>33613</v>
      </c>
      <c r="K205" s="17"/>
      <c r="L205" s="17"/>
      <c r="M205" s="17">
        <f t="shared" si="25"/>
        <v>33613</v>
      </c>
      <c r="N205" s="18">
        <f>M205/H205</f>
        <v>64.76493256262043</v>
      </c>
    </row>
    <row r="206" spans="1:14" ht="9.75">
      <c r="A206" s="22"/>
      <c r="B206" s="33"/>
      <c r="C206" s="19" t="s">
        <v>141</v>
      </c>
      <c r="D206" s="16"/>
      <c r="E206" s="16"/>
      <c r="F206" s="16"/>
      <c r="G206" s="16"/>
      <c r="H206" s="17">
        <f t="shared" si="24"/>
        <v>0</v>
      </c>
      <c r="I206" s="17"/>
      <c r="J206" s="17">
        <v>37</v>
      </c>
      <c r="K206" s="17"/>
      <c r="L206" s="17"/>
      <c r="M206" s="17">
        <f t="shared" si="25"/>
        <v>37</v>
      </c>
      <c r="N206" s="18"/>
    </row>
    <row r="207" spans="1:14" ht="19.5">
      <c r="A207" s="22"/>
      <c r="B207" s="33"/>
      <c r="C207" s="19" t="s">
        <v>76</v>
      </c>
      <c r="D207" s="16"/>
      <c r="E207" s="16">
        <v>3284</v>
      </c>
      <c r="F207" s="16"/>
      <c r="G207" s="16"/>
      <c r="H207" s="17">
        <f t="shared" si="24"/>
        <v>3284</v>
      </c>
      <c r="I207" s="17"/>
      <c r="J207" s="17">
        <v>3284</v>
      </c>
      <c r="K207" s="17"/>
      <c r="L207" s="17"/>
      <c r="M207" s="17">
        <f t="shared" si="25"/>
        <v>3284</v>
      </c>
      <c r="N207" s="18">
        <f>M207/H207</f>
        <v>1</v>
      </c>
    </row>
    <row r="208" spans="1:14" ht="9.75">
      <c r="A208" s="22"/>
      <c r="B208" s="33"/>
      <c r="C208" s="19" t="s">
        <v>18</v>
      </c>
      <c r="D208" s="16"/>
      <c r="E208" s="16">
        <v>2</v>
      </c>
      <c r="F208" s="16"/>
      <c r="G208" s="16"/>
      <c r="H208" s="17">
        <f t="shared" si="24"/>
        <v>2</v>
      </c>
      <c r="I208" s="17"/>
      <c r="J208" s="17">
        <v>6381</v>
      </c>
      <c r="K208" s="17"/>
      <c r="L208" s="17"/>
      <c r="M208" s="17">
        <f t="shared" si="25"/>
        <v>6381</v>
      </c>
      <c r="N208" s="18"/>
    </row>
    <row r="209" spans="1:14" ht="19.5">
      <c r="A209" s="22"/>
      <c r="B209" s="33"/>
      <c r="C209" s="19" t="s">
        <v>22</v>
      </c>
      <c r="D209" s="16"/>
      <c r="E209" s="16">
        <v>118914</v>
      </c>
      <c r="F209" s="16"/>
      <c r="G209" s="16"/>
      <c r="H209" s="17">
        <f t="shared" si="24"/>
        <v>118914</v>
      </c>
      <c r="I209" s="17"/>
      <c r="J209" s="17">
        <v>118913</v>
      </c>
      <c r="K209" s="17"/>
      <c r="L209" s="17"/>
      <c r="M209" s="17">
        <f t="shared" si="25"/>
        <v>118913</v>
      </c>
      <c r="N209" s="18">
        <f>M209/H209</f>
        <v>0.999991590561246</v>
      </c>
    </row>
    <row r="210" spans="1:14" ht="48.75">
      <c r="A210" s="22"/>
      <c r="B210" s="41"/>
      <c r="C210" s="19" t="s">
        <v>30</v>
      </c>
      <c r="D210" s="16"/>
      <c r="E210" s="16">
        <f>80526+11720</f>
        <v>92246</v>
      </c>
      <c r="F210" s="16"/>
      <c r="G210" s="16"/>
      <c r="H210" s="17">
        <f t="shared" si="24"/>
        <v>92246</v>
      </c>
      <c r="I210" s="17"/>
      <c r="J210" s="17">
        <v>88411</v>
      </c>
      <c r="K210" s="17"/>
      <c r="L210" s="17"/>
      <c r="M210" s="17">
        <f t="shared" si="25"/>
        <v>88411</v>
      </c>
      <c r="N210" s="18">
        <f>M210/H210</f>
        <v>0.9584263816317239</v>
      </c>
    </row>
    <row r="211" spans="1:14" ht="9.75">
      <c r="A211" s="22"/>
      <c r="B211" s="63" t="s">
        <v>167</v>
      </c>
      <c r="C211" s="26"/>
      <c r="D211" s="27">
        <f>SUM(D201:D210)</f>
        <v>0</v>
      </c>
      <c r="E211" s="27">
        <f>SUM(E201:E210)</f>
        <v>430518</v>
      </c>
      <c r="F211" s="27">
        <f>SUM(F201:F210)</f>
        <v>0</v>
      </c>
      <c r="G211" s="27">
        <f>SUM(G201:G210)</f>
        <v>0</v>
      </c>
      <c r="H211" s="27">
        <f t="shared" si="24"/>
        <v>430518</v>
      </c>
      <c r="I211" s="27">
        <f>SUM(I201:I210)</f>
        <v>0</v>
      </c>
      <c r="J211" s="27">
        <f>SUM(J201:J210)</f>
        <v>492538</v>
      </c>
      <c r="K211" s="27">
        <f>SUM(K201:K210)</f>
        <v>0</v>
      </c>
      <c r="L211" s="27">
        <f>SUM(L201:L210)</f>
        <v>0</v>
      </c>
      <c r="M211" s="27">
        <f t="shared" si="25"/>
        <v>492538</v>
      </c>
      <c r="N211" s="28">
        <f>M211/H211</f>
        <v>1.1440590172768619</v>
      </c>
    </row>
    <row r="212" spans="1:14" ht="48.75">
      <c r="A212" s="22"/>
      <c r="B212" s="30" t="s">
        <v>168</v>
      </c>
      <c r="C212" s="35" t="s">
        <v>15</v>
      </c>
      <c r="D212" s="16"/>
      <c r="E212" s="16">
        <f>28000+30000</f>
        <v>58000</v>
      </c>
      <c r="F212" s="16"/>
      <c r="G212" s="16"/>
      <c r="H212" s="17">
        <f t="shared" si="24"/>
        <v>58000</v>
      </c>
      <c r="I212" s="21"/>
      <c r="J212" s="17">
        <v>46812</v>
      </c>
      <c r="K212" s="21"/>
      <c r="L212" s="21"/>
      <c r="M212" s="17">
        <f t="shared" si="25"/>
        <v>46812</v>
      </c>
      <c r="N212" s="18">
        <f>M212/H212</f>
        <v>0.8071034482758621</v>
      </c>
    </row>
    <row r="213" spans="1:14" ht="9.75">
      <c r="A213" s="22"/>
      <c r="B213" s="33"/>
      <c r="C213" s="19" t="s">
        <v>17</v>
      </c>
      <c r="D213" s="16"/>
      <c r="E213" s="16"/>
      <c r="F213" s="16"/>
      <c r="G213" s="16"/>
      <c r="H213" s="17">
        <f t="shared" si="24"/>
        <v>0</v>
      </c>
      <c r="I213" s="17"/>
      <c r="J213" s="17">
        <v>2083</v>
      </c>
      <c r="K213" s="17"/>
      <c r="L213" s="17"/>
      <c r="M213" s="17">
        <f t="shared" si="25"/>
        <v>2083</v>
      </c>
      <c r="N213" s="18"/>
    </row>
    <row r="214" spans="1:14" ht="9.75">
      <c r="A214" s="22"/>
      <c r="B214" s="41"/>
      <c r="C214" s="19" t="s">
        <v>18</v>
      </c>
      <c r="D214" s="16"/>
      <c r="E214" s="16"/>
      <c r="F214" s="16"/>
      <c r="G214" s="16"/>
      <c r="H214" s="17">
        <f t="shared" si="24"/>
        <v>0</v>
      </c>
      <c r="I214" s="17"/>
      <c r="J214" s="17">
        <v>3447</v>
      </c>
      <c r="K214" s="17"/>
      <c r="L214" s="17"/>
      <c r="M214" s="17">
        <f t="shared" si="25"/>
        <v>3447</v>
      </c>
      <c r="N214" s="18"/>
    </row>
    <row r="215" spans="1:14" ht="9.75">
      <c r="A215" s="22"/>
      <c r="B215" s="63" t="s">
        <v>169</v>
      </c>
      <c r="C215" s="26"/>
      <c r="D215" s="27">
        <f>SUM(D212:D214)</f>
        <v>0</v>
      </c>
      <c r="E215" s="27">
        <f>SUM(E212:E214)</f>
        <v>58000</v>
      </c>
      <c r="F215" s="27">
        <f>SUM(F212:F214)</f>
        <v>0</v>
      </c>
      <c r="G215" s="27">
        <f>SUM(G212:G214)</f>
        <v>0</v>
      </c>
      <c r="H215" s="27">
        <f t="shared" si="24"/>
        <v>58000</v>
      </c>
      <c r="I215" s="27">
        <f>SUM(I212:I214)</f>
        <v>0</v>
      </c>
      <c r="J215" s="27">
        <f>SUM(J212:J214)</f>
        <v>52342</v>
      </c>
      <c r="K215" s="27">
        <f>SUM(K212:K214)</f>
        <v>0</v>
      </c>
      <c r="L215" s="27">
        <f>SUM(L212:L214)</f>
        <v>0</v>
      </c>
      <c r="M215" s="27">
        <f t="shared" si="25"/>
        <v>52342</v>
      </c>
      <c r="N215" s="28">
        <f>M215/H215</f>
        <v>0.902448275862069</v>
      </c>
    </row>
    <row r="216" spans="1:14" s="32" customFormat="1" ht="9.75">
      <c r="A216" s="29"/>
      <c r="B216" s="60" t="s">
        <v>170</v>
      </c>
      <c r="C216" s="19" t="s">
        <v>151</v>
      </c>
      <c r="D216" s="24"/>
      <c r="E216" s="24"/>
      <c r="F216" s="24"/>
      <c r="G216" s="24"/>
      <c r="H216" s="17">
        <f t="shared" si="24"/>
        <v>0</v>
      </c>
      <c r="I216" s="24"/>
      <c r="J216" s="17">
        <v>450</v>
      </c>
      <c r="K216" s="24"/>
      <c r="L216" s="24"/>
      <c r="M216" s="17">
        <f t="shared" si="25"/>
        <v>450</v>
      </c>
      <c r="N216" s="18"/>
    </row>
    <row r="217" spans="1:14" ht="39">
      <c r="A217" s="22"/>
      <c r="B217" s="60"/>
      <c r="C217" s="35" t="s">
        <v>77</v>
      </c>
      <c r="D217" s="16"/>
      <c r="E217" s="16">
        <v>500000</v>
      </c>
      <c r="F217" s="16"/>
      <c r="G217" s="16"/>
      <c r="H217" s="17">
        <f t="shared" si="24"/>
        <v>500000</v>
      </c>
      <c r="I217" s="17"/>
      <c r="J217" s="17">
        <v>91687</v>
      </c>
      <c r="K217" s="17"/>
      <c r="L217" s="17"/>
      <c r="M217" s="17">
        <f t="shared" si="25"/>
        <v>91687</v>
      </c>
      <c r="N217" s="18">
        <f>M217/H217</f>
        <v>0.183374</v>
      </c>
    </row>
    <row r="218" spans="1:14" ht="9.75">
      <c r="A218" s="22"/>
      <c r="B218" s="63" t="s">
        <v>171</v>
      </c>
      <c r="C218" s="26"/>
      <c r="D218" s="27">
        <f>SUM(D216:D217)</f>
        <v>0</v>
      </c>
      <c r="E218" s="27">
        <f>SUM(E216:E217)</f>
        <v>500000</v>
      </c>
      <c r="F218" s="27">
        <f>SUM(F216:F217)</f>
        <v>0</v>
      </c>
      <c r="G218" s="27">
        <f>SUM(G216:G217)</f>
        <v>0</v>
      </c>
      <c r="H218" s="27">
        <f t="shared" si="24"/>
        <v>500000</v>
      </c>
      <c r="I218" s="27">
        <f>SUM(I216:I217)</f>
        <v>0</v>
      </c>
      <c r="J218" s="27">
        <f>SUM(J216:J217)</f>
        <v>92137</v>
      </c>
      <c r="K218" s="27">
        <f>SUM(K216:K217)</f>
        <v>0</v>
      </c>
      <c r="L218" s="27">
        <f>SUM(L216:L217)</f>
        <v>0</v>
      </c>
      <c r="M218" s="27">
        <f t="shared" si="25"/>
        <v>92137</v>
      </c>
      <c r="N218" s="28">
        <f>M218/H218</f>
        <v>0.184274</v>
      </c>
    </row>
    <row r="219" spans="1:14" ht="9.75">
      <c r="A219" s="22"/>
      <c r="B219" s="30" t="s">
        <v>172</v>
      </c>
      <c r="C219" s="19" t="s">
        <v>151</v>
      </c>
      <c r="D219" s="16"/>
      <c r="E219" s="16">
        <f>16250-3375</f>
        <v>12875</v>
      </c>
      <c r="F219" s="16"/>
      <c r="G219" s="16"/>
      <c r="H219" s="17">
        <f t="shared" si="24"/>
        <v>12875</v>
      </c>
      <c r="I219" s="17"/>
      <c r="J219" s="17">
        <v>42725</v>
      </c>
      <c r="K219" s="17"/>
      <c r="L219" s="17"/>
      <c r="M219" s="17">
        <f t="shared" si="25"/>
        <v>42725</v>
      </c>
      <c r="N219" s="18">
        <f>M219/H219</f>
        <v>3.318446601941748</v>
      </c>
    </row>
    <row r="220" spans="1:14" ht="9.75">
      <c r="A220" s="22"/>
      <c r="B220" s="33"/>
      <c r="C220" s="19" t="s">
        <v>17</v>
      </c>
      <c r="D220" s="16"/>
      <c r="E220" s="16">
        <v>213</v>
      </c>
      <c r="F220" s="16"/>
      <c r="G220" s="16"/>
      <c r="H220" s="17">
        <f t="shared" si="24"/>
        <v>213</v>
      </c>
      <c r="I220" s="17"/>
      <c r="J220" s="17">
        <v>1815</v>
      </c>
      <c r="K220" s="17"/>
      <c r="L220" s="17"/>
      <c r="M220" s="17">
        <f t="shared" si="25"/>
        <v>1815</v>
      </c>
      <c r="N220" s="18">
        <f>M220/H220</f>
        <v>8.52112676056338</v>
      </c>
    </row>
    <row r="221" spans="1:14" ht="9.75">
      <c r="A221" s="22"/>
      <c r="B221" s="33"/>
      <c r="C221" s="19" t="s">
        <v>18</v>
      </c>
      <c r="D221" s="16"/>
      <c r="E221" s="16"/>
      <c r="F221" s="16"/>
      <c r="G221" s="16"/>
      <c r="H221" s="17">
        <f t="shared" si="24"/>
        <v>0</v>
      </c>
      <c r="I221" s="17"/>
      <c r="J221" s="17">
        <v>304</v>
      </c>
      <c r="K221" s="17"/>
      <c r="L221" s="17"/>
      <c r="M221" s="17">
        <f t="shared" si="25"/>
        <v>304</v>
      </c>
      <c r="N221" s="18"/>
    </row>
    <row r="222" spans="1:14" ht="19.5">
      <c r="A222" s="22"/>
      <c r="B222" s="33"/>
      <c r="C222" s="19" t="s">
        <v>22</v>
      </c>
      <c r="D222" s="16"/>
      <c r="E222" s="16">
        <v>38671</v>
      </c>
      <c r="F222" s="16"/>
      <c r="G222" s="16"/>
      <c r="H222" s="17">
        <f t="shared" si="24"/>
        <v>38671</v>
      </c>
      <c r="I222" s="17"/>
      <c r="J222" s="17">
        <v>38671</v>
      </c>
      <c r="K222" s="17"/>
      <c r="L222" s="17"/>
      <c r="M222" s="17">
        <f t="shared" si="25"/>
        <v>38671</v>
      </c>
      <c r="N222" s="18">
        <f>M222/H222</f>
        <v>1</v>
      </c>
    </row>
    <row r="223" spans="1:14" ht="29.25">
      <c r="A223" s="22"/>
      <c r="B223" s="41"/>
      <c r="C223" s="19" t="s">
        <v>162</v>
      </c>
      <c r="D223" s="16"/>
      <c r="E223" s="16"/>
      <c r="F223" s="16"/>
      <c r="G223" s="16"/>
      <c r="H223" s="17">
        <f t="shared" si="24"/>
        <v>0</v>
      </c>
      <c r="I223" s="17"/>
      <c r="J223" s="17">
        <v>3102</v>
      </c>
      <c r="K223" s="17"/>
      <c r="L223" s="17"/>
      <c r="M223" s="17">
        <f t="shared" si="25"/>
        <v>3102</v>
      </c>
      <c r="N223" s="18"/>
    </row>
    <row r="224" spans="1:14" ht="9.75">
      <c r="A224" s="22"/>
      <c r="B224" s="63" t="s">
        <v>172</v>
      </c>
      <c r="C224" s="26"/>
      <c r="D224" s="27">
        <f>SUM(D219:D223)</f>
        <v>0</v>
      </c>
      <c r="E224" s="27">
        <f>SUM(E219:E223)</f>
        <v>51759</v>
      </c>
      <c r="F224" s="27">
        <f>SUM(F219:F223)</f>
        <v>0</v>
      </c>
      <c r="G224" s="27">
        <f>SUM(G219:G223)</f>
        <v>0</v>
      </c>
      <c r="H224" s="27">
        <f t="shared" si="24"/>
        <v>51759</v>
      </c>
      <c r="I224" s="27">
        <f>SUM(I219:I223)</f>
        <v>0</v>
      </c>
      <c r="J224" s="27">
        <f>SUM(J219:J223)</f>
        <v>86617</v>
      </c>
      <c r="K224" s="27">
        <f>SUM(K219:K223)</f>
        <v>0</v>
      </c>
      <c r="L224" s="27">
        <f>SUM(L219:L223)</f>
        <v>0</v>
      </c>
      <c r="M224" s="27">
        <f t="shared" si="25"/>
        <v>86617</v>
      </c>
      <c r="N224" s="28">
        <f>M224/H224</f>
        <v>1.6734674162947507</v>
      </c>
    </row>
    <row r="225" spans="1:14" ht="29.25">
      <c r="A225" s="22"/>
      <c r="B225" s="51" t="s">
        <v>173</v>
      </c>
      <c r="C225" s="19" t="s">
        <v>18</v>
      </c>
      <c r="D225" s="16"/>
      <c r="E225" s="16"/>
      <c r="F225" s="16"/>
      <c r="G225" s="16"/>
      <c r="H225" s="17">
        <f t="shared" si="24"/>
        <v>0</v>
      </c>
      <c r="I225" s="17">
        <v>80</v>
      </c>
      <c r="J225" s="17"/>
      <c r="K225" s="17"/>
      <c r="L225" s="17"/>
      <c r="M225" s="17">
        <f t="shared" si="25"/>
        <v>80</v>
      </c>
      <c r="N225" s="18"/>
    </row>
    <row r="226" spans="1:14" ht="9.75">
      <c r="A226" s="22"/>
      <c r="B226" s="63" t="s">
        <v>174</v>
      </c>
      <c r="C226" s="26"/>
      <c r="D226" s="27">
        <f>SUM(D225)</f>
        <v>0</v>
      </c>
      <c r="E226" s="27">
        <f>SUM(E225)</f>
        <v>0</v>
      </c>
      <c r="F226" s="27">
        <f>SUM(F225)</f>
        <v>0</v>
      </c>
      <c r="G226" s="27">
        <f>SUM(G225)</f>
        <v>0</v>
      </c>
      <c r="H226" s="27">
        <f t="shared" si="24"/>
        <v>0</v>
      </c>
      <c r="I226" s="27">
        <f>SUM(I225)</f>
        <v>80</v>
      </c>
      <c r="J226" s="27">
        <f>SUM(J225)</f>
        <v>0</v>
      </c>
      <c r="K226" s="27">
        <f>SUM(K225)</f>
        <v>0</v>
      </c>
      <c r="L226" s="27">
        <f>SUM(L225)</f>
        <v>0</v>
      </c>
      <c r="M226" s="27">
        <f t="shared" si="25"/>
        <v>80</v>
      </c>
      <c r="N226" s="28"/>
    </row>
    <row r="227" spans="1:14" s="32" customFormat="1" ht="30.75" customHeight="1">
      <c r="A227" s="29"/>
      <c r="B227" s="30" t="s">
        <v>175</v>
      </c>
      <c r="C227" s="19" t="s">
        <v>152</v>
      </c>
      <c r="D227" s="24">
        <f>300+56400+8300+28350</f>
        <v>93350</v>
      </c>
      <c r="E227" s="24"/>
      <c r="F227" s="24"/>
      <c r="G227" s="24"/>
      <c r="H227" s="17">
        <f t="shared" si="24"/>
        <v>93350</v>
      </c>
      <c r="I227" s="17">
        <v>12040</v>
      </c>
      <c r="J227" s="24"/>
      <c r="K227" s="24"/>
      <c r="L227" s="24"/>
      <c r="M227" s="17">
        <f t="shared" si="25"/>
        <v>12040</v>
      </c>
      <c r="N227" s="18">
        <f>M227/H227</f>
        <v>0.12897696839850026</v>
      </c>
    </row>
    <row r="228" spans="1:14" s="32" customFormat="1" ht="39" customHeight="1">
      <c r="A228" s="29"/>
      <c r="B228" s="33"/>
      <c r="C228" s="19" t="s">
        <v>19</v>
      </c>
      <c r="D228" s="24"/>
      <c r="E228" s="24"/>
      <c r="F228" s="24"/>
      <c r="G228" s="24"/>
      <c r="H228" s="17">
        <f t="shared" si="24"/>
        <v>0</v>
      </c>
      <c r="I228" s="17">
        <v>1503</v>
      </c>
      <c r="J228" s="24"/>
      <c r="K228" s="24"/>
      <c r="L228" s="24"/>
      <c r="M228" s="17">
        <f t="shared" si="25"/>
        <v>1503</v>
      </c>
      <c r="N228" s="18"/>
    </row>
    <row r="229" spans="1:14" s="32" customFormat="1" ht="39">
      <c r="A229" s="29"/>
      <c r="B229" s="41"/>
      <c r="C229" s="19" t="s">
        <v>66</v>
      </c>
      <c r="D229" s="24"/>
      <c r="E229" s="24"/>
      <c r="F229" s="24"/>
      <c r="G229" s="24"/>
      <c r="H229" s="17">
        <f t="shared" si="24"/>
        <v>0</v>
      </c>
      <c r="I229" s="17">
        <v>908</v>
      </c>
      <c r="J229" s="24"/>
      <c r="K229" s="24"/>
      <c r="L229" s="24"/>
      <c r="M229" s="17">
        <f t="shared" si="25"/>
        <v>908</v>
      </c>
      <c r="N229" s="18"/>
    </row>
    <row r="230" spans="1:14" ht="9.75">
      <c r="A230" s="22"/>
      <c r="B230" s="63" t="s">
        <v>176</v>
      </c>
      <c r="C230" s="26"/>
      <c r="D230" s="27">
        <f>SUM(D227:D229)</f>
        <v>93350</v>
      </c>
      <c r="E230" s="27">
        <f>SUM(E227:E229)</f>
        <v>0</v>
      </c>
      <c r="F230" s="27">
        <f>SUM(F227:F229)</f>
        <v>0</v>
      </c>
      <c r="G230" s="27">
        <f>SUM(G227:G229)</f>
        <v>0</v>
      </c>
      <c r="H230" s="27">
        <f t="shared" si="24"/>
        <v>93350</v>
      </c>
      <c r="I230" s="27">
        <f>SUM(I227:I229)</f>
        <v>14451</v>
      </c>
      <c r="J230" s="27">
        <f>SUM(J227:J229)</f>
        <v>0</v>
      </c>
      <c r="K230" s="27">
        <f>SUM(K227:K229)</f>
        <v>0</v>
      </c>
      <c r="L230" s="27">
        <f>SUM(L227:L229)</f>
        <v>0</v>
      </c>
      <c r="M230" s="27">
        <f t="shared" si="25"/>
        <v>14451</v>
      </c>
      <c r="N230" s="28">
        <f aca="true" t="shared" si="26" ref="N230:N235">M230/H230</f>
        <v>0.15480449919657205</v>
      </c>
    </row>
    <row r="231" spans="1:14" ht="11.25">
      <c r="A231" s="42" t="s">
        <v>177</v>
      </c>
      <c r="B231" s="80"/>
      <c r="C231" s="43"/>
      <c r="D231" s="44">
        <f aca="true" t="shared" si="27" ref="D231:M231">SUM(D230,D226,D224,D218,D215,D211,D200,D191,D183,D177,D173)</f>
        <v>2128171</v>
      </c>
      <c r="E231" s="44">
        <f t="shared" si="27"/>
        <v>1849701</v>
      </c>
      <c r="F231" s="44">
        <f t="shared" si="27"/>
        <v>0</v>
      </c>
      <c r="G231" s="44">
        <f t="shared" si="27"/>
        <v>0</v>
      </c>
      <c r="H231" s="44">
        <f t="shared" si="27"/>
        <v>3977872</v>
      </c>
      <c r="I231" s="44">
        <f t="shared" si="27"/>
        <v>2599321</v>
      </c>
      <c r="J231" s="44">
        <f t="shared" si="27"/>
        <v>1851883</v>
      </c>
      <c r="K231" s="44">
        <f t="shared" si="27"/>
        <v>0</v>
      </c>
      <c r="L231" s="44">
        <f t="shared" si="27"/>
        <v>0</v>
      </c>
      <c r="M231" s="44">
        <f t="shared" si="27"/>
        <v>4451204</v>
      </c>
      <c r="N231" s="45">
        <f t="shared" si="26"/>
        <v>1.1189912596483749</v>
      </c>
    </row>
    <row r="232" spans="1:14" ht="19.5">
      <c r="A232" s="56" t="s">
        <v>178</v>
      </c>
      <c r="B232" s="23" t="s">
        <v>179</v>
      </c>
      <c r="C232" s="19" t="s">
        <v>166</v>
      </c>
      <c r="D232" s="16">
        <v>230000</v>
      </c>
      <c r="E232" s="16"/>
      <c r="F232" s="16"/>
      <c r="G232" s="16"/>
      <c r="H232" s="17">
        <f aca="true" t="shared" si="28" ref="H232:H263">SUM(D232:G232)</f>
        <v>230000</v>
      </c>
      <c r="I232" s="17">
        <v>480344</v>
      </c>
      <c r="J232" s="24"/>
      <c r="K232" s="24"/>
      <c r="L232" s="24"/>
      <c r="M232" s="17">
        <f aca="true" t="shared" si="29" ref="M232:M276">SUM(I232:L232)</f>
        <v>480344</v>
      </c>
      <c r="N232" s="18">
        <f t="shared" si="26"/>
        <v>2.0884521739130433</v>
      </c>
    </row>
    <row r="233" spans="1:14" ht="9.75">
      <c r="A233" s="68"/>
      <c r="B233" s="63" t="s">
        <v>180</v>
      </c>
      <c r="C233" s="26"/>
      <c r="D233" s="27">
        <f>SUM(D232)</f>
        <v>230000</v>
      </c>
      <c r="E233" s="27">
        <f>SUM(E232)</f>
        <v>0</v>
      </c>
      <c r="F233" s="27">
        <f>SUM(F232)</f>
        <v>0</v>
      </c>
      <c r="G233" s="27">
        <f>SUM(G232)</f>
        <v>0</v>
      </c>
      <c r="H233" s="83">
        <f t="shared" si="28"/>
        <v>230000</v>
      </c>
      <c r="I233" s="27">
        <f>SUM(I232:I232)</f>
        <v>480344</v>
      </c>
      <c r="J233" s="27">
        <f>SUM(J232:J232)</f>
        <v>0</v>
      </c>
      <c r="K233" s="27">
        <f>SUM(K232:K232)</f>
        <v>0</v>
      </c>
      <c r="L233" s="27">
        <f>SUM(L232:L232)</f>
        <v>0</v>
      </c>
      <c r="M233" s="27">
        <f t="shared" si="29"/>
        <v>480344</v>
      </c>
      <c r="N233" s="28">
        <f t="shared" si="26"/>
        <v>2.0884521739130433</v>
      </c>
    </row>
    <row r="234" spans="1:14" s="32" customFormat="1" ht="39">
      <c r="A234" s="70"/>
      <c r="B234" s="84" t="s">
        <v>181</v>
      </c>
      <c r="C234" s="53" t="s">
        <v>44</v>
      </c>
      <c r="D234" s="17"/>
      <c r="E234" s="17"/>
      <c r="F234" s="17"/>
      <c r="G234" s="17">
        <v>44000</v>
      </c>
      <c r="H234" s="17">
        <f t="shared" si="28"/>
        <v>44000</v>
      </c>
      <c r="I234" s="17"/>
      <c r="J234" s="24"/>
      <c r="K234" s="24"/>
      <c r="L234" s="24">
        <v>43960</v>
      </c>
      <c r="M234" s="17">
        <f t="shared" si="29"/>
        <v>43960</v>
      </c>
      <c r="N234" s="40">
        <f t="shared" si="26"/>
        <v>0.9990909090909091</v>
      </c>
    </row>
    <row r="235" spans="1:14" s="32" customFormat="1" ht="9.75">
      <c r="A235" s="29"/>
      <c r="B235" s="63" t="s">
        <v>182</v>
      </c>
      <c r="C235" s="26"/>
      <c r="D235" s="27">
        <f>SUM(D234)</f>
        <v>0</v>
      </c>
      <c r="E235" s="27">
        <f>SUM(E234)</f>
        <v>0</v>
      </c>
      <c r="F235" s="27">
        <f>SUM(F234)</f>
        <v>0</v>
      </c>
      <c r="G235" s="27">
        <f>SUM(G234)</f>
        <v>44000</v>
      </c>
      <c r="H235" s="83">
        <f t="shared" si="28"/>
        <v>44000</v>
      </c>
      <c r="I235" s="27">
        <f>SUM(I234:I234)</f>
        <v>0</v>
      </c>
      <c r="J235" s="27">
        <f>SUM(J234:J234)</f>
        <v>0</v>
      </c>
      <c r="K235" s="27">
        <f>SUM(K234:K234)</f>
        <v>0</v>
      </c>
      <c r="L235" s="27">
        <f>SUM(L234:L234)</f>
        <v>43960</v>
      </c>
      <c r="M235" s="27">
        <f t="shared" si="29"/>
        <v>43960</v>
      </c>
      <c r="N235" s="28">
        <f t="shared" si="26"/>
        <v>0.9990909090909091</v>
      </c>
    </row>
    <row r="236" spans="1:14" ht="39">
      <c r="A236" s="22"/>
      <c r="B236" s="51" t="s">
        <v>183</v>
      </c>
      <c r="C236" s="19" t="s">
        <v>66</v>
      </c>
      <c r="D236" s="16"/>
      <c r="E236" s="16"/>
      <c r="F236" s="16"/>
      <c r="G236" s="16"/>
      <c r="H236" s="17">
        <f t="shared" si="28"/>
        <v>0</v>
      </c>
      <c r="I236" s="17">
        <v>325</v>
      </c>
      <c r="J236" s="17"/>
      <c r="K236" s="17"/>
      <c r="L236" s="17"/>
      <c r="M236" s="17">
        <f t="shared" si="29"/>
        <v>325</v>
      </c>
      <c r="N236" s="40"/>
    </row>
    <row r="237" spans="1:14" ht="9.75">
      <c r="A237" s="22"/>
      <c r="B237" s="63" t="s">
        <v>184</v>
      </c>
      <c r="C237" s="26"/>
      <c r="D237" s="27">
        <f>SUM(D236)</f>
        <v>0</v>
      </c>
      <c r="E237" s="27">
        <f>SUM(E236)</f>
        <v>0</v>
      </c>
      <c r="F237" s="27">
        <f>SUM(F236)</f>
        <v>0</v>
      </c>
      <c r="G237" s="27">
        <f>SUM(G236)</f>
        <v>0</v>
      </c>
      <c r="H237" s="27">
        <f t="shared" si="28"/>
        <v>0</v>
      </c>
      <c r="I237" s="27">
        <f>SUM(I236)</f>
        <v>325</v>
      </c>
      <c r="J237" s="27">
        <f>SUM(J236)</f>
        <v>0</v>
      </c>
      <c r="K237" s="27">
        <f>SUM(K236)</f>
        <v>0</v>
      </c>
      <c r="L237" s="27">
        <f>SUM(L236)</f>
        <v>0</v>
      </c>
      <c r="M237" s="27">
        <f t="shared" si="29"/>
        <v>325</v>
      </c>
      <c r="N237" s="28"/>
    </row>
    <row r="238" spans="1:14" s="32" customFormat="1" ht="9.75">
      <c r="A238" s="29"/>
      <c r="B238" s="76" t="s">
        <v>185</v>
      </c>
      <c r="C238" s="19" t="s">
        <v>17</v>
      </c>
      <c r="D238" s="24"/>
      <c r="E238" s="24"/>
      <c r="F238" s="24"/>
      <c r="G238" s="24"/>
      <c r="H238" s="17">
        <f t="shared" si="28"/>
        <v>0</v>
      </c>
      <c r="I238" s="17">
        <v>248</v>
      </c>
      <c r="J238" s="24"/>
      <c r="K238" s="24"/>
      <c r="L238" s="24"/>
      <c r="M238" s="17">
        <f t="shared" si="29"/>
        <v>248</v>
      </c>
      <c r="N238" s="40"/>
    </row>
    <row r="239" spans="1:14" ht="39">
      <c r="A239" s="22"/>
      <c r="B239" s="77"/>
      <c r="C239" s="19" t="s">
        <v>66</v>
      </c>
      <c r="D239" s="16"/>
      <c r="E239" s="16"/>
      <c r="F239" s="16"/>
      <c r="G239" s="16"/>
      <c r="H239" s="17">
        <f t="shared" si="28"/>
        <v>0</v>
      </c>
      <c r="I239" s="17">
        <v>27382</v>
      </c>
      <c r="J239" s="17"/>
      <c r="K239" s="17"/>
      <c r="L239" s="17"/>
      <c r="M239" s="17">
        <f t="shared" si="29"/>
        <v>27382</v>
      </c>
      <c r="N239" s="40"/>
    </row>
    <row r="240" spans="1:14" ht="9.75">
      <c r="A240" s="22"/>
      <c r="B240" s="63" t="s">
        <v>186</v>
      </c>
      <c r="C240" s="26"/>
      <c r="D240" s="27">
        <f>SUM(D238:D239)</f>
        <v>0</v>
      </c>
      <c r="E240" s="27">
        <f>SUM(E238:E239)</f>
        <v>0</v>
      </c>
      <c r="F240" s="27">
        <f>SUM(F238:F239)</f>
        <v>0</v>
      </c>
      <c r="G240" s="27">
        <f>SUM(G238:G239)</f>
        <v>0</v>
      </c>
      <c r="H240" s="27">
        <f t="shared" si="28"/>
        <v>0</v>
      </c>
      <c r="I240" s="27">
        <f>SUM(I238:I239)</f>
        <v>27630</v>
      </c>
      <c r="J240" s="27">
        <f>SUM(J238:J239)</f>
        <v>0</v>
      </c>
      <c r="K240" s="27">
        <f>SUM(K238:K239)</f>
        <v>0</v>
      </c>
      <c r="L240" s="27">
        <f>SUM(L238:L239)</f>
        <v>0</v>
      </c>
      <c r="M240" s="27">
        <f t="shared" si="29"/>
        <v>27630</v>
      </c>
      <c r="N240" s="28"/>
    </row>
    <row r="241" spans="1:14" ht="78">
      <c r="A241" s="22"/>
      <c r="B241" s="51" t="s">
        <v>187</v>
      </c>
      <c r="C241" s="35" t="s">
        <v>44</v>
      </c>
      <c r="D241" s="16"/>
      <c r="E241" s="16"/>
      <c r="F241" s="16"/>
      <c r="G241" s="16">
        <f>1576000+76240+51000</f>
        <v>1703240</v>
      </c>
      <c r="H241" s="17">
        <f t="shared" si="28"/>
        <v>1703240</v>
      </c>
      <c r="I241" s="17"/>
      <c r="J241" s="17"/>
      <c r="K241" s="17"/>
      <c r="L241" s="17">
        <v>1678327</v>
      </c>
      <c r="M241" s="17">
        <f t="shared" si="29"/>
        <v>1678327</v>
      </c>
      <c r="N241" s="18">
        <f>M241/H241</f>
        <v>0.9853731711326648</v>
      </c>
    </row>
    <row r="242" spans="1:14" ht="9.75">
      <c r="A242" s="22"/>
      <c r="B242" s="63" t="s">
        <v>188</v>
      </c>
      <c r="C242" s="26"/>
      <c r="D242" s="27">
        <f>SUM(D241)</f>
        <v>0</v>
      </c>
      <c r="E242" s="27">
        <f>SUM(E241)</f>
        <v>0</v>
      </c>
      <c r="F242" s="27">
        <f>SUM(F241)</f>
        <v>0</v>
      </c>
      <c r="G242" s="27">
        <f>SUM(G241)</f>
        <v>1703240</v>
      </c>
      <c r="H242" s="27">
        <f t="shared" si="28"/>
        <v>1703240</v>
      </c>
      <c r="I242" s="27">
        <f>SUM(I241)</f>
        <v>0</v>
      </c>
      <c r="J242" s="27">
        <f>SUM(J241)</f>
        <v>0</v>
      </c>
      <c r="K242" s="27">
        <f>SUM(K241)</f>
        <v>0</v>
      </c>
      <c r="L242" s="27">
        <f>SUM(L241)</f>
        <v>1678327</v>
      </c>
      <c r="M242" s="27">
        <f t="shared" si="29"/>
        <v>1678327</v>
      </c>
      <c r="N242" s="28">
        <f>M242/H242</f>
        <v>0.9853731711326648</v>
      </c>
    </row>
    <row r="243" spans="1:14" ht="9.75">
      <c r="A243" s="22"/>
      <c r="B243" s="30" t="s">
        <v>189</v>
      </c>
      <c r="C243" s="85" t="s">
        <v>14</v>
      </c>
      <c r="D243" s="16"/>
      <c r="E243" s="16"/>
      <c r="F243" s="16"/>
      <c r="G243" s="16"/>
      <c r="H243" s="17">
        <f t="shared" si="28"/>
        <v>0</v>
      </c>
      <c r="I243" s="17">
        <v>2223</v>
      </c>
      <c r="J243" s="17"/>
      <c r="K243" s="17"/>
      <c r="L243" s="17"/>
      <c r="M243" s="17">
        <f t="shared" si="29"/>
        <v>2223</v>
      </c>
      <c r="N243" s="18"/>
    </row>
    <row r="244" spans="1:14" ht="9.75">
      <c r="A244" s="22"/>
      <c r="B244" s="41"/>
      <c r="C244" s="19" t="s">
        <v>151</v>
      </c>
      <c r="D244" s="16"/>
      <c r="E244" s="16"/>
      <c r="F244" s="16"/>
      <c r="G244" s="16"/>
      <c r="H244" s="17">
        <f t="shared" si="28"/>
        <v>0</v>
      </c>
      <c r="I244" s="17">
        <v>59625</v>
      </c>
      <c r="J244" s="17"/>
      <c r="K244" s="17"/>
      <c r="L244" s="17"/>
      <c r="M244" s="17">
        <f t="shared" si="29"/>
        <v>59625</v>
      </c>
      <c r="N244" s="18"/>
    </row>
    <row r="245" spans="1:14" ht="9.75">
      <c r="A245" s="22"/>
      <c r="B245" s="63" t="s">
        <v>190</v>
      </c>
      <c r="C245" s="26"/>
      <c r="D245" s="27">
        <f>SUM(D243:D244)</f>
        <v>0</v>
      </c>
      <c r="E245" s="27">
        <f>SUM(E243:E244)</f>
        <v>0</v>
      </c>
      <c r="F245" s="27">
        <f>SUM(F243:F244)</f>
        <v>0</v>
      </c>
      <c r="G245" s="27">
        <f>SUM(G243:G244)</f>
        <v>0</v>
      </c>
      <c r="H245" s="27">
        <f t="shared" si="28"/>
        <v>0</v>
      </c>
      <c r="I245" s="27">
        <f>SUM(I243:I244)</f>
        <v>61848</v>
      </c>
      <c r="J245" s="27">
        <f>SUM(J243:J244)</f>
        <v>0</v>
      </c>
      <c r="K245" s="27">
        <f>SUM(K243:K244)</f>
        <v>0</v>
      </c>
      <c r="L245" s="27">
        <f>SUM(L243:L244)</f>
        <v>0</v>
      </c>
      <c r="M245" s="27">
        <f t="shared" si="29"/>
        <v>61848</v>
      </c>
      <c r="N245" s="28"/>
    </row>
    <row r="246" spans="1:14" s="32" customFormat="1" ht="9.75">
      <c r="A246" s="29"/>
      <c r="B246" s="30" t="s">
        <v>191</v>
      </c>
      <c r="C246" s="19" t="s">
        <v>17</v>
      </c>
      <c r="D246" s="24"/>
      <c r="E246" s="24"/>
      <c r="F246" s="24"/>
      <c r="G246" s="24"/>
      <c r="H246" s="17">
        <f t="shared" si="28"/>
        <v>0</v>
      </c>
      <c r="I246" s="17">
        <v>495</v>
      </c>
      <c r="J246" s="24"/>
      <c r="K246" s="24"/>
      <c r="L246" s="24"/>
      <c r="M246" s="17">
        <f t="shared" si="29"/>
        <v>495</v>
      </c>
      <c r="N246" s="18"/>
    </row>
    <row r="247" spans="1:14" ht="39">
      <c r="A247" s="22"/>
      <c r="B247" s="41"/>
      <c r="C247" s="19" t="s">
        <v>66</v>
      </c>
      <c r="D247" s="16"/>
      <c r="E247" s="16"/>
      <c r="F247" s="16"/>
      <c r="G247" s="16"/>
      <c r="H247" s="17">
        <f t="shared" si="28"/>
        <v>0</v>
      </c>
      <c r="I247" s="17">
        <v>1225</v>
      </c>
      <c r="J247" s="17"/>
      <c r="K247" s="17"/>
      <c r="L247" s="17"/>
      <c r="M247" s="17">
        <f t="shared" si="29"/>
        <v>1225</v>
      </c>
      <c r="N247" s="18"/>
    </row>
    <row r="248" spans="1:14" ht="9.75">
      <c r="A248" s="22"/>
      <c r="B248" s="63" t="s">
        <v>191</v>
      </c>
      <c r="C248" s="26"/>
      <c r="D248" s="27">
        <f>SUM(D247)</f>
        <v>0</v>
      </c>
      <c r="E248" s="27">
        <f>SUM(E247)</f>
        <v>0</v>
      </c>
      <c r="F248" s="27">
        <f>SUM(F247)</f>
        <v>0</v>
      </c>
      <c r="G248" s="27">
        <f>SUM(G247)</f>
        <v>0</v>
      </c>
      <c r="H248" s="27">
        <f t="shared" si="28"/>
        <v>0</v>
      </c>
      <c r="I248" s="27">
        <f>SUM(I246:I247)</f>
        <v>1720</v>
      </c>
      <c r="J248" s="27">
        <f>SUM(J246:J247)</f>
        <v>0</v>
      </c>
      <c r="K248" s="27">
        <f>SUM(K246:K247)</f>
        <v>0</v>
      </c>
      <c r="L248" s="27">
        <f>SUM(L246:L247)</f>
        <v>0</v>
      </c>
      <c r="M248" s="27">
        <f t="shared" si="29"/>
        <v>1720</v>
      </c>
      <c r="N248" s="28"/>
    </row>
    <row r="249" spans="1:14" ht="11.25">
      <c r="A249" s="65" t="s">
        <v>192</v>
      </c>
      <c r="B249" s="65"/>
      <c r="C249" s="43"/>
      <c r="D249" s="44">
        <f>SUM(D248,D245,D242,D240,D237,D235,D233)</f>
        <v>230000</v>
      </c>
      <c r="E249" s="44">
        <f>SUM(E248,E245,E242,E240,E237,E235,E233)</f>
        <v>0</v>
      </c>
      <c r="F249" s="44">
        <f>SUM(F248,F245,F242,F240,F237,F235,F233)</f>
        <v>0</v>
      </c>
      <c r="G249" s="44">
        <f>SUM(G248,G245,G242,G240,G237,G235,G233)</f>
        <v>1747240</v>
      </c>
      <c r="H249" s="44">
        <f t="shared" si="28"/>
        <v>1977240</v>
      </c>
      <c r="I249" s="44">
        <f>SUM(I248,I245,I242,I240,I237,I235,I233)</f>
        <v>571867</v>
      </c>
      <c r="J249" s="44">
        <f>SUM(J248,J245,J242,J240,J237,J235,J233)</f>
        <v>0</v>
      </c>
      <c r="K249" s="44">
        <f>SUM(K248,K245,K242,K240,K237,K235,K233)</f>
        <v>0</v>
      </c>
      <c r="L249" s="44">
        <f>SUM(L248,L245,L242,L240,L237,L235,L233)</f>
        <v>1722287</v>
      </c>
      <c r="M249" s="44">
        <f t="shared" si="29"/>
        <v>2294154</v>
      </c>
      <c r="N249" s="45">
        <f>M249/H249</f>
        <v>1.1602809977544455</v>
      </c>
    </row>
    <row r="250" spans="1:14" s="32" customFormat="1" ht="39">
      <c r="A250" s="56" t="s">
        <v>193</v>
      </c>
      <c r="B250" s="30" t="s">
        <v>194</v>
      </c>
      <c r="C250" s="19" t="s">
        <v>195</v>
      </c>
      <c r="D250" s="57"/>
      <c r="E250" s="57"/>
      <c r="F250" s="57"/>
      <c r="G250" s="57"/>
      <c r="H250" s="17">
        <f t="shared" si="28"/>
        <v>0</v>
      </c>
      <c r="I250" s="57"/>
      <c r="J250" s="17">
        <v>476</v>
      </c>
      <c r="K250" s="57"/>
      <c r="L250" s="57"/>
      <c r="M250" s="17">
        <f t="shared" si="29"/>
        <v>476</v>
      </c>
      <c r="N250" s="18"/>
    </row>
    <row r="251" spans="1:14" s="32" customFormat="1" ht="48.75">
      <c r="A251" s="68"/>
      <c r="B251" s="33"/>
      <c r="C251" s="19" t="s">
        <v>15</v>
      </c>
      <c r="D251" s="57"/>
      <c r="E251" s="57"/>
      <c r="F251" s="57"/>
      <c r="G251" s="57"/>
      <c r="H251" s="17">
        <f t="shared" si="28"/>
        <v>0</v>
      </c>
      <c r="I251" s="57"/>
      <c r="J251" s="17">
        <v>3593</v>
      </c>
      <c r="K251" s="57"/>
      <c r="L251" s="57"/>
      <c r="M251" s="17">
        <f t="shared" si="29"/>
        <v>3593</v>
      </c>
      <c r="N251" s="18"/>
    </row>
    <row r="252" spans="1:14" s="32" customFormat="1" ht="11.25">
      <c r="A252" s="68"/>
      <c r="B252" s="33"/>
      <c r="C252" s="19" t="s">
        <v>151</v>
      </c>
      <c r="D252" s="57"/>
      <c r="E252" s="57"/>
      <c r="F252" s="57"/>
      <c r="G252" s="57"/>
      <c r="H252" s="17">
        <f t="shared" si="28"/>
        <v>0</v>
      </c>
      <c r="I252" s="57"/>
      <c r="J252" s="17">
        <v>3807</v>
      </c>
      <c r="K252" s="57"/>
      <c r="L252" s="57"/>
      <c r="M252" s="17">
        <f t="shared" si="29"/>
        <v>3807</v>
      </c>
      <c r="N252" s="18"/>
    </row>
    <row r="253" spans="1:14" s="32" customFormat="1" ht="19.5">
      <c r="A253" s="68"/>
      <c r="B253" s="33"/>
      <c r="C253" s="19" t="s">
        <v>166</v>
      </c>
      <c r="D253" s="57"/>
      <c r="E253" s="57"/>
      <c r="F253" s="57"/>
      <c r="G253" s="57"/>
      <c r="H253" s="17">
        <f t="shared" si="28"/>
        <v>0</v>
      </c>
      <c r="I253" s="57"/>
      <c r="J253" s="17">
        <v>20</v>
      </c>
      <c r="K253" s="57"/>
      <c r="L253" s="57"/>
      <c r="M253" s="17">
        <f t="shared" si="29"/>
        <v>20</v>
      </c>
      <c r="N253" s="18"/>
    </row>
    <row r="254" spans="1:14" s="32" customFormat="1" ht="11.25">
      <c r="A254" s="68"/>
      <c r="B254" s="33"/>
      <c r="C254" s="19" t="s">
        <v>17</v>
      </c>
      <c r="D254" s="57"/>
      <c r="E254" s="57"/>
      <c r="F254" s="57"/>
      <c r="G254" s="57"/>
      <c r="H254" s="17">
        <f t="shared" si="28"/>
        <v>0</v>
      </c>
      <c r="I254" s="57"/>
      <c r="J254" s="17">
        <v>3112</v>
      </c>
      <c r="K254" s="57"/>
      <c r="L254" s="57"/>
      <c r="M254" s="17">
        <f t="shared" si="29"/>
        <v>3112</v>
      </c>
      <c r="N254" s="18"/>
    </row>
    <row r="255" spans="1:14" ht="39">
      <c r="A255" s="68"/>
      <c r="B255" s="86"/>
      <c r="C255" s="19" t="s">
        <v>77</v>
      </c>
      <c r="D255" s="16"/>
      <c r="E255" s="16">
        <f>100000+103660</f>
        <v>203660</v>
      </c>
      <c r="F255" s="16"/>
      <c r="G255" s="16"/>
      <c r="H255" s="17">
        <f t="shared" si="28"/>
        <v>203660</v>
      </c>
      <c r="I255" s="17"/>
      <c r="J255" s="17">
        <v>65657</v>
      </c>
      <c r="K255" s="17"/>
      <c r="L255" s="17"/>
      <c r="M255" s="17">
        <f t="shared" si="29"/>
        <v>65657</v>
      </c>
      <c r="N255" s="18">
        <f>M255/H255</f>
        <v>0.32238534812923497</v>
      </c>
    </row>
    <row r="256" spans="1:14" ht="9.75">
      <c r="A256" s="87"/>
      <c r="B256" s="63" t="s">
        <v>196</v>
      </c>
      <c r="C256" s="26"/>
      <c r="D256" s="27">
        <f>SUM(D250:D255)</f>
        <v>0</v>
      </c>
      <c r="E256" s="27">
        <f>SUM(E250:E255)</f>
        <v>203660</v>
      </c>
      <c r="F256" s="27">
        <f>SUM(F250:F255)</f>
        <v>0</v>
      </c>
      <c r="G256" s="27">
        <f>SUM(G250:G255)</f>
        <v>0</v>
      </c>
      <c r="H256" s="27">
        <f t="shared" si="28"/>
        <v>203660</v>
      </c>
      <c r="I256" s="27">
        <f>SUM(I250:I255)</f>
        <v>0</v>
      </c>
      <c r="J256" s="27">
        <f>SUM(J250:J255)</f>
        <v>76665</v>
      </c>
      <c r="K256" s="27">
        <f>SUM(K250:K255)</f>
        <v>0</v>
      </c>
      <c r="L256" s="27">
        <f>SUM(L250:L255)</f>
        <v>0</v>
      </c>
      <c r="M256" s="27">
        <f t="shared" si="29"/>
        <v>76665</v>
      </c>
      <c r="N256" s="28">
        <f>M256/H256</f>
        <v>0.37643621722478643</v>
      </c>
    </row>
    <row r="257" spans="1:14" s="32" customFormat="1" ht="9.75">
      <c r="A257" s="29"/>
      <c r="B257" s="30" t="s">
        <v>197</v>
      </c>
      <c r="C257" s="85" t="s">
        <v>14</v>
      </c>
      <c r="D257" s="24"/>
      <c r="E257" s="24"/>
      <c r="F257" s="24"/>
      <c r="G257" s="24"/>
      <c r="H257" s="17">
        <f t="shared" si="28"/>
        <v>0</v>
      </c>
      <c r="I257" s="17">
        <v>4456</v>
      </c>
      <c r="J257" s="24"/>
      <c r="K257" s="24"/>
      <c r="L257" s="24"/>
      <c r="M257" s="17">
        <f t="shared" si="29"/>
        <v>4456</v>
      </c>
      <c r="N257" s="18"/>
    </row>
    <row r="258" spans="1:14" ht="9.75">
      <c r="A258" s="22"/>
      <c r="B258" s="33"/>
      <c r="C258" s="15" t="s">
        <v>16</v>
      </c>
      <c r="D258" s="16"/>
      <c r="E258" s="16">
        <v>420000</v>
      </c>
      <c r="F258" s="16"/>
      <c r="G258" s="16"/>
      <c r="H258" s="17">
        <f t="shared" si="28"/>
        <v>420000</v>
      </c>
      <c r="J258" s="17">
        <v>408037</v>
      </c>
      <c r="K258" s="17"/>
      <c r="L258" s="17"/>
      <c r="M258" s="17">
        <f t="shared" si="29"/>
        <v>408037</v>
      </c>
      <c r="N258" s="18">
        <f>M258/H258</f>
        <v>0.9715166666666667</v>
      </c>
    </row>
    <row r="259" spans="1:14" ht="9.75">
      <c r="A259" s="22"/>
      <c r="B259" s="33"/>
      <c r="C259" s="19" t="s">
        <v>17</v>
      </c>
      <c r="D259" s="16"/>
      <c r="E259" s="16"/>
      <c r="F259" s="16"/>
      <c r="G259" s="16"/>
      <c r="H259" s="17">
        <f t="shared" si="28"/>
        <v>0</v>
      </c>
      <c r="I259" s="17"/>
      <c r="J259" s="17">
        <v>1586</v>
      </c>
      <c r="K259" s="17"/>
      <c r="L259" s="17"/>
      <c r="M259" s="17">
        <f t="shared" si="29"/>
        <v>1586</v>
      </c>
      <c r="N259" s="18"/>
    </row>
    <row r="260" spans="1:14" ht="9.75">
      <c r="A260" s="22"/>
      <c r="B260" s="33"/>
      <c r="C260" s="19" t="s">
        <v>18</v>
      </c>
      <c r="D260" s="16"/>
      <c r="E260" s="16"/>
      <c r="F260" s="16"/>
      <c r="G260" s="16"/>
      <c r="H260" s="17">
        <f t="shared" si="28"/>
        <v>0</v>
      </c>
      <c r="I260" s="17"/>
      <c r="J260" s="17">
        <v>2910</v>
      </c>
      <c r="K260" s="17"/>
      <c r="L260" s="17"/>
      <c r="M260" s="17">
        <f t="shared" si="29"/>
        <v>2910</v>
      </c>
      <c r="N260" s="18"/>
    </row>
    <row r="261" spans="1:14" ht="29.25">
      <c r="A261" s="22"/>
      <c r="B261" s="41"/>
      <c r="C261" s="23" t="s">
        <v>198</v>
      </c>
      <c r="D261" s="16"/>
      <c r="E261" s="16">
        <f>1397760-99840</f>
        <v>1297920</v>
      </c>
      <c r="F261" s="16"/>
      <c r="G261" s="16"/>
      <c r="H261" s="17">
        <f t="shared" si="28"/>
        <v>1297920</v>
      </c>
      <c r="I261" s="17"/>
      <c r="J261" s="17">
        <v>1295044</v>
      </c>
      <c r="K261" s="17"/>
      <c r="L261" s="17"/>
      <c r="M261" s="17">
        <f t="shared" si="29"/>
        <v>1295044</v>
      </c>
      <c r="N261" s="18">
        <f aca="true" t="shared" si="30" ref="N261:N267">M261/H261</f>
        <v>0.9977841469428008</v>
      </c>
    </row>
    <row r="262" spans="1:14" ht="9.75">
      <c r="A262" s="22"/>
      <c r="B262" s="63" t="s">
        <v>199</v>
      </c>
      <c r="C262" s="26"/>
      <c r="D262" s="27">
        <f>SUM(D257:D261)</f>
        <v>0</v>
      </c>
      <c r="E262" s="27">
        <f>SUM(E257:E261)</f>
        <v>1717920</v>
      </c>
      <c r="F262" s="27">
        <f>SUM(F257:F261)</f>
        <v>0</v>
      </c>
      <c r="G262" s="27">
        <f>SUM(G257:G261)</f>
        <v>0</v>
      </c>
      <c r="H262" s="27">
        <f t="shared" si="28"/>
        <v>1717920</v>
      </c>
      <c r="I262" s="27">
        <f>SUM(I257:I261)</f>
        <v>4456</v>
      </c>
      <c r="J262" s="27">
        <f>SUM(J257:J261)</f>
        <v>1707577</v>
      </c>
      <c r="K262" s="27">
        <f>SUM(K257:K261)</f>
        <v>0</v>
      </c>
      <c r="L262" s="27">
        <f>SUM(L257:L261)</f>
        <v>0</v>
      </c>
      <c r="M262" s="27">
        <f t="shared" si="29"/>
        <v>1712033</v>
      </c>
      <c r="N262" s="28">
        <f t="shared" si="30"/>
        <v>0.9965731815218404</v>
      </c>
    </row>
    <row r="263" spans="1:14" ht="9.75">
      <c r="A263" s="22"/>
      <c r="B263" s="30" t="s">
        <v>200</v>
      </c>
      <c r="C263" s="15" t="s">
        <v>16</v>
      </c>
      <c r="D263" s="16">
        <v>355000</v>
      </c>
      <c r="E263" s="16"/>
      <c r="F263" s="16"/>
      <c r="G263" s="16"/>
      <c r="H263" s="17">
        <f t="shared" si="28"/>
        <v>355000</v>
      </c>
      <c r="I263" s="17">
        <v>315136</v>
      </c>
      <c r="J263" s="17"/>
      <c r="K263" s="17"/>
      <c r="L263" s="17"/>
      <c r="M263" s="17">
        <f t="shared" si="29"/>
        <v>315136</v>
      </c>
      <c r="N263" s="18">
        <f t="shared" si="30"/>
        <v>0.8877070422535212</v>
      </c>
    </row>
    <row r="264" spans="1:14" ht="48.75">
      <c r="A264" s="22"/>
      <c r="B264" s="33"/>
      <c r="C264" s="19" t="s">
        <v>71</v>
      </c>
      <c r="D264" s="16"/>
      <c r="E264" s="16"/>
      <c r="F264" s="16">
        <f>556360-89080-31680+20200</f>
        <v>455800</v>
      </c>
      <c r="G264" s="16"/>
      <c r="H264" s="17">
        <f aca="true" t="shared" si="31" ref="H264:H295">SUM(D264:G264)</f>
        <v>455800</v>
      </c>
      <c r="I264" s="17"/>
      <c r="J264" s="17"/>
      <c r="K264" s="17">
        <v>455027</v>
      </c>
      <c r="L264" s="17"/>
      <c r="M264" s="17">
        <f t="shared" si="29"/>
        <v>455027</v>
      </c>
      <c r="N264" s="18">
        <f t="shared" si="30"/>
        <v>0.9983040807371655</v>
      </c>
    </row>
    <row r="265" spans="1:14" ht="30" customHeight="1">
      <c r="A265" s="22"/>
      <c r="B265" s="33"/>
      <c r="C265" s="23" t="s">
        <v>45</v>
      </c>
      <c r="D265" s="16">
        <v>350</v>
      </c>
      <c r="E265" s="16"/>
      <c r="F265" s="16"/>
      <c r="G265" s="16"/>
      <c r="H265" s="17">
        <f t="shared" si="31"/>
        <v>350</v>
      </c>
      <c r="I265" s="17">
        <v>345</v>
      </c>
      <c r="J265" s="17"/>
      <c r="K265" s="17"/>
      <c r="L265" s="17"/>
      <c r="M265" s="17">
        <f t="shared" si="29"/>
        <v>345</v>
      </c>
      <c r="N265" s="18">
        <f t="shared" si="30"/>
        <v>0.9857142857142858</v>
      </c>
    </row>
    <row r="266" spans="1:14" ht="39">
      <c r="A266" s="22"/>
      <c r="B266" s="15"/>
      <c r="C266" s="23" t="s">
        <v>35</v>
      </c>
      <c r="D266" s="16">
        <v>405300</v>
      </c>
      <c r="E266" s="16"/>
      <c r="F266" s="16"/>
      <c r="G266" s="16"/>
      <c r="H266" s="17">
        <f t="shared" si="31"/>
        <v>405300</v>
      </c>
      <c r="I266" s="17">
        <v>341000</v>
      </c>
      <c r="J266" s="17"/>
      <c r="K266" s="17"/>
      <c r="L266" s="17"/>
      <c r="M266" s="17">
        <f t="shared" si="29"/>
        <v>341000</v>
      </c>
      <c r="N266" s="18">
        <f t="shared" si="30"/>
        <v>0.8413520848754009</v>
      </c>
    </row>
    <row r="267" spans="1:14" ht="9.75">
      <c r="A267" s="22"/>
      <c r="B267" s="63" t="s">
        <v>201</v>
      </c>
      <c r="C267" s="26"/>
      <c r="D267" s="27">
        <f>SUM(D263:D266)</f>
        <v>760650</v>
      </c>
      <c r="E267" s="27">
        <f>SUM(E263:E266)</f>
        <v>0</v>
      </c>
      <c r="F267" s="27">
        <f>SUM(F263:F266)</f>
        <v>455800</v>
      </c>
      <c r="G267" s="27">
        <f>SUM(G263:G266)</f>
        <v>0</v>
      </c>
      <c r="H267" s="27">
        <f t="shared" si="31"/>
        <v>1216450</v>
      </c>
      <c r="I267" s="27">
        <f>SUM(I263:I266)</f>
        <v>656481</v>
      </c>
      <c r="J267" s="27">
        <f>SUM(J263:J266)</f>
        <v>0</v>
      </c>
      <c r="K267" s="27">
        <f>SUM(K263:K266)</f>
        <v>455027</v>
      </c>
      <c r="L267" s="27">
        <f>SUM(L263:L266)</f>
        <v>0</v>
      </c>
      <c r="M267" s="27">
        <f t="shared" si="29"/>
        <v>1111508</v>
      </c>
      <c r="N267" s="28">
        <f t="shared" si="30"/>
        <v>0.9137309383862879</v>
      </c>
    </row>
    <row r="268" spans="1:14" s="32" customFormat="1" ht="9.75">
      <c r="A268" s="29"/>
      <c r="B268" s="30" t="s">
        <v>202</v>
      </c>
      <c r="C268" s="19" t="s">
        <v>18</v>
      </c>
      <c r="D268" s="24"/>
      <c r="E268" s="24"/>
      <c r="F268" s="24"/>
      <c r="G268" s="24"/>
      <c r="H268" s="17">
        <f t="shared" si="31"/>
        <v>0</v>
      </c>
      <c r="I268" s="24"/>
      <c r="J268" s="17">
        <v>1474</v>
      </c>
      <c r="K268" s="24"/>
      <c r="L268" s="24"/>
      <c r="M268" s="17">
        <f t="shared" si="29"/>
        <v>1474</v>
      </c>
      <c r="N268" s="18"/>
    </row>
    <row r="269" spans="1:14" ht="39" customHeight="1">
      <c r="A269" s="22"/>
      <c r="B269" s="41"/>
      <c r="C269" s="19" t="s">
        <v>77</v>
      </c>
      <c r="D269" s="16"/>
      <c r="E269" s="16">
        <f>46700+30478</f>
        <v>77178</v>
      </c>
      <c r="F269" s="16"/>
      <c r="G269" s="16"/>
      <c r="H269" s="17">
        <f t="shared" si="31"/>
        <v>77178</v>
      </c>
      <c r="I269" s="17"/>
      <c r="J269" s="17">
        <v>117481</v>
      </c>
      <c r="K269" s="17"/>
      <c r="L269" s="17"/>
      <c r="M269" s="17">
        <f t="shared" si="29"/>
        <v>117481</v>
      </c>
      <c r="N269" s="18">
        <f>M269/H269</f>
        <v>1.5222084013578998</v>
      </c>
    </row>
    <row r="270" spans="1:14" ht="9.75">
      <c r="A270" s="22"/>
      <c r="B270" s="63" t="s">
        <v>203</v>
      </c>
      <c r="C270" s="26"/>
      <c r="D270" s="27">
        <f>SUM(D268:D269)</f>
        <v>0</v>
      </c>
      <c r="E270" s="27">
        <f>SUM(E268:E269)</f>
        <v>77178</v>
      </c>
      <c r="F270" s="27">
        <f>SUM(F268:F269)</f>
        <v>0</v>
      </c>
      <c r="G270" s="27">
        <f>SUM(G268:G269)</f>
        <v>0</v>
      </c>
      <c r="H270" s="27">
        <f t="shared" si="31"/>
        <v>77178</v>
      </c>
      <c r="I270" s="27">
        <f>SUM(I268:I269)</f>
        <v>0</v>
      </c>
      <c r="J270" s="27">
        <f>SUM(J268:J269)</f>
        <v>118955</v>
      </c>
      <c r="K270" s="27">
        <f>SUM(K268:K269)</f>
        <v>0</v>
      </c>
      <c r="L270" s="27">
        <f>SUM(L268:L269)</f>
        <v>0</v>
      </c>
      <c r="M270" s="27">
        <f t="shared" si="29"/>
        <v>118955</v>
      </c>
      <c r="N270" s="28">
        <f>M270/H270</f>
        <v>1.5413071082432817</v>
      </c>
    </row>
    <row r="271" spans="1:14" s="32" customFormat="1" ht="9.75">
      <c r="A271" s="29"/>
      <c r="B271" s="30" t="s">
        <v>204</v>
      </c>
      <c r="C271" s="19" t="s">
        <v>17</v>
      </c>
      <c r="D271" s="24"/>
      <c r="E271" s="24"/>
      <c r="F271" s="24"/>
      <c r="G271" s="24"/>
      <c r="H271" s="17">
        <f t="shared" si="31"/>
        <v>0</v>
      </c>
      <c r="I271" s="17">
        <v>59695</v>
      </c>
      <c r="J271" s="24"/>
      <c r="K271" s="24"/>
      <c r="L271" s="24"/>
      <c r="M271" s="17">
        <f t="shared" si="29"/>
        <v>59695</v>
      </c>
      <c r="N271" s="18"/>
    </row>
    <row r="272" spans="1:14" ht="51" customHeight="1">
      <c r="A272" s="22"/>
      <c r="B272" s="33"/>
      <c r="C272" s="15" t="s">
        <v>71</v>
      </c>
      <c r="D272" s="16"/>
      <c r="E272" s="16"/>
      <c r="F272" s="16">
        <f>32400310-3100310</f>
        <v>29300000</v>
      </c>
      <c r="G272" s="16"/>
      <c r="H272" s="17">
        <f t="shared" si="31"/>
        <v>29300000</v>
      </c>
      <c r="I272" s="17"/>
      <c r="J272" s="17"/>
      <c r="K272" s="17">
        <v>28324881</v>
      </c>
      <c r="L272" s="17"/>
      <c r="M272" s="17">
        <f t="shared" si="29"/>
        <v>28324881</v>
      </c>
      <c r="N272" s="18">
        <f aca="true" t="shared" si="32" ref="N272:N277">M272/H272</f>
        <v>0.9667194880546075</v>
      </c>
    </row>
    <row r="273" spans="1:14" ht="51" customHeight="1">
      <c r="A273" s="22"/>
      <c r="B273" s="33"/>
      <c r="C273" s="23" t="s">
        <v>44</v>
      </c>
      <c r="D273" s="16"/>
      <c r="E273" s="16"/>
      <c r="F273" s="16"/>
      <c r="G273" s="16">
        <v>41800</v>
      </c>
      <c r="H273" s="17">
        <f t="shared" si="31"/>
        <v>41800</v>
      </c>
      <c r="I273" s="17"/>
      <c r="J273" s="17"/>
      <c r="K273" s="17"/>
      <c r="L273" s="17">
        <v>38927</v>
      </c>
      <c r="M273" s="17">
        <f t="shared" si="29"/>
        <v>38927</v>
      </c>
      <c r="N273" s="18">
        <f t="shared" si="32"/>
        <v>0.931267942583732</v>
      </c>
    </row>
    <row r="274" spans="1:14" ht="48.75">
      <c r="A274" s="22"/>
      <c r="B274" s="41"/>
      <c r="C274" s="23" t="s">
        <v>205</v>
      </c>
      <c r="D274" s="16"/>
      <c r="E274" s="16"/>
      <c r="F274" s="16">
        <v>7000</v>
      </c>
      <c r="G274" s="16"/>
      <c r="H274" s="17">
        <f t="shared" si="31"/>
        <v>7000</v>
      </c>
      <c r="I274" s="17"/>
      <c r="J274" s="17"/>
      <c r="K274" s="17">
        <v>7000</v>
      </c>
      <c r="L274" s="17"/>
      <c r="M274" s="17">
        <f t="shared" si="29"/>
        <v>7000</v>
      </c>
      <c r="N274" s="18">
        <f t="shared" si="32"/>
        <v>1</v>
      </c>
    </row>
    <row r="275" spans="1:14" ht="9.75">
      <c r="A275" s="22"/>
      <c r="B275" s="63" t="s">
        <v>206</v>
      </c>
      <c r="C275" s="26"/>
      <c r="D275" s="27">
        <f>SUM(D271:D274)</f>
        <v>0</v>
      </c>
      <c r="E275" s="27">
        <f>SUM(E271:E274)</f>
        <v>0</v>
      </c>
      <c r="F275" s="27">
        <f>SUM(F271:F274)</f>
        <v>29307000</v>
      </c>
      <c r="G275" s="27">
        <f>SUM(G271:G274)</f>
        <v>41800</v>
      </c>
      <c r="H275" s="27">
        <f t="shared" si="31"/>
        <v>29348800</v>
      </c>
      <c r="I275" s="27">
        <f>SUM(I271:I274)</f>
        <v>59695</v>
      </c>
      <c r="J275" s="27">
        <f>SUM(J271:J274)</f>
        <v>0</v>
      </c>
      <c r="K275" s="27">
        <f>SUM(K271:K274)</f>
        <v>28331881</v>
      </c>
      <c r="L275" s="27">
        <f>SUM(L271:L274)</f>
        <v>38927</v>
      </c>
      <c r="M275" s="27">
        <f t="shared" si="29"/>
        <v>28430503</v>
      </c>
      <c r="N275" s="28">
        <f t="shared" si="32"/>
        <v>0.9687109183339694</v>
      </c>
    </row>
    <row r="276" spans="1:14" ht="108" customHeight="1">
      <c r="A276" s="22"/>
      <c r="B276" s="51" t="s">
        <v>207</v>
      </c>
      <c r="C276" s="35" t="s">
        <v>71</v>
      </c>
      <c r="D276" s="16"/>
      <c r="E276" s="16"/>
      <c r="F276" s="16">
        <f>428490+16510-18900</f>
        <v>426100</v>
      </c>
      <c r="G276" s="16"/>
      <c r="H276" s="17">
        <f t="shared" si="31"/>
        <v>426100</v>
      </c>
      <c r="I276" s="17"/>
      <c r="J276" s="17"/>
      <c r="K276" s="17">
        <v>419376</v>
      </c>
      <c r="L276" s="17"/>
      <c r="M276" s="17">
        <f t="shared" si="29"/>
        <v>419376</v>
      </c>
      <c r="N276" s="18">
        <f t="shared" si="32"/>
        <v>0.9842196667448956</v>
      </c>
    </row>
    <row r="277" spans="1:14" ht="12.75" customHeight="1">
      <c r="A277" s="22"/>
      <c r="B277" s="63" t="s">
        <v>208</v>
      </c>
      <c r="C277" s="26"/>
      <c r="D277" s="27">
        <f>SUM(D276)</f>
        <v>0</v>
      </c>
      <c r="E277" s="27">
        <f>SUM(E276)</f>
        <v>0</v>
      </c>
      <c r="F277" s="27">
        <f>SUM(F276)</f>
        <v>426100</v>
      </c>
      <c r="G277" s="27">
        <f>SUM(G276)</f>
        <v>0</v>
      </c>
      <c r="H277" s="27">
        <f t="shared" si="31"/>
        <v>426100</v>
      </c>
      <c r="I277" s="27">
        <f>SUM(I276)</f>
        <v>0</v>
      </c>
      <c r="J277" s="27">
        <f>SUM(J276)</f>
        <v>0</v>
      </c>
      <c r="K277" s="27">
        <f>SUM(K276)</f>
        <v>419376</v>
      </c>
      <c r="L277" s="27">
        <f>SUM(L276)</f>
        <v>0</v>
      </c>
      <c r="M277" s="27">
        <f>SUM(M276)</f>
        <v>419376</v>
      </c>
      <c r="N277" s="28">
        <f t="shared" si="32"/>
        <v>0.9842196667448956</v>
      </c>
    </row>
    <row r="278" spans="1:14" s="32" customFormat="1" ht="8.25" customHeight="1">
      <c r="A278" s="29"/>
      <c r="B278" s="30" t="s">
        <v>209</v>
      </c>
      <c r="C278" s="19" t="s">
        <v>18</v>
      </c>
      <c r="D278" s="24"/>
      <c r="E278" s="24"/>
      <c r="F278" s="24"/>
      <c r="G278" s="24"/>
      <c r="H278" s="17">
        <f t="shared" si="31"/>
        <v>0</v>
      </c>
      <c r="I278" s="17">
        <v>6576</v>
      </c>
      <c r="J278" s="24"/>
      <c r="K278" s="24"/>
      <c r="L278" s="24"/>
      <c r="M278" s="17">
        <f aca="true" t="shared" si="33" ref="M278:M306">SUM(I278:L278)</f>
        <v>6576</v>
      </c>
      <c r="N278" s="18"/>
    </row>
    <row r="279" spans="1:14" ht="48.75">
      <c r="A279" s="22"/>
      <c r="B279" s="33"/>
      <c r="C279" s="15" t="s">
        <v>71</v>
      </c>
      <c r="D279" s="16"/>
      <c r="E279" s="16"/>
      <c r="F279" s="16">
        <f>5053200+49800-303000-222000</f>
        <v>4578000</v>
      </c>
      <c r="G279" s="16"/>
      <c r="H279" s="17">
        <f t="shared" si="31"/>
        <v>4578000</v>
      </c>
      <c r="I279" s="17"/>
      <c r="J279" s="17"/>
      <c r="K279" s="17">
        <v>4442424</v>
      </c>
      <c r="L279" s="17"/>
      <c r="M279" s="17">
        <f t="shared" si="33"/>
        <v>4442424</v>
      </c>
      <c r="N279" s="18">
        <f>M279/H279</f>
        <v>0.9703853211009175</v>
      </c>
    </row>
    <row r="280" spans="1:14" ht="29.25">
      <c r="A280" s="22"/>
      <c r="B280" s="41"/>
      <c r="C280" s="23" t="s">
        <v>152</v>
      </c>
      <c r="D280" s="16">
        <f>283500+92500</f>
        <v>376000</v>
      </c>
      <c r="E280" s="16"/>
      <c r="F280" s="16"/>
      <c r="G280" s="16"/>
      <c r="H280" s="17">
        <f t="shared" si="31"/>
        <v>376000</v>
      </c>
      <c r="I280" s="17">
        <v>367810</v>
      </c>
      <c r="J280" s="17"/>
      <c r="K280" s="17"/>
      <c r="L280" s="17"/>
      <c r="M280" s="17">
        <f t="shared" si="33"/>
        <v>367810</v>
      </c>
      <c r="N280" s="18">
        <f>M280/H280</f>
        <v>0.978218085106383</v>
      </c>
    </row>
    <row r="281" spans="1:14" ht="9.75">
      <c r="A281" s="22"/>
      <c r="B281" s="63" t="s">
        <v>210</v>
      </c>
      <c r="C281" s="26"/>
      <c r="D281" s="27">
        <f>SUM(D278:D280)</f>
        <v>376000</v>
      </c>
      <c r="E281" s="27">
        <f>SUM(E278:E280)</f>
        <v>0</v>
      </c>
      <c r="F281" s="27">
        <f>SUM(F278:F280)</f>
        <v>4578000</v>
      </c>
      <c r="G281" s="27">
        <f>SUM(G278:G280)</f>
        <v>0</v>
      </c>
      <c r="H281" s="27">
        <f t="shared" si="31"/>
        <v>4954000</v>
      </c>
      <c r="I281" s="27">
        <f>SUM(I278:I280)</f>
        <v>374386</v>
      </c>
      <c r="J281" s="27">
        <f>SUM(J279:J280)</f>
        <v>0</v>
      </c>
      <c r="K281" s="27">
        <f>SUM(K279:K280)</f>
        <v>4442424</v>
      </c>
      <c r="L281" s="27">
        <f>SUM(L279:L280)</f>
        <v>0</v>
      </c>
      <c r="M281" s="27">
        <f t="shared" si="33"/>
        <v>4816810</v>
      </c>
      <c r="N281" s="28">
        <f>M281/H281</f>
        <v>0.9723072264836495</v>
      </c>
    </row>
    <row r="282" spans="1:14" s="32" customFormat="1" ht="9.75">
      <c r="A282" s="29"/>
      <c r="B282" s="30" t="s">
        <v>211</v>
      </c>
      <c r="C282" s="19" t="s">
        <v>17</v>
      </c>
      <c r="D282" s="24"/>
      <c r="E282" s="24"/>
      <c r="F282" s="24"/>
      <c r="G282" s="24"/>
      <c r="H282" s="17">
        <f t="shared" si="31"/>
        <v>0</v>
      </c>
      <c r="I282" s="17">
        <v>328</v>
      </c>
      <c r="J282" s="24"/>
      <c r="K282" s="24"/>
      <c r="L282" s="24"/>
      <c r="M282" s="17">
        <f t="shared" si="33"/>
        <v>328</v>
      </c>
      <c r="N282" s="18"/>
    </row>
    <row r="283" spans="1:14" ht="9.75">
      <c r="A283" s="22"/>
      <c r="B283" s="33"/>
      <c r="C283" s="19" t="s">
        <v>18</v>
      </c>
      <c r="D283" s="16"/>
      <c r="E283" s="16"/>
      <c r="F283" s="16"/>
      <c r="G283" s="16"/>
      <c r="H283" s="17">
        <f t="shared" si="31"/>
        <v>0</v>
      </c>
      <c r="I283" s="17">
        <v>3497</v>
      </c>
      <c r="J283" s="17"/>
      <c r="K283" s="17"/>
      <c r="L283" s="17"/>
      <c r="M283" s="17">
        <f t="shared" si="33"/>
        <v>3497</v>
      </c>
      <c r="N283" s="18"/>
    </row>
    <row r="284" spans="1:14" ht="9.75">
      <c r="A284" s="22"/>
      <c r="B284" s="63" t="s">
        <v>212</v>
      </c>
      <c r="C284" s="26"/>
      <c r="D284" s="27">
        <f>SUM(D282:D283)</f>
        <v>0</v>
      </c>
      <c r="E284" s="27">
        <f>SUM(E282:E283)</f>
        <v>0</v>
      </c>
      <c r="F284" s="27">
        <f>SUM(F282:F283)</f>
        <v>0</v>
      </c>
      <c r="G284" s="27">
        <f>SUM(G282:G283)</f>
        <v>0</v>
      </c>
      <c r="H284" s="27">
        <f t="shared" si="31"/>
        <v>0</v>
      </c>
      <c r="I284" s="27">
        <f>SUM(I282:I283)</f>
        <v>3825</v>
      </c>
      <c r="J284" s="27">
        <f>SUM(J282:J283)</f>
        <v>0</v>
      </c>
      <c r="K284" s="27">
        <f>SUM(K282:K283)</f>
        <v>0</v>
      </c>
      <c r="L284" s="27">
        <f>SUM(L282:L283)</f>
        <v>0</v>
      </c>
      <c r="M284" s="27">
        <f t="shared" si="33"/>
        <v>3825</v>
      </c>
      <c r="N284" s="28"/>
    </row>
    <row r="285" spans="1:14" s="32" customFormat="1" ht="9.75">
      <c r="A285" s="29"/>
      <c r="B285" s="30" t="s">
        <v>213</v>
      </c>
      <c r="C285" s="15" t="s">
        <v>16</v>
      </c>
      <c r="D285" s="24"/>
      <c r="E285" s="24"/>
      <c r="F285" s="24"/>
      <c r="G285" s="24"/>
      <c r="H285" s="17">
        <f t="shared" si="31"/>
        <v>0</v>
      </c>
      <c r="I285" s="17">
        <v>710</v>
      </c>
      <c r="J285" s="24"/>
      <c r="K285" s="24"/>
      <c r="L285" s="24"/>
      <c r="M285" s="17">
        <f t="shared" si="33"/>
        <v>710</v>
      </c>
      <c r="N285" s="18"/>
    </row>
    <row r="286" spans="1:14" s="32" customFormat="1" ht="9.75">
      <c r="A286" s="29"/>
      <c r="B286" s="33"/>
      <c r="C286" s="19" t="s">
        <v>18</v>
      </c>
      <c r="D286" s="24"/>
      <c r="E286" s="24"/>
      <c r="F286" s="24"/>
      <c r="G286" s="24"/>
      <c r="H286" s="17">
        <f t="shared" si="31"/>
        <v>0</v>
      </c>
      <c r="I286" s="17">
        <v>62602</v>
      </c>
      <c r="J286" s="24"/>
      <c r="K286" s="24"/>
      <c r="L286" s="24"/>
      <c r="M286" s="17">
        <f t="shared" si="33"/>
        <v>62602</v>
      </c>
      <c r="N286" s="18"/>
    </row>
    <row r="287" spans="1:14" ht="30" customHeight="1">
      <c r="A287" s="22"/>
      <c r="B287" s="41"/>
      <c r="C287" s="19" t="s">
        <v>152</v>
      </c>
      <c r="D287" s="16">
        <f>1104210+70000+16564</f>
        <v>1190774</v>
      </c>
      <c r="E287" s="16"/>
      <c r="F287" s="16"/>
      <c r="G287" s="16"/>
      <c r="H287" s="17">
        <f t="shared" si="31"/>
        <v>1190774</v>
      </c>
      <c r="I287" s="17">
        <v>1190774</v>
      </c>
      <c r="J287" s="17"/>
      <c r="K287" s="17"/>
      <c r="L287" s="17"/>
      <c r="M287" s="17">
        <f t="shared" si="33"/>
        <v>1190774</v>
      </c>
      <c r="N287" s="18">
        <f>M287/H287</f>
        <v>1</v>
      </c>
    </row>
    <row r="288" spans="1:14" ht="9.75">
      <c r="A288" s="22"/>
      <c r="B288" s="63" t="s">
        <v>214</v>
      </c>
      <c r="C288" s="26"/>
      <c r="D288" s="27">
        <f>SUM(D285:D287)</f>
        <v>1190774</v>
      </c>
      <c r="E288" s="27">
        <f>SUM(E285:E287)</f>
        <v>0</v>
      </c>
      <c r="F288" s="27">
        <f>SUM(F285:F287)</f>
        <v>0</v>
      </c>
      <c r="G288" s="27">
        <f>SUM(G285:G287)</f>
        <v>0</v>
      </c>
      <c r="H288" s="27">
        <f t="shared" si="31"/>
        <v>1190774</v>
      </c>
      <c r="I288" s="27">
        <f>SUM(I285:I287)</f>
        <v>1254086</v>
      </c>
      <c r="J288" s="27">
        <f>SUM(J285:J287)</f>
        <v>0</v>
      </c>
      <c r="K288" s="27">
        <f>SUM(K285:K287)</f>
        <v>0</v>
      </c>
      <c r="L288" s="27">
        <f>SUM(L285:L287)</f>
        <v>0</v>
      </c>
      <c r="M288" s="27">
        <f t="shared" si="33"/>
        <v>1254086</v>
      </c>
      <c r="N288" s="28">
        <f>M288/H288</f>
        <v>1.0531687792981708</v>
      </c>
    </row>
    <row r="289" spans="1:14" s="32" customFormat="1" ht="68.25">
      <c r="A289" s="29"/>
      <c r="B289" s="84" t="s">
        <v>215</v>
      </c>
      <c r="C289" s="84" t="s">
        <v>198</v>
      </c>
      <c r="D289" s="24"/>
      <c r="E289" s="24">
        <f>155000+15000</f>
        <v>170000</v>
      </c>
      <c r="F289" s="24"/>
      <c r="G289" s="24"/>
      <c r="H289" s="17">
        <f t="shared" si="31"/>
        <v>170000</v>
      </c>
      <c r="I289" s="24"/>
      <c r="J289" s="17">
        <v>170000</v>
      </c>
      <c r="K289" s="24"/>
      <c r="L289" s="24"/>
      <c r="M289" s="17">
        <f t="shared" si="33"/>
        <v>170000</v>
      </c>
      <c r="N289" s="40">
        <f>M289/H289</f>
        <v>1</v>
      </c>
    </row>
    <row r="290" spans="1:14" s="32" customFormat="1" ht="9.75">
      <c r="A290" s="29"/>
      <c r="B290" s="63" t="s">
        <v>216</v>
      </c>
      <c r="C290" s="26"/>
      <c r="D290" s="27">
        <f>SUM(D289:D289)</f>
        <v>0</v>
      </c>
      <c r="E290" s="27">
        <f>SUM(E289:E289)</f>
        <v>170000</v>
      </c>
      <c r="F290" s="27">
        <f>SUM(F289:F289)</f>
        <v>0</v>
      </c>
      <c r="G290" s="27">
        <f>SUM(G289:G289)</f>
        <v>0</v>
      </c>
      <c r="H290" s="27">
        <f t="shared" si="31"/>
        <v>170000</v>
      </c>
      <c r="I290" s="27">
        <f>SUM(I289:I289)</f>
        <v>0</v>
      </c>
      <c r="J290" s="27">
        <f>SUM(J289:J289)</f>
        <v>170000</v>
      </c>
      <c r="K290" s="27">
        <f>SUM(K289:K289)</f>
        <v>0</v>
      </c>
      <c r="L290" s="27">
        <f>SUM(L289:L289)</f>
        <v>0</v>
      </c>
      <c r="M290" s="27">
        <f t="shared" si="33"/>
        <v>170000</v>
      </c>
      <c r="N290" s="28">
        <f>M290/H290</f>
        <v>1</v>
      </c>
    </row>
    <row r="291" spans="1:14" s="32" customFormat="1" ht="9.75">
      <c r="A291" s="29"/>
      <c r="B291" s="30" t="s">
        <v>217</v>
      </c>
      <c r="C291" s="88" t="s">
        <v>14</v>
      </c>
      <c r="D291" s="24"/>
      <c r="E291" s="24"/>
      <c r="F291" s="24"/>
      <c r="G291" s="24"/>
      <c r="H291" s="17">
        <f t="shared" si="31"/>
        <v>0</v>
      </c>
      <c r="I291" s="17">
        <v>5</v>
      </c>
      <c r="J291" s="24"/>
      <c r="K291" s="24"/>
      <c r="L291" s="24"/>
      <c r="M291" s="17">
        <f t="shared" si="33"/>
        <v>5</v>
      </c>
      <c r="N291" s="40"/>
    </row>
    <row r="292" spans="1:14" ht="9.75">
      <c r="A292" s="22"/>
      <c r="B292" s="33"/>
      <c r="C292" s="15" t="s">
        <v>16</v>
      </c>
      <c r="D292" s="16">
        <v>360000</v>
      </c>
      <c r="E292" s="16"/>
      <c r="F292" s="17"/>
      <c r="G292" s="16"/>
      <c r="H292" s="17">
        <f t="shared" si="31"/>
        <v>360000</v>
      </c>
      <c r="I292" s="17">
        <v>320645</v>
      </c>
      <c r="J292" s="21"/>
      <c r="K292" s="21"/>
      <c r="L292" s="21"/>
      <c r="M292" s="17">
        <f t="shared" si="33"/>
        <v>320645</v>
      </c>
      <c r="N292" s="40">
        <f>M292/H292</f>
        <v>0.8906805555555556</v>
      </c>
    </row>
    <row r="293" spans="1:14" ht="9.75">
      <c r="A293" s="22"/>
      <c r="B293" s="33"/>
      <c r="C293" s="19" t="s">
        <v>17</v>
      </c>
      <c r="D293" s="16"/>
      <c r="E293" s="16"/>
      <c r="F293" s="17"/>
      <c r="G293" s="16"/>
      <c r="H293" s="17">
        <f t="shared" si="31"/>
        <v>0</v>
      </c>
      <c r="I293" s="17">
        <v>32979</v>
      </c>
      <c r="J293" s="21"/>
      <c r="K293" s="21"/>
      <c r="L293" s="21"/>
      <c r="M293" s="17">
        <f t="shared" si="33"/>
        <v>32979</v>
      </c>
      <c r="N293" s="40"/>
    </row>
    <row r="294" spans="1:14" ht="48.75">
      <c r="A294" s="22"/>
      <c r="B294" s="33"/>
      <c r="C294" s="19" t="s">
        <v>71</v>
      </c>
      <c r="D294" s="16"/>
      <c r="E294" s="16"/>
      <c r="F294" s="16">
        <f>248420-20000</f>
        <v>228420</v>
      </c>
      <c r="G294" s="16"/>
      <c r="H294" s="17">
        <f t="shared" si="31"/>
        <v>228420</v>
      </c>
      <c r="I294" s="17"/>
      <c r="J294" s="17"/>
      <c r="K294" s="17">
        <v>217700</v>
      </c>
      <c r="L294" s="17"/>
      <c r="M294" s="17">
        <f t="shared" si="33"/>
        <v>217700</v>
      </c>
      <c r="N294" s="40">
        <f>M294/H294</f>
        <v>0.9530689081516505</v>
      </c>
    </row>
    <row r="295" spans="1:14" ht="30.75" customHeight="1">
      <c r="A295" s="22"/>
      <c r="B295" s="41"/>
      <c r="C295" s="23" t="s">
        <v>45</v>
      </c>
      <c r="D295" s="16">
        <v>750</v>
      </c>
      <c r="E295" s="16"/>
      <c r="F295" s="16"/>
      <c r="G295" s="16"/>
      <c r="H295" s="17">
        <f t="shared" si="31"/>
        <v>750</v>
      </c>
      <c r="I295" s="17">
        <v>583</v>
      </c>
      <c r="J295" s="17"/>
      <c r="K295" s="17"/>
      <c r="L295" s="17"/>
      <c r="M295" s="17">
        <f t="shared" si="33"/>
        <v>583</v>
      </c>
      <c r="N295" s="18">
        <f>M295/H295</f>
        <v>0.7773333333333333</v>
      </c>
    </row>
    <row r="296" spans="1:14" ht="9.75">
      <c r="A296" s="22"/>
      <c r="B296" s="63" t="s">
        <v>218</v>
      </c>
      <c r="C296" s="26"/>
      <c r="D296" s="27">
        <f>SUM(D291:D295)</f>
        <v>360750</v>
      </c>
      <c r="E296" s="27">
        <f>SUM(E291:E295)</f>
        <v>0</v>
      </c>
      <c r="F296" s="27">
        <f>SUM(F291:F295)</f>
        <v>228420</v>
      </c>
      <c r="G296" s="27">
        <f>SUM(G291:G295)</f>
        <v>0</v>
      </c>
      <c r="H296" s="27">
        <f aca="true" t="shared" si="34" ref="H296:H327">SUM(D296:G296)</f>
        <v>589170</v>
      </c>
      <c r="I296" s="27">
        <f>SUM(I291:I295)</f>
        <v>354212</v>
      </c>
      <c r="J296" s="27">
        <f>SUM(J291:J295)</f>
        <v>0</v>
      </c>
      <c r="K296" s="27">
        <f>SUM(K291:K295)</f>
        <v>217700</v>
      </c>
      <c r="L296" s="27">
        <f>SUM(L291:L295)</f>
        <v>0</v>
      </c>
      <c r="M296" s="27">
        <f t="shared" si="33"/>
        <v>571912</v>
      </c>
      <c r="N296" s="28">
        <f>M296/H296</f>
        <v>0.9707079450752754</v>
      </c>
    </row>
    <row r="297" spans="1:14" ht="33.75" customHeight="1">
      <c r="A297" s="22"/>
      <c r="B297" s="23" t="s">
        <v>219</v>
      </c>
      <c r="C297" s="19" t="s">
        <v>152</v>
      </c>
      <c r="D297" s="16">
        <f>197344+114896</f>
        <v>312240</v>
      </c>
      <c r="E297" s="16"/>
      <c r="F297" s="16"/>
      <c r="G297" s="16"/>
      <c r="H297" s="17">
        <f t="shared" si="34"/>
        <v>312240</v>
      </c>
      <c r="I297" s="17">
        <v>312240</v>
      </c>
      <c r="J297" s="21"/>
      <c r="K297" s="21"/>
      <c r="L297" s="21"/>
      <c r="M297" s="17">
        <f t="shared" si="33"/>
        <v>312240</v>
      </c>
      <c r="N297" s="18">
        <f>M297/H297</f>
        <v>1</v>
      </c>
    </row>
    <row r="298" spans="1:14" ht="39">
      <c r="A298" s="22"/>
      <c r="B298" s="15"/>
      <c r="C298" s="19" t="s">
        <v>66</v>
      </c>
      <c r="D298" s="16"/>
      <c r="E298" s="16"/>
      <c r="F298" s="16"/>
      <c r="G298" s="16"/>
      <c r="H298" s="17">
        <f t="shared" si="34"/>
        <v>0</v>
      </c>
      <c r="I298" s="17">
        <v>1111</v>
      </c>
      <c r="J298" s="21"/>
      <c r="K298" s="21"/>
      <c r="L298" s="21"/>
      <c r="M298" s="17">
        <f t="shared" si="33"/>
        <v>1111</v>
      </c>
      <c r="N298" s="18"/>
    </row>
    <row r="299" spans="1:14" ht="9.75">
      <c r="A299" s="22"/>
      <c r="B299" s="64" t="s">
        <v>220</v>
      </c>
      <c r="C299" s="25"/>
      <c r="D299" s="27">
        <f>SUM(D297:D298)</f>
        <v>312240</v>
      </c>
      <c r="E299" s="27">
        <f>SUM(E297:E298)</f>
        <v>0</v>
      </c>
      <c r="F299" s="27">
        <f>SUM(F297:F298)</f>
        <v>0</v>
      </c>
      <c r="G299" s="27">
        <f>SUM(G297:G298)</f>
        <v>0</v>
      </c>
      <c r="H299" s="27">
        <f t="shared" si="34"/>
        <v>312240</v>
      </c>
      <c r="I299" s="27">
        <f>SUM(I297:I298)</f>
        <v>313351</v>
      </c>
      <c r="J299" s="27">
        <f>SUM(J297:J298)</f>
        <v>0</v>
      </c>
      <c r="K299" s="27">
        <f>SUM(K297:K298)</f>
        <v>0</v>
      </c>
      <c r="L299" s="27">
        <f>SUM(L297:L298)</f>
        <v>0</v>
      </c>
      <c r="M299" s="27">
        <f t="shared" si="33"/>
        <v>313351</v>
      </c>
      <c r="N299" s="28">
        <f>M299/H299</f>
        <v>1.0035581603894441</v>
      </c>
    </row>
    <row r="300" spans="1:14" ht="11.25">
      <c r="A300" s="65" t="s">
        <v>221</v>
      </c>
      <c r="B300" s="66"/>
      <c r="C300" s="43"/>
      <c r="D300" s="44">
        <f>SUM(D299,D296,D288,D284,D281,D277,D275,D270,D267,D262,D290,D256)</f>
        <v>3000414</v>
      </c>
      <c r="E300" s="44">
        <f>SUM(E299,E296,E288,E284,E281,E277,E275,E270,E267,E262,E290,E256)</f>
        <v>2168758</v>
      </c>
      <c r="F300" s="44">
        <f>SUM(F299,F296,F288,F284,F281,F277,F275,F270,F267,F262,F290,F256)</f>
        <v>34995320</v>
      </c>
      <c r="G300" s="44">
        <f>SUM(G299,G296,G288,G284,G281,G277,G275,G270,G267,G262,G290,G256)</f>
        <v>41800</v>
      </c>
      <c r="H300" s="44">
        <f t="shared" si="34"/>
        <v>40206292</v>
      </c>
      <c r="I300" s="44">
        <f>SUM(I299,I296,I288,I284,I281,I277,I275,I270,I267,I262,I290,I256)</f>
        <v>3020492</v>
      </c>
      <c r="J300" s="44">
        <f>SUM(J299,J296,J288,J284,J281,J277,J275,J270,J267,J262,J290,J256)</f>
        <v>2073197</v>
      </c>
      <c r="K300" s="44">
        <f>SUM(K299,K296,K288,K284,K281,K277,K275,K270,K267,K262,K290,K256)</f>
        <v>33866408</v>
      </c>
      <c r="L300" s="44">
        <f>SUM(L299,L296,L288,L284,L281,L277,L275,L270,L267,L262,L290,L256)</f>
        <v>38927</v>
      </c>
      <c r="M300" s="44">
        <f t="shared" si="33"/>
        <v>38999024</v>
      </c>
      <c r="N300" s="45">
        <f>M300/H300</f>
        <v>0.9699731574351597</v>
      </c>
    </row>
    <row r="301" spans="1:14" s="32" customFormat="1" ht="11.25">
      <c r="A301" s="56" t="s">
        <v>222</v>
      </c>
      <c r="B301" s="30" t="s">
        <v>223</v>
      </c>
      <c r="C301" s="19" t="s">
        <v>16</v>
      </c>
      <c r="D301" s="16">
        <v>165000</v>
      </c>
      <c r="E301" s="57"/>
      <c r="F301" s="57"/>
      <c r="G301" s="57"/>
      <c r="H301" s="17">
        <f t="shared" si="34"/>
        <v>165000</v>
      </c>
      <c r="I301" s="17">
        <v>189486</v>
      </c>
      <c r="J301" s="57"/>
      <c r="K301" s="57"/>
      <c r="L301" s="57"/>
      <c r="M301" s="17">
        <f t="shared" si="33"/>
        <v>189486</v>
      </c>
      <c r="N301" s="18">
        <f>M301/H301</f>
        <v>1.1484</v>
      </c>
    </row>
    <row r="302" spans="1:14" ht="9.75">
      <c r="A302" s="68"/>
      <c r="B302" s="41"/>
      <c r="C302" s="19" t="s">
        <v>17</v>
      </c>
      <c r="E302" s="16"/>
      <c r="F302" s="16"/>
      <c r="G302" s="16"/>
      <c r="H302" s="17">
        <f t="shared" si="34"/>
        <v>0</v>
      </c>
      <c r="I302" s="17">
        <v>1527</v>
      </c>
      <c r="J302" s="17"/>
      <c r="K302" s="17"/>
      <c r="L302" s="17"/>
      <c r="M302" s="17">
        <f t="shared" si="33"/>
        <v>1527</v>
      </c>
      <c r="N302" s="18"/>
    </row>
    <row r="303" spans="1:14" ht="9.75">
      <c r="A303" s="68"/>
      <c r="B303" s="26" t="s">
        <v>224</v>
      </c>
      <c r="C303" s="26"/>
      <c r="D303" s="27">
        <f>SUM(D301:D302)</f>
        <v>165000</v>
      </c>
      <c r="E303" s="27">
        <f>SUM(E301:E302)</f>
        <v>0</v>
      </c>
      <c r="F303" s="27">
        <f>SUM(F301:F302)</f>
        <v>0</v>
      </c>
      <c r="G303" s="27">
        <f>SUM(G301:G302)</f>
        <v>0</v>
      </c>
      <c r="H303" s="27">
        <f t="shared" si="34"/>
        <v>165000</v>
      </c>
      <c r="I303" s="27">
        <f>SUM(I301:I302)</f>
        <v>191013</v>
      </c>
      <c r="J303" s="27">
        <f>SUM(J301:J302)</f>
        <v>0</v>
      </c>
      <c r="K303" s="27">
        <f>SUM(K301:K302)</f>
        <v>0</v>
      </c>
      <c r="L303" s="27">
        <f>SUM(L301:L302)</f>
        <v>0</v>
      </c>
      <c r="M303" s="27">
        <f t="shared" si="33"/>
        <v>191013</v>
      </c>
      <c r="N303" s="28">
        <f>M303/H303</f>
        <v>1.1576545454545455</v>
      </c>
    </row>
    <row r="304" spans="1:14" s="32" customFormat="1" ht="9.75">
      <c r="A304" s="68"/>
      <c r="B304" s="30" t="s">
        <v>225</v>
      </c>
      <c r="C304" s="19" t="s">
        <v>226</v>
      </c>
      <c r="D304" s="24"/>
      <c r="E304" s="24"/>
      <c r="F304" s="24"/>
      <c r="G304" s="24"/>
      <c r="H304" s="17">
        <f t="shared" si="34"/>
        <v>0</v>
      </c>
      <c r="I304" s="17">
        <v>21</v>
      </c>
      <c r="J304" s="24"/>
      <c r="K304" s="24"/>
      <c r="L304" s="24"/>
      <c r="M304" s="17">
        <f t="shared" si="33"/>
        <v>21</v>
      </c>
      <c r="N304" s="18"/>
    </row>
    <row r="305" spans="1:14" s="32" customFormat="1" ht="48.75">
      <c r="A305" s="68"/>
      <c r="B305" s="33"/>
      <c r="C305" s="19" t="s">
        <v>227</v>
      </c>
      <c r="D305" s="24"/>
      <c r="E305" s="24"/>
      <c r="F305" s="24"/>
      <c r="G305" s="24"/>
      <c r="H305" s="17">
        <f t="shared" si="34"/>
        <v>0</v>
      </c>
      <c r="I305" s="17">
        <v>18700</v>
      </c>
      <c r="J305" s="24"/>
      <c r="K305" s="24"/>
      <c r="L305" s="24"/>
      <c r="M305" s="17">
        <f t="shared" si="33"/>
        <v>18700</v>
      </c>
      <c r="N305" s="18"/>
    </row>
    <row r="306" spans="1:14" ht="39">
      <c r="A306" s="68"/>
      <c r="B306" s="41"/>
      <c r="C306" s="19" t="s">
        <v>66</v>
      </c>
      <c r="D306" s="16"/>
      <c r="E306" s="16"/>
      <c r="F306" s="16"/>
      <c r="G306" s="16"/>
      <c r="H306" s="17">
        <f t="shared" si="34"/>
        <v>0</v>
      </c>
      <c r="I306" s="17">
        <v>6</v>
      </c>
      <c r="J306" s="21"/>
      <c r="K306" s="21"/>
      <c r="L306" s="21"/>
      <c r="M306" s="17">
        <f t="shared" si="33"/>
        <v>6</v>
      </c>
      <c r="N306" s="18"/>
    </row>
    <row r="307" spans="1:14" ht="9.75">
      <c r="A307" s="68"/>
      <c r="B307" s="64" t="s">
        <v>225</v>
      </c>
      <c r="C307" s="26"/>
      <c r="D307" s="27">
        <f>SUM(D304:D306)</f>
        <v>0</v>
      </c>
      <c r="E307" s="27">
        <f>SUM(E304:E306)</f>
        <v>0</v>
      </c>
      <c r="F307" s="27">
        <f>SUM(F304:F306)</f>
        <v>0</v>
      </c>
      <c r="G307" s="27">
        <f>SUM(G304:G306)</f>
        <v>0</v>
      </c>
      <c r="H307" s="27">
        <f t="shared" si="34"/>
        <v>0</v>
      </c>
      <c r="I307" s="27">
        <f>SUM(I304:I306)</f>
        <v>18727</v>
      </c>
      <c r="J307" s="27">
        <f>SUM(J304:J306)</f>
        <v>0</v>
      </c>
      <c r="K307" s="27">
        <f>SUM(K304:K306)</f>
        <v>0</v>
      </c>
      <c r="L307" s="27">
        <f>SUM(L304:L306)</f>
        <v>0</v>
      </c>
      <c r="M307" s="27">
        <f>SUM(M306)</f>
        <v>6</v>
      </c>
      <c r="N307" s="28"/>
    </row>
    <row r="308" spans="1:14" ht="39">
      <c r="A308" s="68"/>
      <c r="B308" s="30" t="s">
        <v>228</v>
      </c>
      <c r="C308" s="19" t="s">
        <v>44</v>
      </c>
      <c r="D308" s="16"/>
      <c r="E308" s="16"/>
      <c r="F308" s="16"/>
      <c r="G308" s="16">
        <f>255000+25000</f>
        <v>280000</v>
      </c>
      <c r="H308" s="17">
        <f t="shared" si="34"/>
        <v>280000</v>
      </c>
      <c r="I308" s="24"/>
      <c r="J308" s="24"/>
      <c r="K308" s="24"/>
      <c r="L308" s="17">
        <v>279992</v>
      </c>
      <c r="M308" s="17">
        <f aca="true" t="shared" si="35" ref="M308:M339">SUM(I308:L308)</f>
        <v>279992</v>
      </c>
      <c r="N308" s="18">
        <f>M308/H308</f>
        <v>0.9999714285714286</v>
      </c>
    </row>
    <row r="309" spans="1:14" ht="39">
      <c r="A309" s="68"/>
      <c r="B309" s="41"/>
      <c r="C309" s="19" t="s">
        <v>77</v>
      </c>
      <c r="D309" s="16"/>
      <c r="E309" s="16">
        <v>44840</v>
      </c>
      <c r="F309" s="16"/>
      <c r="G309" s="16"/>
      <c r="H309" s="17">
        <f t="shared" si="34"/>
        <v>44840</v>
      </c>
      <c r="I309" s="24"/>
      <c r="J309" s="17">
        <v>53926</v>
      </c>
      <c r="K309" s="24"/>
      <c r="L309" s="24"/>
      <c r="M309" s="17">
        <f t="shared" si="35"/>
        <v>53926</v>
      </c>
      <c r="N309" s="18">
        <f>M309/H309</f>
        <v>1.2026315789473685</v>
      </c>
    </row>
    <row r="310" spans="1:14" ht="9.75">
      <c r="A310" s="68"/>
      <c r="B310" s="89" t="s">
        <v>229</v>
      </c>
      <c r="C310" s="26"/>
      <c r="D310" s="27">
        <f>SUM(D308:D309)</f>
        <v>0</v>
      </c>
      <c r="E310" s="27">
        <f>SUM(E308:E309)</f>
        <v>44840</v>
      </c>
      <c r="F310" s="27">
        <f>SUM(F308:F309)</f>
        <v>0</v>
      </c>
      <c r="G310" s="27">
        <f>SUM(G308:G309)</f>
        <v>280000</v>
      </c>
      <c r="H310" s="27">
        <f t="shared" si="34"/>
        <v>324840</v>
      </c>
      <c r="I310" s="27">
        <f>SUM(I308:I309)</f>
        <v>0</v>
      </c>
      <c r="J310" s="27">
        <f>SUM(J308:J309)</f>
        <v>53926</v>
      </c>
      <c r="K310" s="27">
        <f>SUM(K308:K309)</f>
        <v>0</v>
      </c>
      <c r="L310" s="27">
        <f>SUM(L308:L309)</f>
        <v>279992</v>
      </c>
      <c r="M310" s="27">
        <f t="shared" si="35"/>
        <v>333918</v>
      </c>
      <c r="N310" s="28">
        <f>M310/H310</f>
        <v>1.027946065755449</v>
      </c>
    </row>
    <row r="311" spans="1:14" s="32" customFormat="1" ht="48.75">
      <c r="A311" s="68"/>
      <c r="B311" s="30" t="s">
        <v>230</v>
      </c>
      <c r="C311" s="19" t="s">
        <v>15</v>
      </c>
      <c r="D311" s="24"/>
      <c r="E311" s="24"/>
      <c r="F311" s="24"/>
      <c r="G311" s="24"/>
      <c r="H311" s="17">
        <f t="shared" si="34"/>
        <v>0</v>
      </c>
      <c r="I311" s="24"/>
      <c r="J311" s="17">
        <v>1806</v>
      </c>
      <c r="K311" s="24"/>
      <c r="L311" s="24"/>
      <c r="M311" s="17">
        <f t="shared" si="35"/>
        <v>1806</v>
      </c>
      <c r="N311" s="18"/>
    </row>
    <row r="312" spans="1:14" s="32" customFormat="1" ht="9.75">
      <c r="A312" s="68"/>
      <c r="B312" s="33"/>
      <c r="C312" s="19" t="s">
        <v>17</v>
      </c>
      <c r="D312" s="24"/>
      <c r="E312" s="24"/>
      <c r="F312" s="24"/>
      <c r="G312" s="24"/>
      <c r="H312" s="17">
        <f t="shared" si="34"/>
        <v>0</v>
      </c>
      <c r="I312" s="24"/>
      <c r="J312" s="17">
        <v>6748</v>
      </c>
      <c r="K312" s="24"/>
      <c r="L312" s="24"/>
      <c r="M312" s="17">
        <f t="shared" si="35"/>
        <v>6748</v>
      </c>
      <c r="N312" s="18"/>
    </row>
    <row r="313" spans="1:14" ht="39">
      <c r="A313" s="68"/>
      <c r="B313" s="41"/>
      <c r="C313" s="19" t="s">
        <v>77</v>
      </c>
      <c r="D313" s="16"/>
      <c r="E313" s="16">
        <f>144478+3802</f>
        <v>148280</v>
      </c>
      <c r="F313" s="16"/>
      <c r="G313" s="16"/>
      <c r="H313" s="17">
        <f t="shared" si="34"/>
        <v>148280</v>
      </c>
      <c r="I313" s="21"/>
      <c r="J313" s="17">
        <v>148324</v>
      </c>
      <c r="K313" s="21"/>
      <c r="L313" s="21"/>
      <c r="M313" s="17">
        <f t="shared" si="35"/>
        <v>148324</v>
      </c>
      <c r="N313" s="18">
        <f>M313/H313</f>
        <v>1.0002967359050445</v>
      </c>
    </row>
    <row r="314" spans="1:14" ht="9.75">
      <c r="A314" s="68"/>
      <c r="B314" s="89" t="s">
        <v>231</v>
      </c>
      <c r="C314" s="26"/>
      <c r="D314" s="27">
        <f>SUM(D311:D313)</f>
        <v>0</v>
      </c>
      <c r="E314" s="27">
        <f>SUM(E311:E313)</f>
        <v>148280</v>
      </c>
      <c r="F314" s="27">
        <f>SUM(F311:F313)</f>
        <v>0</v>
      </c>
      <c r="G314" s="27">
        <f>SUM(G311:G313)</f>
        <v>0</v>
      </c>
      <c r="H314" s="27">
        <f t="shared" si="34"/>
        <v>148280</v>
      </c>
      <c r="I314" s="27">
        <f>SUM(I311:I313)</f>
        <v>0</v>
      </c>
      <c r="J314" s="27">
        <f>SUM(J311:J313)</f>
        <v>156878</v>
      </c>
      <c r="K314" s="27">
        <f>SUM(K311:K313)</f>
        <v>0</v>
      </c>
      <c r="L314" s="27">
        <f>SUM(L311:L313)</f>
        <v>0</v>
      </c>
      <c r="M314" s="27">
        <f t="shared" si="35"/>
        <v>156878</v>
      </c>
      <c r="N314" s="28">
        <f>M314/H314</f>
        <v>1.0579848934448342</v>
      </c>
    </row>
    <row r="315" spans="1:14" s="32" customFormat="1" ht="9.75">
      <c r="A315" s="68"/>
      <c r="B315" s="90" t="s">
        <v>232</v>
      </c>
      <c r="C315" s="19" t="s">
        <v>17</v>
      </c>
      <c r="D315" s="24"/>
      <c r="E315" s="24"/>
      <c r="F315" s="24"/>
      <c r="G315" s="24"/>
      <c r="H315" s="17">
        <f t="shared" si="34"/>
        <v>0</v>
      </c>
      <c r="I315" s="17">
        <v>51</v>
      </c>
      <c r="J315" s="24"/>
      <c r="K315" s="24"/>
      <c r="L315" s="24"/>
      <c r="M315" s="17">
        <f t="shared" si="35"/>
        <v>51</v>
      </c>
      <c r="N315" s="18"/>
    </row>
    <row r="316" spans="1:14" s="32" customFormat="1" ht="39">
      <c r="A316" s="68"/>
      <c r="B316" s="91"/>
      <c r="C316" s="19" t="s">
        <v>66</v>
      </c>
      <c r="D316" s="24"/>
      <c r="E316" s="24"/>
      <c r="F316" s="24"/>
      <c r="G316" s="24"/>
      <c r="H316" s="17">
        <f t="shared" si="34"/>
        <v>0</v>
      </c>
      <c r="I316" s="17">
        <v>22</v>
      </c>
      <c r="J316" s="24"/>
      <c r="K316" s="24"/>
      <c r="L316" s="24"/>
      <c r="M316" s="17">
        <f t="shared" si="35"/>
        <v>22</v>
      </c>
      <c r="N316" s="18"/>
    </row>
    <row r="317" spans="1:14" s="32" customFormat="1" ht="9.75">
      <c r="A317" s="92"/>
      <c r="B317" s="93" t="s">
        <v>233</v>
      </c>
      <c r="C317" s="94"/>
      <c r="D317" s="27">
        <f>SUM(D315:D315)</f>
        <v>0</v>
      </c>
      <c r="E317" s="27">
        <f>SUM(E315:E315)</f>
        <v>0</v>
      </c>
      <c r="F317" s="27">
        <f>SUM(F315:F315)</f>
        <v>0</v>
      </c>
      <c r="G317" s="27">
        <f>SUM(G315:G315)</f>
        <v>0</v>
      </c>
      <c r="H317" s="27">
        <f t="shared" si="34"/>
        <v>0</v>
      </c>
      <c r="I317" s="27">
        <f>SUM(I315:I316)</f>
        <v>73</v>
      </c>
      <c r="J317" s="27">
        <f>SUM(J315:J316)</f>
        <v>0</v>
      </c>
      <c r="K317" s="27">
        <f>SUM(K315:K316)</f>
        <v>0</v>
      </c>
      <c r="L317" s="27">
        <f>SUM(L315:L316)</f>
        <v>0</v>
      </c>
      <c r="M317" s="27">
        <f t="shared" si="35"/>
        <v>73</v>
      </c>
      <c r="N317" s="28"/>
    </row>
    <row r="318" spans="1:14" ht="11.25">
      <c r="A318" s="95" t="s">
        <v>234</v>
      </c>
      <c r="B318" s="96"/>
      <c r="C318" s="97"/>
      <c r="D318" s="44">
        <f>SUM(D314,D310,D307,D303,D317)</f>
        <v>165000</v>
      </c>
      <c r="E318" s="44">
        <f>SUM(E314,E310,E307,E303,E317)</f>
        <v>193120</v>
      </c>
      <c r="F318" s="44">
        <f>SUM(F314,F310,F307,F303,F317)</f>
        <v>0</v>
      </c>
      <c r="G318" s="44">
        <f>SUM(G314,G310,G307,G303,G317)</f>
        <v>280000</v>
      </c>
      <c r="H318" s="44">
        <f t="shared" si="34"/>
        <v>638120</v>
      </c>
      <c r="I318" s="44">
        <f>SUM(I314,I310,I307,I303,I317)</f>
        <v>209813</v>
      </c>
      <c r="J318" s="44">
        <f>SUM(J314,J310,J307,J303,J317)</f>
        <v>210804</v>
      </c>
      <c r="K318" s="44">
        <f>SUM(K314,K310,K307,K303,K317)</f>
        <v>0</v>
      </c>
      <c r="L318" s="44">
        <f>SUM(L314,L310,L307,L303,L317)</f>
        <v>279992</v>
      </c>
      <c r="M318" s="44">
        <f t="shared" si="35"/>
        <v>700609</v>
      </c>
      <c r="N318" s="45">
        <f aca="true" t="shared" si="36" ref="N318:N327">M318/H318</f>
        <v>1.0979267222465994</v>
      </c>
    </row>
    <row r="319" spans="1:14" ht="9.75">
      <c r="A319" s="56" t="s">
        <v>235</v>
      </c>
      <c r="B319" s="98" t="s">
        <v>236</v>
      </c>
      <c r="C319" s="19" t="s">
        <v>16</v>
      </c>
      <c r="D319" s="16">
        <f>2058386-1433542+17945</f>
        <v>642789</v>
      </c>
      <c r="E319" s="16">
        <f>9000-6080</f>
        <v>2920</v>
      </c>
      <c r="F319" s="16"/>
      <c r="G319" s="16"/>
      <c r="H319" s="17">
        <f t="shared" si="34"/>
        <v>645709</v>
      </c>
      <c r="I319" s="17">
        <v>641702</v>
      </c>
      <c r="J319" s="17">
        <v>2920</v>
      </c>
      <c r="K319" s="17"/>
      <c r="L319" s="17"/>
      <c r="M319" s="17">
        <f t="shared" si="35"/>
        <v>644622</v>
      </c>
      <c r="N319" s="18">
        <f t="shared" si="36"/>
        <v>0.9983165791401389</v>
      </c>
    </row>
    <row r="320" spans="1:14" ht="9.75">
      <c r="A320" s="68"/>
      <c r="B320" s="99"/>
      <c r="C320" s="19" t="s">
        <v>17</v>
      </c>
      <c r="D320" s="16">
        <f>154+81</f>
        <v>235</v>
      </c>
      <c r="E320" s="16">
        <v>7</v>
      </c>
      <c r="F320" s="16"/>
      <c r="G320" s="16"/>
      <c r="H320" s="17">
        <f t="shared" si="34"/>
        <v>242</v>
      </c>
      <c r="I320" s="17">
        <v>235</v>
      </c>
      <c r="J320" s="17">
        <v>8</v>
      </c>
      <c r="K320" s="17"/>
      <c r="L320" s="17"/>
      <c r="M320" s="17">
        <f t="shared" si="35"/>
        <v>243</v>
      </c>
      <c r="N320" s="18">
        <f t="shared" si="36"/>
        <v>1.0041322314049588</v>
      </c>
    </row>
    <row r="321" spans="1:14" ht="19.5">
      <c r="A321" s="68"/>
      <c r="B321" s="99"/>
      <c r="C321" s="19" t="s">
        <v>76</v>
      </c>
      <c r="D321" s="16">
        <f>6506+845</f>
        <v>7351</v>
      </c>
      <c r="E321" s="16"/>
      <c r="F321" s="16"/>
      <c r="G321" s="16"/>
      <c r="H321" s="17">
        <f t="shared" si="34"/>
        <v>7351</v>
      </c>
      <c r="I321" s="17">
        <v>7151</v>
      </c>
      <c r="J321" s="17"/>
      <c r="K321" s="17"/>
      <c r="L321" s="17"/>
      <c r="M321" s="17">
        <f t="shared" si="35"/>
        <v>7151</v>
      </c>
      <c r="N321" s="18">
        <f t="shared" si="36"/>
        <v>0.9727928173037682</v>
      </c>
    </row>
    <row r="322" spans="1:14" ht="19.5">
      <c r="A322" s="68"/>
      <c r="B322" s="100"/>
      <c r="C322" s="19" t="s">
        <v>22</v>
      </c>
      <c r="D322" s="16">
        <f>258037+9</f>
        <v>258046</v>
      </c>
      <c r="E322" s="16">
        <v>3581</v>
      </c>
      <c r="F322" s="16"/>
      <c r="G322" s="16"/>
      <c r="H322" s="17">
        <f t="shared" si="34"/>
        <v>261627</v>
      </c>
      <c r="I322" s="17">
        <v>261195</v>
      </c>
      <c r="J322" s="17">
        <v>3580</v>
      </c>
      <c r="K322" s="17"/>
      <c r="L322" s="17"/>
      <c r="M322" s="17">
        <f t="shared" si="35"/>
        <v>264775</v>
      </c>
      <c r="N322" s="18">
        <f t="shared" si="36"/>
        <v>1.012032397267866</v>
      </c>
    </row>
    <row r="323" spans="1:14" ht="9.75">
      <c r="A323" s="68"/>
      <c r="B323" s="101" t="s">
        <v>237</v>
      </c>
      <c r="C323" s="102"/>
      <c r="D323" s="27">
        <f>SUM(D319:D322)</f>
        <v>908421</v>
      </c>
      <c r="E323" s="27">
        <f>SUM(E319:E322)</f>
        <v>6508</v>
      </c>
      <c r="F323" s="27">
        <f>SUM(F319:F322)</f>
        <v>0</v>
      </c>
      <c r="G323" s="27">
        <f>SUM(G319:G322)</f>
        <v>0</v>
      </c>
      <c r="H323" s="27">
        <f t="shared" si="34"/>
        <v>914929</v>
      </c>
      <c r="I323" s="27">
        <f>SUM(I319:I322)</f>
        <v>910283</v>
      </c>
      <c r="J323" s="27">
        <f>SUM(J319:J322)</f>
        <v>6508</v>
      </c>
      <c r="K323" s="27">
        <f>SUM(K319:K322)</f>
        <v>0</v>
      </c>
      <c r="L323" s="27">
        <f>SUM(L319:L322)</f>
        <v>0</v>
      </c>
      <c r="M323" s="27">
        <f t="shared" si="35"/>
        <v>916791</v>
      </c>
      <c r="N323" s="28">
        <f t="shared" si="36"/>
        <v>1.002035130594833</v>
      </c>
    </row>
    <row r="324" spans="1:14" ht="48.75">
      <c r="A324" s="68"/>
      <c r="B324" s="98" t="s">
        <v>238</v>
      </c>
      <c r="C324" s="19" t="s">
        <v>15</v>
      </c>
      <c r="D324" s="16"/>
      <c r="E324" s="16">
        <v>17800</v>
      </c>
      <c r="F324" s="16"/>
      <c r="G324" s="16"/>
      <c r="H324" s="17">
        <f t="shared" si="34"/>
        <v>17800</v>
      </c>
      <c r="I324" s="17"/>
      <c r="J324" s="17">
        <v>25655</v>
      </c>
      <c r="K324" s="17"/>
      <c r="L324" s="17"/>
      <c r="M324" s="17">
        <f t="shared" si="35"/>
        <v>25655</v>
      </c>
      <c r="N324" s="18">
        <f t="shared" si="36"/>
        <v>1.4412921348314607</v>
      </c>
    </row>
    <row r="325" spans="1:14" ht="9.75">
      <c r="A325" s="68"/>
      <c r="B325" s="99"/>
      <c r="C325" s="35" t="s">
        <v>16</v>
      </c>
      <c r="D325" s="16"/>
      <c r="E325" s="16">
        <f>5000-314+38000</f>
        <v>42686</v>
      </c>
      <c r="F325" s="16"/>
      <c r="G325" s="16"/>
      <c r="H325" s="17">
        <f t="shared" si="34"/>
        <v>42686</v>
      </c>
      <c r="I325" s="17"/>
      <c r="J325" s="17">
        <v>55906</v>
      </c>
      <c r="K325" s="17"/>
      <c r="L325" s="17"/>
      <c r="M325" s="17">
        <f t="shared" si="35"/>
        <v>55906</v>
      </c>
      <c r="N325" s="18">
        <f t="shared" si="36"/>
        <v>1.3097034156397882</v>
      </c>
    </row>
    <row r="326" spans="1:14" ht="9.75">
      <c r="A326" s="68"/>
      <c r="B326" s="99"/>
      <c r="C326" s="19" t="s">
        <v>17</v>
      </c>
      <c r="D326" s="16"/>
      <c r="E326" s="16">
        <v>327</v>
      </c>
      <c r="F326" s="16"/>
      <c r="G326" s="16"/>
      <c r="H326" s="17">
        <f t="shared" si="34"/>
        <v>327</v>
      </c>
      <c r="I326" s="17"/>
      <c r="J326" s="17">
        <v>5406</v>
      </c>
      <c r="K326" s="17"/>
      <c r="L326" s="17"/>
      <c r="M326" s="17">
        <f t="shared" si="35"/>
        <v>5406</v>
      </c>
      <c r="N326" s="18">
        <f t="shared" si="36"/>
        <v>16.53211009174312</v>
      </c>
    </row>
    <row r="327" spans="1:14" ht="19.5">
      <c r="A327" s="68"/>
      <c r="B327" s="99"/>
      <c r="C327" s="19" t="s">
        <v>76</v>
      </c>
      <c r="D327" s="16"/>
      <c r="E327" s="16">
        <v>1200</v>
      </c>
      <c r="F327" s="16"/>
      <c r="G327" s="16"/>
      <c r="H327" s="17">
        <f t="shared" si="34"/>
        <v>1200</v>
      </c>
      <c r="I327" s="17"/>
      <c r="J327" s="17">
        <v>1200</v>
      </c>
      <c r="K327" s="17"/>
      <c r="L327" s="17"/>
      <c r="M327" s="17">
        <f t="shared" si="35"/>
        <v>1200</v>
      </c>
      <c r="N327" s="18">
        <f t="shared" si="36"/>
        <v>1</v>
      </c>
    </row>
    <row r="328" spans="1:14" ht="9.75">
      <c r="A328" s="68"/>
      <c r="B328" s="99"/>
      <c r="C328" s="19" t="s">
        <v>18</v>
      </c>
      <c r="D328" s="16"/>
      <c r="E328" s="16"/>
      <c r="F328" s="16"/>
      <c r="G328" s="16"/>
      <c r="H328" s="17">
        <f aca="true" t="shared" si="37" ref="H328:H359">SUM(D328:G328)</f>
        <v>0</v>
      </c>
      <c r="I328" s="17"/>
      <c r="J328" s="17">
        <v>7</v>
      </c>
      <c r="K328" s="17"/>
      <c r="L328" s="17"/>
      <c r="M328" s="17">
        <f t="shared" si="35"/>
        <v>7</v>
      </c>
      <c r="N328" s="18"/>
    </row>
    <row r="329" spans="1:14" ht="19.5">
      <c r="A329" s="68"/>
      <c r="B329" s="100"/>
      <c r="C329" s="19" t="s">
        <v>22</v>
      </c>
      <c r="D329" s="16"/>
      <c r="E329" s="16">
        <v>66420</v>
      </c>
      <c r="F329" s="16"/>
      <c r="G329" s="16"/>
      <c r="H329" s="17">
        <f t="shared" si="37"/>
        <v>66420</v>
      </c>
      <c r="I329" s="17"/>
      <c r="J329" s="17">
        <v>66420</v>
      </c>
      <c r="K329" s="17"/>
      <c r="L329" s="17"/>
      <c r="M329" s="17">
        <f t="shared" si="35"/>
        <v>66420</v>
      </c>
      <c r="N329" s="18">
        <f>M329/H329</f>
        <v>1</v>
      </c>
    </row>
    <row r="330" spans="1:14" ht="9.75">
      <c r="A330" s="68"/>
      <c r="B330" s="89" t="s">
        <v>239</v>
      </c>
      <c r="C330" s="26"/>
      <c r="D330" s="27">
        <f>SUM(D324:D329)</f>
        <v>0</v>
      </c>
      <c r="E330" s="27">
        <f>SUM(E324:E329)</f>
        <v>128433</v>
      </c>
      <c r="F330" s="27">
        <f>SUM(F324:F329)</f>
        <v>0</v>
      </c>
      <c r="G330" s="27">
        <f>SUM(G324:G329)</f>
        <v>0</v>
      </c>
      <c r="H330" s="27">
        <f t="shared" si="37"/>
        <v>128433</v>
      </c>
      <c r="I330" s="27">
        <f>SUM(I324:I329)</f>
        <v>0</v>
      </c>
      <c r="J330" s="27">
        <f>SUM(J324:J329)</f>
        <v>154594</v>
      </c>
      <c r="K330" s="27">
        <f>SUM(K324:K329)</f>
        <v>0</v>
      </c>
      <c r="L330" s="27">
        <f>SUM(L324:L329)</f>
        <v>0</v>
      </c>
      <c r="M330" s="27">
        <f t="shared" si="35"/>
        <v>154594</v>
      </c>
      <c r="N330" s="28">
        <f>M330/H330</f>
        <v>1.20369375472036</v>
      </c>
    </row>
    <row r="331" spans="1:14" ht="9.75">
      <c r="A331" s="68"/>
      <c r="B331" s="30" t="s">
        <v>240</v>
      </c>
      <c r="C331" s="19" t="s">
        <v>17</v>
      </c>
      <c r="D331" s="16"/>
      <c r="E331" s="16"/>
      <c r="F331" s="16"/>
      <c r="G331" s="16"/>
      <c r="H331" s="17">
        <f t="shared" si="37"/>
        <v>0</v>
      </c>
      <c r="I331" s="17"/>
      <c r="J331" s="17">
        <v>2707</v>
      </c>
      <c r="K331" s="17"/>
      <c r="L331" s="17"/>
      <c r="M331" s="17">
        <f t="shared" si="35"/>
        <v>2707</v>
      </c>
      <c r="N331" s="18"/>
    </row>
    <row r="332" spans="1:14" ht="40.5" customHeight="1">
      <c r="A332" s="68"/>
      <c r="B332" s="41"/>
      <c r="C332" s="19" t="s">
        <v>18</v>
      </c>
      <c r="D332" s="16"/>
      <c r="E332" s="16"/>
      <c r="F332" s="16"/>
      <c r="G332" s="16"/>
      <c r="H332" s="17">
        <f t="shared" si="37"/>
        <v>0</v>
      </c>
      <c r="I332" s="17"/>
      <c r="J332" s="17">
        <v>2491</v>
      </c>
      <c r="K332" s="17"/>
      <c r="L332" s="17"/>
      <c r="M332" s="17">
        <f t="shared" si="35"/>
        <v>2491</v>
      </c>
      <c r="N332" s="18"/>
    </row>
    <row r="333" spans="1:14" ht="9.75">
      <c r="A333" s="68"/>
      <c r="B333" s="89" t="s">
        <v>241</v>
      </c>
      <c r="C333" s="26"/>
      <c r="D333" s="27">
        <f>SUM(D331:D332)</f>
        <v>0</v>
      </c>
      <c r="E333" s="27">
        <f>SUM(E331:E332)</f>
        <v>0</v>
      </c>
      <c r="F333" s="27">
        <f>SUM(F331:F332)</f>
        <v>0</v>
      </c>
      <c r="G333" s="27">
        <f>SUM(G331:G332)</f>
        <v>0</v>
      </c>
      <c r="H333" s="27">
        <f t="shared" si="37"/>
        <v>0</v>
      </c>
      <c r="I333" s="27">
        <f>SUM(I331:I331)</f>
        <v>0</v>
      </c>
      <c r="J333" s="27">
        <f>SUM(J331:J332)</f>
        <v>5198</v>
      </c>
      <c r="K333" s="27">
        <f>SUM(K331:K332)</f>
        <v>0</v>
      </c>
      <c r="L333" s="27">
        <f>SUM(L331:L332)</f>
        <v>0</v>
      </c>
      <c r="M333" s="27">
        <f t="shared" si="35"/>
        <v>5198</v>
      </c>
      <c r="N333" s="28"/>
    </row>
    <row r="334" spans="1:14" ht="48.75">
      <c r="A334" s="68"/>
      <c r="B334" s="98" t="s">
        <v>242</v>
      </c>
      <c r="C334" s="19" t="s">
        <v>15</v>
      </c>
      <c r="D334" s="16"/>
      <c r="E334" s="16">
        <v>11000</v>
      </c>
      <c r="F334" s="16"/>
      <c r="G334" s="16"/>
      <c r="H334" s="17">
        <f t="shared" si="37"/>
        <v>11000</v>
      </c>
      <c r="I334" s="17"/>
      <c r="J334" s="17">
        <v>11030</v>
      </c>
      <c r="K334" s="17"/>
      <c r="L334" s="17"/>
      <c r="M334" s="17">
        <f t="shared" si="35"/>
        <v>11030</v>
      </c>
      <c r="N334" s="18">
        <f>M334/H334</f>
        <v>1.0027272727272727</v>
      </c>
    </row>
    <row r="335" spans="1:14" ht="9.75">
      <c r="A335" s="68"/>
      <c r="B335" s="100"/>
      <c r="C335" s="19" t="s">
        <v>17</v>
      </c>
      <c r="D335" s="16"/>
      <c r="E335" s="16"/>
      <c r="F335" s="16"/>
      <c r="G335" s="16"/>
      <c r="H335" s="17">
        <f t="shared" si="37"/>
        <v>0</v>
      </c>
      <c r="I335" s="17"/>
      <c r="J335" s="17">
        <v>390</v>
      </c>
      <c r="K335" s="17"/>
      <c r="L335" s="17"/>
      <c r="M335" s="17">
        <f t="shared" si="35"/>
        <v>390</v>
      </c>
      <c r="N335" s="18"/>
    </row>
    <row r="336" spans="1:14" ht="9.75">
      <c r="A336" s="68"/>
      <c r="B336" s="89" t="s">
        <v>243</v>
      </c>
      <c r="C336" s="26"/>
      <c r="D336" s="27">
        <f>SUM(D334:D335)</f>
        <v>0</v>
      </c>
      <c r="E336" s="27">
        <f>SUM(E334:E335)</f>
        <v>11000</v>
      </c>
      <c r="F336" s="27">
        <f>SUM(F334:F335)</f>
        <v>0</v>
      </c>
      <c r="G336" s="27">
        <f>SUM(G334:G335)</f>
        <v>0</v>
      </c>
      <c r="H336" s="27">
        <f t="shared" si="37"/>
        <v>11000</v>
      </c>
      <c r="I336" s="27">
        <f>SUM(I334:I335)</f>
        <v>0</v>
      </c>
      <c r="J336" s="27">
        <f>SUM(J334:J335)</f>
        <v>11420</v>
      </c>
      <c r="K336" s="27">
        <f>SUM(K334:K335)</f>
        <v>0</v>
      </c>
      <c r="L336" s="27">
        <f>SUM(L334:L335)</f>
        <v>0</v>
      </c>
      <c r="M336" s="27">
        <f t="shared" si="35"/>
        <v>11420</v>
      </c>
      <c r="N336" s="28">
        <f>M336/H336</f>
        <v>1.038181818181818</v>
      </c>
    </row>
    <row r="337" spans="1:14" ht="48.75">
      <c r="A337" s="68"/>
      <c r="B337" s="30" t="s">
        <v>244</v>
      </c>
      <c r="C337" s="35" t="s">
        <v>15</v>
      </c>
      <c r="D337" s="17"/>
      <c r="E337" s="16">
        <f>248500-120000</f>
        <v>128500</v>
      </c>
      <c r="F337" s="16"/>
      <c r="G337" s="16"/>
      <c r="H337" s="17">
        <f t="shared" si="37"/>
        <v>128500</v>
      </c>
      <c r="I337" s="17"/>
      <c r="J337" s="17">
        <v>102882</v>
      </c>
      <c r="K337" s="17"/>
      <c r="L337" s="17"/>
      <c r="M337" s="17">
        <f t="shared" si="35"/>
        <v>102882</v>
      </c>
      <c r="N337" s="18">
        <f>M337/H337</f>
        <v>0.8006381322957199</v>
      </c>
    </row>
    <row r="338" spans="1:14" ht="9.75">
      <c r="A338" s="68"/>
      <c r="B338" s="33"/>
      <c r="C338" s="19" t="s">
        <v>16</v>
      </c>
      <c r="D338" s="16"/>
      <c r="E338" s="16">
        <f>55397-1534</f>
        <v>53863</v>
      </c>
      <c r="F338" s="16"/>
      <c r="G338" s="16"/>
      <c r="H338" s="17">
        <f t="shared" si="37"/>
        <v>53863</v>
      </c>
      <c r="I338" s="17"/>
      <c r="J338" s="17">
        <v>60263</v>
      </c>
      <c r="K338" s="17"/>
      <c r="L338" s="17"/>
      <c r="M338" s="17">
        <f t="shared" si="35"/>
        <v>60263</v>
      </c>
      <c r="N338" s="18">
        <f>M338/H338</f>
        <v>1.1188199691810705</v>
      </c>
    </row>
    <row r="339" spans="1:14" ht="19.5">
      <c r="A339" s="68"/>
      <c r="B339" s="33"/>
      <c r="C339" s="19" t="s">
        <v>166</v>
      </c>
      <c r="D339" s="16"/>
      <c r="E339" s="16"/>
      <c r="F339" s="16"/>
      <c r="G339" s="16"/>
      <c r="H339" s="17">
        <f t="shared" si="37"/>
        <v>0</v>
      </c>
      <c r="I339" s="17"/>
      <c r="J339" s="17">
        <v>48</v>
      </c>
      <c r="K339" s="17"/>
      <c r="L339" s="17"/>
      <c r="M339" s="17">
        <f t="shared" si="35"/>
        <v>48</v>
      </c>
      <c r="N339" s="18"/>
    </row>
    <row r="340" spans="1:14" ht="9.75">
      <c r="A340" s="68"/>
      <c r="B340" s="33"/>
      <c r="C340" s="19" t="s">
        <v>17</v>
      </c>
      <c r="D340" s="16"/>
      <c r="E340" s="16">
        <v>309</v>
      </c>
      <c r="F340" s="16"/>
      <c r="G340" s="16"/>
      <c r="H340" s="17">
        <f t="shared" si="37"/>
        <v>309</v>
      </c>
      <c r="I340" s="17"/>
      <c r="J340" s="17">
        <v>3449</v>
      </c>
      <c r="K340" s="17"/>
      <c r="L340" s="17"/>
      <c r="M340" s="17">
        <f aca="true" t="shared" si="38" ref="M340:M371">SUM(I340:L340)</f>
        <v>3449</v>
      </c>
      <c r="N340" s="18">
        <f>M340/H340</f>
        <v>11.161812297734627</v>
      </c>
    </row>
    <row r="341" spans="1:14" ht="19.5">
      <c r="A341" s="68"/>
      <c r="B341" s="33"/>
      <c r="C341" s="19" t="s">
        <v>76</v>
      </c>
      <c r="D341" s="16"/>
      <c r="E341" s="16">
        <v>29400</v>
      </c>
      <c r="F341" s="16"/>
      <c r="G341" s="16"/>
      <c r="H341" s="17">
        <f t="shared" si="37"/>
        <v>29400</v>
      </c>
      <c r="I341" s="17"/>
      <c r="J341" s="17">
        <v>29700</v>
      </c>
      <c r="K341" s="17"/>
      <c r="L341" s="17"/>
      <c r="M341" s="17">
        <f t="shared" si="38"/>
        <v>29700</v>
      </c>
      <c r="N341" s="18">
        <f>M341/H341</f>
        <v>1.010204081632653</v>
      </c>
    </row>
    <row r="342" spans="1:14" ht="9.75">
      <c r="A342" s="68"/>
      <c r="B342" s="33"/>
      <c r="C342" s="19" t="s">
        <v>18</v>
      </c>
      <c r="D342" s="16"/>
      <c r="E342" s="16"/>
      <c r="F342" s="16"/>
      <c r="G342" s="16"/>
      <c r="H342" s="17">
        <f t="shared" si="37"/>
        <v>0</v>
      </c>
      <c r="I342" s="17"/>
      <c r="J342" s="17">
        <v>128</v>
      </c>
      <c r="K342" s="17"/>
      <c r="L342" s="17"/>
      <c r="M342" s="17">
        <f t="shared" si="38"/>
        <v>128</v>
      </c>
      <c r="N342" s="18"/>
    </row>
    <row r="343" spans="1:14" ht="19.5">
      <c r="A343" s="68"/>
      <c r="B343" s="33"/>
      <c r="C343" s="19" t="s">
        <v>22</v>
      </c>
      <c r="D343" s="16"/>
      <c r="E343" s="16">
        <v>155789</v>
      </c>
      <c r="F343" s="16"/>
      <c r="G343" s="16"/>
      <c r="H343" s="17">
        <f t="shared" si="37"/>
        <v>155789</v>
      </c>
      <c r="I343" s="17"/>
      <c r="J343" s="17">
        <v>155789</v>
      </c>
      <c r="K343" s="17"/>
      <c r="L343" s="17"/>
      <c r="M343" s="17">
        <f t="shared" si="38"/>
        <v>155789</v>
      </c>
      <c r="N343" s="18">
        <f>M343/H343</f>
        <v>1</v>
      </c>
    </row>
    <row r="344" spans="1:14" ht="29.25">
      <c r="A344" s="68"/>
      <c r="B344" s="41"/>
      <c r="C344" s="23" t="s">
        <v>162</v>
      </c>
      <c r="D344" s="16"/>
      <c r="E344" s="16"/>
      <c r="F344" s="16"/>
      <c r="G344" s="16"/>
      <c r="H344" s="17">
        <f t="shared" si="37"/>
        <v>0</v>
      </c>
      <c r="I344" s="17"/>
      <c r="J344" s="17">
        <v>2291</v>
      </c>
      <c r="K344" s="17"/>
      <c r="L344" s="17"/>
      <c r="M344" s="17">
        <f t="shared" si="38"/>
        <v>2291</v>
      </c>
      <c r="N344" s="18"/>
    </row>
    <row r="345" spans="1:14" ht="9.75">
      <c r="A345" s="68"/>
      <c r="B345" s="103" t="s">
        <v>245</v>
      </c>
      <c r="C345" s="25"/>
      <c r="D345" s="27">
        <f>SUM(D337:D344)</f>
        <v>0</v>
      </c>
      <c r="E345" s="27">
        <f>SUM(E337:E344)</f>
        <v>367861</v>
      </c>
      <c r="F345" s="27">
        <f>SUM(F337:F344)</f>
        <v>0</v>
      </c>
      <c r="G345" s="27">
        <f>SUM(G337:G344)</f>
        <v>0</v>
      </c>
      <c r="H345" s="27">
        <f t="shared" si="37"/>
        <v>367861</v>
      </c>
      <c r="I345" s="27">
        <f>SUM(I337:I344)</f>
        <v>0</v>
      </c>
      <c r="J345" s="27">
        <f>SUM(J337:J344)</f>
        <v>354550</v>
      </c>
      <c r="K345" s="27">
        <f>SUM(K337:K344)</f>
        <v>0</v>
      </c>
      <c r="L345" s="27">
        <f>SUM(L337:L344)</f>
        <v>0</v>
      </c>
      <c r="M345" s="27">
        <f t="shared" si="38"/>
        <v>354550</v>
      </c>
      <c r="N345" s="28">
        <f>M345/H345</f>
        <v>0.9638151366956541</v>
      </c>
    </row>
    <row r="346" spans="1:14" ht="9.75">
      <c r="A346" s="46"/>
      <c r="B346" s="30" t="s">
        <v>246</v>
      </c>
      <c r="C346" s="19" t="s">
        <v>16</v>
      </c>
      <c r="D346" s="17">
        <v>5360</v>
      </c>
      <c r="E346" s="16"/>
      <c r="F346" s="16"/>
      <c r="G346" s="16"/>
      <c r="H346" s="17">
        <f t="shared" si="37"/>
        <v>5360</v>
      </c>
      <c r="I346" s="17">
        <v>5360</v>
      </c>
      <c r="J346" s="17"/>
      <c r="K346" s="17"/>
      <c r="L346" s="17"/>
      <c r="M346" s="17">
        <f t="shared" si="38"/>
        <v>5360</v>
      </c>
      <c r="N346" s="18">
        <f>M346/H346</f>
        <v>1</v>
      </c>
    </row>
    <row r="347" spans="1:14" ht="9.75">
      <c r="A347" s="46"/>
      <c r="B347" s="33"/>
      <c r="C347" s="19" t="s">
        <v>17</v>
      </c>
      <c r="D347" s="17">
        <v>19</v>
      </c>
      <c r="E347" s="16"/>
      <c r="F347" s="16"/>
      <c r="G347" s="16"/>
      <c r="H347" s="17">
        <f t="shared" si="37"/>
        <v>19</v>
      </c>
      <c r="I347" s="17">
        <v>19</v>
      </c>
      <c r="J347" s="17"/>
      <c r="K347" s="17"/>
      <c r="L347" s="17"/>
      <c r="M347" s="17">
        <f t="shared" si="38"/>
        <v>19</v>
      </c>
      <c r="N347" s="18">
        <f>M347/H347</f>
        <v>1</v>
      </c>
    </row>
    <row r="348" spans="1:14" ht="19.5">
      <c r="A348" s="46"/>
      <c r="B348" s="33"/>
      <c r="C348" s="19" t="s">
        <v>76</v>
      </c>
      <c r="D348" s="17">
        <v>1924</v>
      </c>
      <c r="E348" s="16"/>
      <c r="F348" s="16"/>
      <c r="G348" s="16"/>
      <c r="H348" s="17">
        <f t="shared" si="37"/>
        <v>1924</v>
      </c>
      <c r="I348" s="17">
        <v>1923</v>
      </c>
      <c r="J348" s="17"/>
      <c r="K348" s="17"/>
      <c r="L348" s="17"/>
      <c r="M348" s="17">
        <f t="shared" si="38"/>
        <v>1923</v>
      </c>
      <c r="N348" s="18">
        <f>M348/H348</f>
        <v>0.9994802494802495</v>
      </c>
    </row>
    <row r="349" spans="1:14" ht="19.5">
      <c r="A349" s="46"/>
      <c r="B349" s="33"/>
      <c r="C349" s="19" t="s">
        <v>22</v>
      </c>
      <c r="D349" s="17">
        <v>3859</v>
      </c>
      <c r="E349" s="16"/>
      <c r="F349" s="16"/>
      <c r="G349" s="16"/>
      <c r="H349" s="17">
        <f t="shared" si="37"/>
        <v>3859</v>
      </c>
      <c r="I349" s="17">
        <v>3859</v>
      </c>
      <c r="J349" s="17"/>
      <c r="K349" s="17"/>
      <c r="L349" s="17"/>
      <c r="M349" s="17">
        <f t="shared" si="38"/>
        <v>3859</v>
      </c>
      <c r="N349" s="18">
        <f>M349/H349</f>
        <v>1</v>
      </c>
    </row>
    <row r="350" spans="1:14" ht="39">
      <c r="A350" s="46"/>
      <c r="B350" s="41"/>
      <c r="C350" s="19" t="s">
        <v>66</v>
      </c>
      <c r="D350" s="17"/>
      <c r="E350" s="16"/>
      <c r="F350" s="16"/>
      <c r="G350" s="16"/>
      <c r="H350" s="17">
        <f t="shared" si="37"/>
        <v>0</v>
      </c>
      <c r="I350" s="17">
        <v>1563</v>
      </c>
      <c r="J350" s="17"/>
      <c r="K350" s="17"/>
      <c r="L350" s="17"/>
      <c r="M350" s="17">
        <f t="shared" si="38"/>
        <v>1563</v>
      </c>
      <c r="N350" s="18"/>
    </row>
    <row r="351" spans="1:14" ht="9.75">
      <c r="A351" s="104"/>
      <c r="B351" s="103" t="s">
        <v>246</v>
      </c>
      <c r="C351" s="25"/>
      <c r="D351" s="27">
        <f>SUM(D346:D350)</f>
        <v>11162</v>
      </c>
      <c r="E351" s="27">
        <f>SUM(E346:E350)</f>
        <v>0</v>
      </c>
      <c r="F351" s="27">
        <f>SUM(F346:F350)</f>
        <v>0</v>
      </c>
      <c r="G351" s="27">
        <f>SUM(G346:G350)</f>
        <v>0</v>
      </c>
      <c r="H351" s="27">
        <f t="shared" si="37"/>
        <v>11162</v>
      </c>
      <c r="I351" s="27">
        <f>SUM(I346:I350)</f>
        <v>12724</v>
      </c>
      <c r="J351" s="27">
        <f>SUM(J346:J349)</f>
        <v>0</v>
      </c>
      <c r="K351" s="27">
        <f>SUM(K346:K349)</f>
        <v>0</v>
      </c>
      <c r="L351" s="27">
        <f>SUM(L346:L349)</f>
        <v>0</v>
      </c>
      <c r="M351" s="27">
        <f t="shared" si="38"/>
        <v>12724</v>
      </c>
      <c r="N351" s="28">
        <f>M351/H351</f>
        <v>1.1399390790180972</v>
      </c>
    </row>
    <row r="352" spans="1:14" s="32" customFormat="1" ht="9" customHeight="1">
      <c r="A352" s="105"/>
      <c r="B352" s="30" t="s">
        <v>247</v>
      </c>
      <c r="C352" s="19" t="s">
        <v>18</v>
      </c>
      <c r="D352" s="24"/>
      <c r="E352" s="24"/>
      <c r="F352" s="24"/>
      <c r="G352" s="24"/>
      <c r="H352" s="17">
        <f t="shared" si="37"/>
        <v>0</v>
      </c>
      <c r="I352" s="24"/>
      <c r="J352" s="17">
        <v>67</v>
      </c>
      <c r="K352" s="24"/>
      <c r="L352" s="24"/>
      <c r="M352" s="17">
        <f t="shared" si="38"/>
        <v>67</v>
      </c>
      <c r="N352" s="18"/>
    </row>
    <row r="353" spans="1:14" ht="30" customHeight="1">
      <c r="A353" s="104"/>
      <c r="B353" s="33"/>
      <c r="C353" s="19" t="s">
        <v>152</v>
      </c>
      <c r="D353" s="17">
        <f>77685+33592</f>
        <v>111277</v>
      </c>
      <c r="E353" s="16"/>
      <c r="F353" s="16"/>
      <c r="G353" s="16"/>
      <c r="H353" s="17">
        <f t="shared" si="37"/>
        <v>111277</v>
      </c>
      <c r="I353" s="17">
        <v>111277</v>
      </c>
      <c r="J353" s="17"/>
      <c r="K353" s="17"/>
      <c r="L353" s="17"/>
      <c r="M353" s="17">
        <f t="shared" si="38"/>
        <v>111277</v>
      </c>
      <c r="N353" s="18">
        <f aca="true" t="shared" si="39" ref="N353:N361">M353/H353</f>
        <v>1</v>
      </c>
    </row>
    <row r="354" spans="1:14" ht="58.5">
      <c r="A354" s="46"/>
      <c r="B354" s="35"/>
      <c r="C354" s="19" t="s">
        <v>248</v>
      </c>
      <c r="D354" s="17"/>
      <c r="E354" s="16">
        <f>319345+82688</f>
        <v>402033</v>
      </c>
      <c r="F354" s="16"/>
      <c r="G354" s="16"/>
      <c r="H354" s="17">
        <f t="shared" si="37"/>
        <v>402033</v>
      </c>
      <c r="I354" s="17"/>
      <c r="J354" s="17">
        <v>330200</v>
      </c>
      <c r="K354" s="17"/>
      <c r="L354" s="17"/>
      <c r="M354" s="17">
        <f t="shared" si="38"/>
        <v>330200</v>
      </c>
      <c r="N354" s="18">
        <f t="shared" si="39"/>
        <v>0.8213256125740922</v>
      </c>
    </row>
    <row r="355" spans="1:14" ht="58.5">
      <c r="A355" s="104"/>
      <c r="B355" s="31"/>
      <c r="C355" s="23" t="s">
        <v>249</v>
      </c>
      <c r="D355" s="17"/>
      <c r="E355" s="16">
        <f>150111+38823</f>
        <v>188934</v>
      </c>
      <c r="F355" s="16"/>
      <c r="G355" s="16"/>
      <c r="H355" s="17">
        <f t="shared" si="37"/>
        <v>188934</v>
      </c>
      <c r="I355" s="17"/>
      <c r="J355" s="17">
        <v>155031</v>
      </c>
      <c r="K355" s="17"/>
      <c r="L355" s="17"/>
      <c r="M355" s="17">
        <f t="shared" si="38"/>
        <v>155031</v>
      </c>
      <c r="N355" s="18">
        <f t="shared" si="39"/>
        <v>0.8205563847692845</v>
      </c>
    </row>
    <row r="356" spans="1:14" ht="9.75">
      <c r="A356" s="104"/>
      <c r="B356" s="71" t="s">
        <v>250</v>
      </c>
      <c r="C356" s="25"/>
      <c r="D356" s="27">
        <f>SUM(D352:D355)</f>
        <v>111277</v>
      </c>
      <c r="E356" s="27">
        <f>SUM(E352:E355)</f>
        <v>590967</v>
      </c>
      <c r="F356" s="27">
        <f>SUM(F352:F355)</f>
        <v>0</v>
      </c>
      <c r="G356" s="27">
        <f>SUM(G352:G355)</f>
        <v>0</v>
      </c>
      <c r="H356" s="27">
        <f t="shared" si="37"/>
        <v>702244</v>
      </c>
      <c r="I356" s="27">
        <f>SUM(I352:I355)</f>
        <v>111277</v>
      </c>
      <c r="J356" s="27">
        <f>SUM(J352:J355)</f>
        <v>485298</v>
      </c>
      <c r="K356" s="27">
        <f>SUM(K352:K355)</f>
        <v>0</v>
      </c>
      <c r="L356" s="27">
        <f>SUM(L352:L355)</f>
        <v>0</v>
      </c>
      <c r="M356" s="27">
        <f t="shared" si="38"/>
        <v>596575</v>
      </c>
      <c r="N356" s="28">
        <f t="shared" si="39"/>
        <v>0.8495266602491441</v>
      </c>
    </row>
    <row r="357" spans="1:14" ht="11.25" customHeight="1">
      <c r="A357" s="104"/>
      <c r="B357" s="98" t="s">
        <v>251</v>
      </c>
      <c r="C357" s="19" t="s">
        <v>16</v>
      </c>
      <c r="D357" s="17"/>
      <c r="E357" s="16">
        <f>15505+4182+200</f>
        <v>19887</v>
      </c>
      <c r="F357" s="16"/>
      <c r="G357" s="16"/>
      <c r="H357" s="17">
        <f t="shared" si="37"/>
        <v>19887</v>
      </c>
      <c r="I357" s="17"/>
      <c r="J357" s="17">
        <v>19888</v>
      </c>
      <c r="K357" s="17"/>
      <c r="L357" s="17"/>
      <c r="M357" s="17">
        <f t="shared" si="38"/>
        <v>19888</v>
      </c>
      <c r="N357" s="18">
        <f t="shared" si="39"/>
        <v>1.0000502841051944</v>
      </c>
    </row>
    <row r="358" spans="1:14" ht="10.5" customHeight="1">
      <c r="A358" s="104"/>
      <c r="B358" s="99"/>
      <c r="C358" s="19" t="s">
        <v>17</v>
      </c>
      <c r="D358" s="17"/>
      <c r="E358" s="16">
        <f>234+2047</f>
        <v>2281</v>
      </c>
      <c r="F358" s="16"/>
      <c r="G358" s="16"/>
      <c r="H358" s="17">
        <f t="shared" si="37"/>
        <v>2281</v>
      </c>
      <c r="I358" s="17"/>
      <c r="J358" s="17">
        <v>2937</v>
      </c>
      <c r="K358" s="17"/>
      <c r="L358" s="17"/>
      <c r="M358" s="17">
        <f t="shared" si="38"/>
        <v>2937</v>
      </c>
      <c r="N358" s="18">
        <f t="shared" si="39"/>
        <v>1.2875931608943445</v>
      </c>
    </row>
    <row r="359" spans="1:14" ht="9.75">
      <c r="A359" s="104"/>
      <c r="B359" s="99"/>
      <c r="C359" s="19" t="s">
        <v>18</v>
      </c>
      <c r="D359" s="17"/>
      <c r="E359" s="16">
        <v>222</v>
      </c>
      <c r="F359" s="16"/>
      <c r="G359" s="16"/>
      <c r="H359" s="17">
        <f t="shared" si="37"/>
        <v>222</v>
      </c>
      <c r="I359" s="17"/>
      <c r="J359" s="17">
        <v>519</v>
      </c>
      <c r="K359" s="17"/>
      <c r="L359" s="17"/>
      <c r="M359" s="17">
        <f t="shared" si="38"/>
        <v>519</v>
      </c>
      <c r="N359" s="18">
        <f t="shared" si="39"/>
        <v>2.3378378378378377</v>
      </c>
    </row>
    <row r="360" spans="1:14" ht="19.5">
      <c r="A360" s="104"/>
      <c r="B360" s="100"/>
      <c r="C360" s="19" t="s">
        <v>22</v>
      </c>
      <c r="D360" s="17"/>
      <c r="E360" s="16">
        <v>151989</v>
      </c>
      <c r="F360" s="16"/>
      <c r="G360" s="16"/>
      <c r="H360" s="17">
        <f aca="true" t="shared" si="40" ref="H360:H391">SUM(D360:G360)</f>
        <v>151989</v>
      </c>
      <c r="I360" s="17"/>
      <c r="J360" s="17">
        <v>152095</v>
      </c>
      <c r="K360" s="17"/>
      <c r="L360" s="17"/>
      <c r="M360" s="17">
        <f t="shared" si="38"/>
        <v>152095</v>
      </c>
      <c r="N360" s="18">
        <f t="shared" si="39"/>
        <v>1.0006974188921567</v>
      </c>
    </row>
    <row r="361" spans="1:14" ht="9.75">
      <c r="A361" s="46"/>
      <c r="B361" s="26" t="s">
        <v>252</v>
      </c>
      <c r="C361" s="25"/>
      <c r="D361" s="27">
        <f>SUM(D357:D360)</f>
        <v>0</v>
      </c>
      <c r="E361" s="27">
        <f>SUM(E357:E360)</f>
        <v>174379</v>
      </c>
      <c r="F361" s="27">
        <f>SUM(F357:F360)</f>
        <v>0</v>
      </c>
      <c r="G361" s="27">
        <f>SUM(G357:G360)</f>
        <v>0</v>
      </c>
      <c r="H361" s="27">
        <f t="shared" si="40"/>
        <v>174379</v>
      </c>
      <c r="I361" s="27">
        <f>SUM(I357:I360)</f>
        <v>0</v>
      </c>
      <c r="J361" s="27">
        <f>SUM(J357:J360)</f>
        <v>175439</v>
      </c>
      <c r="K361" s="27">
        <f>SUM(K357:K360)</f>
        <v>0</v>
      </c>
      <c r="L361" s="27">
        <f>SUM(L357:L360)</f>
        <v>0</v>
      </c>
      <c r="M361" s="27">
        <f t="shared" si="38"/>
        <v>175439</v>
      </c>
      <c r="N361" s="28">
        <f t="shared" si="39"/>
        <v>1.0060787136065696</v>
      </c>
    </row>
    <row r="362" spans="1:14" ht="39">
      <c r="A362" s="104"/>
      <c r="B362" s="31" t="s">
        <v>253</v>
      </c>
      <c r="C362" s="19" t="s">
        <v>66</v>
      </c>
      <c r="D362" s="17"/>
      <c r="E362" s="16"/>
      <c r="F362" s="16"/>
      <c r="G362" s="16"/>
      <c r="H362" s="17">
        <f t="shared" si="40"/>
        <v>0</v>
      </c>
      <c r="I362" s="17">
        <v>143</v>
      </c>
      <c r="J362" s="17"/>
      <c r="K362" s="17"/>
      <c r="L362" s="17"/>
      <c r="M362" s="17">
        <f t="shared" si="38"/>
        <v>143</v>
      </c>
      <c r="N362" s="18"/>
    </row>
    <row r="363" spans="1:14" ht="9.75">
      <c r="A363" s="106"/>
      <c r="B363" s="89" t="s">
        <v>254</v>
      </c>
      <c r="C363" s="25"/>
      <c r="D363" s="27">
        <f>SUM(D362)</f>
        <v>0</v>
      </c>
      <c r="E363" s="27">
        <f>SUM(E362)</f>
        <v>0</v>
      </c>
      <c r="F363" s="27">
        <f>SUM(F362)</f>
        <v>0</v>
      </c>
      <c r="G363" s="27">
        <f>SUM(G362)</f>
        <v>0</v>
      </c>
      <c r="H363" s="27">
        <f t="shared" si="40"/>
        <v>0</v>
      </c>
      <c r="I363" s="27">
        <f>SUM(I362:I362)</f>
        <v>143</v>
      </c>
      <c r="J363" s="27">
        <f>SUM(J362:J362)</f>
        <v>0</v>
      </c>
      <c r="K363" s="27">
        <f>SUM(K362:K362)</f>
        <v>0</v>
      </c>
      <c r="L363" s="27">
        <f>SUM(L362:L362)</f>
        <v>0</v>
      </c>
      <c r="M363" s="27">
        <f t="shared" si="38"/>
        <v>143</v>
      </c>
      <c r="N363" s="28"/>
    </row>
    <row r="364" spans="1:14" ht="11.25">
      <c r="A364" s="107" t="s">
        <v>255</v>
      </c>
      <c r="B364" s="42"/>
      <c r="C364" s="43"/>
      <c r="D364" s="44">
        <f>SUM(D363,D361,D356,D323,D330,D333,D336,D345,D351)</f>
        <v>1030860</v>
      </c>
      <c r="E364" s="44">
        <f>SUM(E363,E361,E356,E323,E330,E333,E336,E345,E351)</f>
        <v>1279148</v>
      </c>
      <c r="F364" s="44">
        <f>SUM(F363,F361,F356,F323,F330,F333,F336,F345,F351)</f>
        <v>0</v>
      </c>
      <c r="G364" s="44">
        <f>SUM(G363,G361,G356,G323,G330,G333,G336,G345,G351)</f>
        <v>0</v>
      </c>
      <c r="H364" s="44">
        <f t="shared" si="40"/>
        <v>2310008</v>
      </c>
      <c r="I364" s="44">
        <f>SUM(I363,I361,I356,I323,I330,I333,I336,I345,I351)</f>
        <v>1034427</v>
      </c>
      <c r="J364" s="44">
        <f>SUM(J363,J361,J356,J323,J330,J333,J336,J345,J351)</f>
        <v>1193007</v>
      </c>
      <c r="K364" s="44">
        <f>SUM(K363,K361,K356,K323,K330,K333,K336,K345,K351)</f>
        <v>0</v>
      </c>
      <c r="L364" s="44">
        <f>SUM(L363,L361,L356,L323,L330,L333,L336,L345,L351)</f>
        <v>0</v>
      </c>
      <c r="M364" s="44">
        <f t="shared" si="38"/>
        <v>2227434</v>
      </c>
      <c r="N364" s="45">
        <f>M364/H364</f>
        <v>0.9642538034500313</v>
      </c>
    </row>
    <row r="365" spans="1:14" ht="19.5">
      <c r="A365" s="56" t="s">
        <v>256</v>
      </c>
      <c r="B365" s="67" t="s">
        <v>257</v>
      </c>
      <c r="C365" s="19" t="s">
        <v>18</v>
      </c>
      <c r="D365" s="16"/>
      <c r="E365" s="16"/>
      <c r="F365" s="16"/>
      <c r="G365" s="16"/>
      <c r="H365" s="17">
        <f t="shared" si="40"/>
        <v>0</v>
      </c>
      <c r="I365" s="17">
        <v>118</v>
      </c>
      <c r="J365" s="17"/>
      <c r="K365" s="17"/>
      <c r="L365" s="17"/>
      <c r="M365" s="17">
        <f t="shared" si="38"/>
        <v>118</v>
      </c>
      <c r="N365" s="18"/>
    </row>
    <row r="366" spans="1:14" ht="9.75">
      <c r="A366" s="68"/>
      <c r="B366" s="89" t="s">
        <v>258</v>
      </c>
      <c r="C366" s="26"/>
      <c r="D366" s="27">
        <f>SUM(D365)</f>
        <v>0</v>
      </c>
      <c r="E366" s="27">
        <f>SUM(E365)</f>
        <v>0</v>
      </c>
      <c r="F366" s="27">
        <f>SUM(F365)</f>
        <v>0</v>
      </c>
      <c r="G366" s="27">
        <f>SUM(G365)</f>
        <v>0</v>
      </c>
      <c r="H366" s="27">
        <f t="shared" si="40"/>
        <v>0</v>
      </c>
      <c r="I366" s="27">
        <f>SUM(I365)</f>
        <v>118</v>
      </c>
      <c r="J366" s="27">
        <f>SUM(J365)</f>
        <v>0</v>
      </c>
      <c r="K366" s="27">
        <f>SUM(K365)</f>
        <v>0</v>
      </c>
      <c r="L366" s="27">
        <f>SUM(L365)</f>
        <v>0</v>
      </c>
      <c r="M366" s="27">
        <f t="shared" si="38"/>
        <v>118</v>
      </c>
      <c r="N366" s="28"/>
    </row>
    <row r="367" spans="1:14" ht="9.75">
      <c r="A367" s="68"/>
      <c r="B367" s="30" t="s">
        <v>259</v>
      </c>
      <c r="C367" s="19" t="s">
        <v>260</v>
      </c>
      <c r="D367" s="16"/>
      <c r="E367" s="16"/>
      <c r="F367" s="16"/>
      <c r="G367" s="16"/>
      <c r="H367" s="17">
        <f t="shared" si="40"/>
        <v>0</v>
      </c>
      <c r="I367" s="17">
        <v>43693</v>
      </c>
      <c r="J367" s="17"/>
      <c r="K367" s="17"/>
      <c r="L367" s="17"/>
      <c r="M367" s="17">
        <f t="shared" si="38"/>
        <v>43693</v>
      </c>
      <c r="N367" s="18"/>
    </row>
    <row r="368" spans="1:14" ht="9.75">
      <c r="A368" s="68"/>
      <c r="B368" s="41"/>
      <c r="C368" s="19" t="s">
        <v>18</v>
      </c>
      <c r="D368" s="16"/>
      <c r="E368" s="16"/>
      <c r="F368" s="16"/>
      <c r="G368" s="16"/>
      <c r="H368" s="17">
        <f t="shared" si="40"/>
        <v>0</v>
      </c>
      <c r="I368" s="17">
        <v>1610</v>
      </c>
      <c r="J368" s="17"/>
      <c r="K368" s="17"/>
      <c r="L368" s="17"/>
      <c r="M368" s="17">
        <f t="shared" si="38"/>
        <v>1610</v>
      </c>
      <c r="N368" s="18"/>
    </row>
    <row r="369" spans="1:14" ht="9.75">
      <c r="A369" s="68"/>
      <c r="B369" s="89" t="s">
        <v>261</v>
      </c>
      <c r="C369" s="26"/>
      <c r="D369" s="27">
        <f>SUM(D367:D368)</f>
        <v>0</v>
      </c>
      <c r="E369" s="27">
        <f>SUM(E367:E368)</f>
        <v>0</v>
      </c>
      <c r="F369" s="27">
        <f>SUM(F367:F368)</f>
        <v>0</v>
      </c>
      <c r="G369" s="27">
        <f>SUM(G367:G368)</f>
        <v>0</v>
      </c>
      <c r="H369" s="27">
        <f t="shared" si="40"/>
        <v>0</v>
      </c>
      <c r="I369" s="27">
        <f>SUM(I367:I368)</f>
        <v>45303</v>
      </c>
      <c r="J369" s="27">
        <f>SUM(J367:J368)</f>
        <v>0</v>
      </c>
      <c r="K369" s="27">
        <f>SUM(K367:K368)</f>
        <v>0</v>
      </c>
      <c r="L369" s="27">
        <f>SUM(L367:L368)</f>
        <v>0</v>
      </c>
      <c r="M369" s="27">
        <f t="shared" si="38"/>
        <v>45303</v>
      </c>
      <c r="N369" s="28"/>
    </row>
    <row r="370" spans="1:14" ht="40.5" customHeight="1">
      <c r="A370" s="68"/>
      <c r="B370" s="34" t="s">
        <v>262</v>
      </c>
      <c r="C370" s="19" t="s">
        <v>17</v>
      </c>
      <c r="D370" s="16"/>
      <c r="E370" s="16"/>
      <c r="F370" s="16"/>
      <c r="G370" s="16"/>
      <c r="H370" s="17">
        <f t="shared" si="40"/>
        <v>0</v>
      </c>
      <c r="I370" s="17">
        <v>47998</v>
      </c>
      <c r="J370" s="17">
        <v>4450</v>
      </c>
      <c r="K370" s="17"/>
      <c r="L370" s="17"/>
      <c r="M370" s="17">
        <f t="shared" si="38"/>
        <v>52448</v>
      </c>
      <c r="N370" s="18"/>
    </row>
    <row r="371" spans="1:14" ht="9.75">
      <c r="A371" s="68"/>
      <c r="B371" s="89" t="s">
        <v>263</v>
      </c>
      <c r="C371" s="26"/>
      <c r="D371" s="27">
        <f>SUM(D370:D370)</f>
        <v>0</v>
      </c>
      <c r="E371" s="27">
        <f>SUM(E370:E370)</f>
        <v>0</v>
      </c>
      <c r="F371" s="27">
        <f>SUM(F370:F370)</f>
        <v>0</v>
      </c>
      <c r="G371" s="27">
        <f>SUM(G370:G370)</f>
        <v>0</v>
      </c>
      <c r="H371" s="27">
        <f t="shared" si="40"/>
        <v>0</v>
      </c>
      <c r="I371" s="27">
        <f>SUM(I370:I370)</f>
        <v>47998</v>
      </c>
      <c r="J371" s="27">
        <f>SUM(J370:J370)</f>
        <v>4450</v>
      </c>
      <c r="K371" s="27">
        <f>SUM(K370:K370)</f>
        <v>0</v>
      </c>
      <c r="L371" s="27">
        <f>SUM(L370:L370)</f>
        <v>0</v>
      </c>
      <c r="M371" s="27">
        <f t="shared" si="38"/>
        <v>52448</v>
      </c>
      <c r="N371" s="28"/>
    </row>
    <row r="372" spans="1:14" ht="38.25" customHeight="1">
      <c r="A372" s="68"/>
      <c r="B372" s="23" t="s">
        <v>264</v>
      </c>
      <c r="C372" s="19" t="s">
        <v>19</v>
      </c>
      <c r="D372" s="16"/>
      <c r="E372" s="16"/>
      <c r="F372" s="16"/>
      <c r="G372" s="16"/>
      <c r="H372" s="17">
        <f t="shared" si="40"/>
        <v>0</v>
      </c>
      <c r="I372" s="17">
        <v>59701</v>
      </c>
      <c r="J372" s="17"/>
      <c r="K372" s="17"/>
      <c r="L372" s="17"/>
      <c r="M372" s="17">
        <f aca="true" t="shared" si="41" ref="M372:M403">SUM(I372:L372)</f>
        <v>59701</v>
      </c>
      <c r="N372" s="18"/>
    </row>
    <row r="373" spans="1:14" ht="9.75">
      <c r="A373" s="68"/>
      <c r="B373" s="89" t="s">
        <v>265</v>
      </c>
      <c r="C373" s="26"/>
      <c r="D373" s="27">
        <f>SUM(D372:D372)</f>
        <v>0</v>
      </c>
      <c r="E373" s="27">
        <f>SUM(E372:E372)</f>
        <v>0</v>
      </c>
      <c r="F373" s="27">
        <f>SUM(F372:F372)</f>
        <v>0</v>
      </c>
      <c r="G373" s="27">
        <f>SUM(G372:G372)</f>
        <v>0</v>
      </c>
      <c r="H373" s="27">
        <f t="shared" si="40"/>
        <v>0</v>
      </c>
      <c r="I373" s="27">
        <f>SUM(I372:I372)</f>
        <v>59701</v>
      </c>
      <c r="J373" s="27">
        <f>SUM(J372:J372)</f>
        <v>0</v>
      </c>
      <c r="K373" s="27">
        <f>SUM(K372:K372)</f>
        <v>0</v>
      </c>
      <c r="L373" s="27">
        <f>SUM(L372:L372)</f>
        <v>0</v>
      </c>
      <c r="M373" s="27">
        <f t="shared" si="41"/>
        <v>59701</v>
      </c>
      <c r="N373" s="28"/>
    </row>
    <row r="374" spans="1:14" ht="48.75">
      <c r="A374" s="68"/>
      <c r="B374" s="108" t="s">
        <v>266</v>
      </c>
      <c r="C374" s="19" t="s">
        <v>15</v>
      </c>
      <c r="D374" s="16">
        <v>36690</v>
      </c>
      <c r="E374" s="16"/>
      <c r="F374" s="16"/>
      <c r="G374" s="16"/>
      <c r="H374" s="17">
        <f t="shared" si="40"/>
        <v>36690</v>
      </c>
      <c r="I374" s="17">
        <v>36250</v>
      </c>
      <c r="J374" s="17"/>
      <c r="K374" s="17"/>
      <c r="L374" s="17"/>
      <c r="M374" s="17">
        <f t="shared" si="41"/>
        <v>36250</v>
      </c>
      <c r="N374" s="18">
        <f>M374/H374</f>
        <v>0.9880076315072227</v>
      </c>
    </row>
    <row r="375" spans="1:14" ht="9.75">
      <c r="A375" s="104"/>
      <c r="B375" s="108"/>
      <c r="C375" s="19" t="s">
        <v>17</v>
      </c>
      <c r="D375" s="16"/>
      <c r="E375" s="16"/>
      <c r="F375" s="16"/>
      <c r="G375" s="16"/>
      <c r="H375" s="17">
        <f t="shared" si="40"/>
        <v>0</v>
      </c>
      <c r="I375" s="17">
        <v>5</v>
      </c>
      <c r="J375" s="17"/>
      <c r="K375" s="17"/>
      <c r="L375" s="17"/>
      <c r="M375" s="17">
        <f t="shared" si="41"/>
        <v>5</v>
      </c>
      <c r="N375" s="18"/>
    </row>
    <row r="376" spans="1:14" ht="9.75">
      <c r="A376" s="104"/>
      <c r="B376" s="89" t="s">
        <v>267</v>
      </c>
      <c r="C376" s="26"/>
      <c r="D376" s="27">
        <f>SUM(D374:D375)</f>
        <v>36690</v>
      </c>
      <c r="E376" s="27">
        <f>SUM(E374:E375)</f>
        <v>0</v>
      </c>
      <c r="F376" s="27">
        <f>SUM(F374:F375)</f>
        <v>0</v>
      </c>
      <c r="G376" s="27">
        <f>SUM(G374:G375)</f>
        <v>0</v>
      </c>
      <c r="H376" s="27">
        <f t="shared" si="40"/>
        <v>36690</v>
      </c>
      <c r="I376" s="27">
        <f>SUM(I374:I375)</f>
        <v>36255</v>
      </c>
      <c r="J376" s="27">
        <f>SUM(J374:J375)</f>
        <v>0</v>
      </c>
      <c r="K376" s="27">
        <f>SUM(K374:K375)</f>
        <v>0</v>
      </c>
      <c r="L376" s="27">
        <f>SUM(L374:L375)</f>
        <v>0</v>
      </c>
      <c r="M376" s="27">
        <f t="shared" si="41"/>
        <v>36255</v>
      </c>
      <c r="N376" s="28">
        <f>M376/H376</f>
        <v>0.9881439084219134</v>
      </c>
    </row>
    <row r="377" spans="1:14" ht="50.25" customHeight="1">
      <c r="A377" s="104"/>
      <c r="B377" s="108" t="s">
        <v>268</v>
      </c>
      <c r="C377" s="19" t="s">
        <v>269</v>
      </c>
      <c r="D377" s="16">
        <f>1741588-300000</f>
        <v>1441588</v>
      </c>
      <c r="E377" s="16"/>
      <c r="F377" s="16"/>
      <c r="G377" s="16"/>
      <c r="H377" s="17">
        <f t="shared" si="40"/>
        <v>1441588</v>
      </c>
      <c r="I377" s="17">
        <v>1441588</v>
      </c>
      <c r="J377" s="17"/>
      <c r="K377" s="17"/>
      <c r="L377" s="17"/>
      <c r="M377" s="17">
        <f t="shared" si="41"/>
        <v>1441588</v>
      </c>
      <c r="N377" s="18">
        <f>M377/H377</f>
        <v>1</v>
      </c>
    </row>
    <row r="378" spans="1:14" ht="39">
      <c r="A378" s="104"/>
      <c r="B378" s="108"/>
      <c r="C378" s="19" t="s">
        <v>35</v>
      </c>
      <c r="D378" s="16"/>
      <c r="E378" s="16"/>
      <c r="F378" s="16"/>
      <c r="G378" s="16"/>
      <c r="H378" s="17">
        <f t="shared" si="40"/>
        <v>0</v>
      </c>
      <c r="I378" s="17">
        <v>1583167</v>
      </c>
      <c r="J378" s="17"/>
      <c r="K378" s="17"/>
      <c r="L378" s="17"/>
      <c r="M378" s="17">
        <f t="shared" si="41"/>
        <v>1583167</v>
      </c>
      <c r="N378" s="18"/>
    </row>
    <row r="379" spans="1:14" ht="9.75">
      <c r="A379" s="106"/>
      <c r="B379" s="69" t="s">
        <v>270</v>
      </c>
      <c r="C379" s="25"/>
      <c r="D379" s="27">
        <f>SUM(D377:D378)</f>
        <v>1441588</v>
      </c>
      <c r="E379" s="27">
        <f>SUM(E377:E378)</f>
        <v>0</v>
      </c>
      <c r="F379" s="27">
        <f>SUM(F377:F378)</f>
        <v>0</v>
      </c>
      <c r="G379" s="27">
        <f>SUM(G377:G378)</f>
        <v>0</v>
      </c>
      <c r="H379" s="27">
        <f t="shared" si="40"/>
        <v>1441588</v>
      </c>
      <c r="I379" s="27">
        <f>SUM(I377:I378)</f>
        <v>3024755</v>
      </c>
      <c r="J379" s="27">
        <f>SUM(J377:J378)</f>
        <v>0</v>
      </c>
      <c r="K379" s="27">
        <f>SUM(K377:K378)</f>
        <v>0</v>
      </c>
      <c r="L379" s="27">
        <f>SUM(L377:L378)</f>
        <v>0</v>
      </c>
      <c r="M379" s="27">
        <f t="shared" si="41"/>
        <v>3024755</v>
      </c>
      <c r="N379" s="28">
        <f aca="true" t="shared" si="42" ref="N379:N384">M379/H379</f>
        <v>2.098210445702933</v>
      </c>
    </row>
    <row r="380" spans="1:14" ht="11.25">
      <c r="A380" s="107" t="s">
        <v>271</v>
      </c>
      <c r="B380" s="66"/>
      <c r="C380" s="43"/>
      <c r="D380" s="44">
        <f>SUM(D379,D376,D373,D369,D366,D371)</f>
        <v>1478278</v>
      </c>
      <c r="E380" s="44">
        <f>SUM(E379,E376,E373,E369,E366,E371)</f>
        <v>0</v>
      </c>
      <c r="F380" s="44">
        <f>SUM(F379,F376,F373,F369,F366,F371)</f>
        <v>0</v>
      </c>
      <c r="G380" s="44">
        <f>SUM(G379,G376,G373,G369,G366,G371)</f>
        <v>0</v>
      </c>
      <c r="H380" s="44">
        <f t="shared" si="40"/>
        <v>1478278</v>
      </c>
      <c r="I380" s="44">
        <f>SUM(I379,I376,I369,I373,I366,I371)</f>
        <v>3214130</v>
      </c>
      <c r="J380" s="44">
        <f>SUM(J379,J376,J369,J373,J366,J371)</f>
        <v>4450</v>
      </c>
      <c r="K380" s="44">
        <f>SUM(K379,K376,K369,K373,K366,K371)</f>
        <v>0</v>
      </c>
      <c r="L380" s="44">
        <f>SUM(L379,L376,L369,L373,L366,L371)</f>
        <v>0</v>
      </c>
      <c r="M380" s="44">
        <f t="shared" si="41"/>
        <v>3218580</v>
      </c>
      <c r="N380" s="45">
        <f t="shared" si="42"/>
        <v>2.177249475403138</v>
      </c>
    </row>
    <row r="381" spans="1:14" s="32" customFormat="1" ht="39">
      <c r="A381" s="56" t="s">
        <v>272</v>
      </c>
      <c r="B381" s="23" t="s">
        <v>273</v>
      </c>
      <c r="C381" s="23" t="s">
        <v>60</v>
      </c>
      <c r="D381" s="16">
        <v>80000</v>
      </c>
      <c r="E381" s="57"/>
      <c r="F381" s="57"/>
      <c r="G381" s="57"/>
      <c r="H381" s="17">
        <f t="shared" si="40"/>
        <v>80000</v>
      </c>
      <c r="I381" s="17">
        <v>80000</v>
      </c>
      <c r="J381" s="57"/>
      <c r="K381" s="57"/>
      <c r="L381" s="57"/>
      <c r="M381" s="17">
        <f t="shared" si="41"/>
        <v>80000</v>
      </c>
      <c r="N381" s="18">
        <f t="shared" si="42"/>
        <v>1</v>
      </c>
    </row>
    <row r="382" spans="1:14" ht="9.75">
      <c r="A382" s="68"/>
      <c r="B382" s="26" t="s">
        <v>274</v>
      </c>
      <c r="C382" s="26"/>
      <c r="D382" s="27">
        <f>SUM(D381:D381)</f>
        <v>80000</v>
      </c>
      <c r="E382" s="27">
        <f>SUM(E381:E381)</f>
        <v>0</v>
      </c>
      <c r="F382" s="27">
        <f>SUM(F381:F381)</f>
        <v>0</v>
      </c>
      <c r="G382" s="27">
        <f>SUM(G381:G381)</f>
        <v>0</v>
      </c>
      <c r="H382" s="27">
        <f t="shared" si="40"/>
        <v>80000</v>
      </c>
      <c r="I382" s="27">
        <f>SUM(I381:I381)</f>
        <v>80000</v>
      </c>
      <c r="J382" s="27">
        <f>SUM(J381:J381)</f>
        <v>0</v>
      </c>
      <c r="K382" s="27">
        <f>SUM(K381:K381)</f>
        <v>0</v>
      </c>
      <c r="L382" s="27">
        <f>SUM(L381:L381)</f>
        <v>0</v>
      </c>
      <c r="M382" s="27">
        <f t="shared" si="41"/>
        <v>80000</v>
      </c>
      <c r="N382" s="28">
        <f t="shared" si="42"/>
        <v>1</v>
      </c>
    </row>
    <row r="383" spans="1:14" s="32" customFormat="1" ht="39">
      <c r="A383" s="68"/>
      <c r="B383" s="23" t="s">
        <v>275</v>
      </c>
      <c r="C383" s="23" t="s">
        <v>60</v>
      </c>
      <c r="D383" s="16">
        <v>180000</v>
      </c>
      <c r="E383" s="57"/>
      <c r="F383" s="57"/>
      <c r="G383" s="57"/>
      <c r="H383" s="17">
        <f t="shared" si="40"/>
        <v>180000</v>
      </c>
      <c r="I383" s="17">
        <v>180000</v>
      </c>
      <c r="J383" s="57"/>
      <c r="K383" s="57"/>
      <c r="L383" s="57"/>
      <c r="M383" s="17">
        <f t="shared" si="41"/>
        <v>180000</v>
      </c>
      <c r="N383" s="18">
        <f t="shared" si="42"/>
        <v>1</v>
      </c>
    </row>
    <row r="384" spans="1:14" ht="9.75">
      <c r="A384" s="68"/>
      <c r="B384" s="26" t="s">
        <v>276</v>
      </c>
      <c r="C384" s="26"/>
      <c r="D384" s="27">
        <f>SUM(D383:D383)</f>
        <v>180000</v>
      </c>
      <c r="E384" s="27">
        <f>SUM(E383:E383)</f>
        <v>0</v>
      </c>
      <c r="F384" s="27">
        <f>SUM(F383:F383)</f>
        <v>0</v>
      </c>
      <c r="G384" s="27">
        <f>SUM(G383:G383)</f>
        <v>0</v>
      </c>
      <c r="H384" s="27">
        <f t="shared" si="40"/>
        <v>180000</v>
      </c>
      <c r="I384" s="27">
        <f>SUM(I383:I383)</f>
        <v>180000</v>
      </c>
      <c r="J384" s="27">
        <f>SUM(J383:J383)</f>
        <v>0</v>
      </c>
      <c r="K384" s="27">
        <f>SUM(K383:K383)</f>
        <v>0</v>
      </c>
      <c r="L384" s="27">
        <f>SUM(L383:L383)</f>
        <v>0</v>
      </c>
      <c r="M384" s="27">
        <f t="shared" si="41"/>
        <v>180000</v>
      </c>
      <c r="N384" s="28">
        <f t="shared" si="42"/>
        <v>1</v>
      </c>
    </row>
    <row r="385" spans="1:14" s="32" customFormat="1" ht="11.25">
      <c r="A385" s="104"/>
      <c r="B385" s="30" t="s">
        <v>277</v>
      </c>
      <c r="C385" s="19" t="s">
        <v>18</v>
      </c>
      <c r="D385" s="57"/>
      <c r="E385" s="57"/>
      <c r="F385" s="57"/>
      <c r="G385" s="57"/>
      <c r="H385" s="17">
        <f t="shared" si="40"/>
        <v>0</v>
      </c>
      <c r="I385" s="17">
        <v>2016</v>
      </c>
      <c r="J385" s="57"/>
      <c r="K385" s="57"/>
      <c r="L385" s="57"/>
      <c r="M385" s="17">
        <f t="shared" si="41"/>
        <v>2016</v>
      </c>
      <c r="N385" s="18"/>
    </row>
    <row r="386" spans="1:14" ht="39">
      <c r="A386" s="104"/>
      <c r="B386" s="33"/>
      <c r="C386" s="19" t="s">
        <v>66</v>
      </c>
      <c r="D386" s="16"/>
      <c r="E386" s="16"/>
      <c r="F386" s="16"/>
      <c r="G386" s="16"/>
      <c r="H386" s="17">
        <f t="shared" si="40"/>
        <v>0</v>
      </c>
      <c r="I386" s="17">
        <v>464</v>
      </c>
      <c r="J386" s="17"/>
      <c r="K386" s="17"/>
      <c r="L386" s="17"/>
      <c r="M386" s="17">
        <f t="shared" si="41"/>
        <v>464</v>
      </c>
      <c r="N386" s="18"/>
    </row>
    <row r="387" spans="1:14" ht="39">
      <c r="A387" s="104"/>
      <c r="B387" s="41"/>
      <c r="C387" s="23" t="s">
        <v>278</v>
      </c>
      <c r="D387" s="16">
        <v>1000000</v>
      </c>
      <c r="E387" s="16"/>
      <c r="F387" s="16"/>
      <c r="G387" s="16"/>
      <c r="H387" s="17">
        <f t="shared" si="40"/>
        <v>1000000</v>
      </c>
      <c r="I387" s="17">
        <v>1000000</v>
      </c>
      <c r="J387" s="17"/>
      <c r="K387" s="17"/>
      <c r="L387" s="17"/>
      <c r="M387" s="17">
        <f t="shared" si="41"/>
        <v>1000000</v>
      </c>
      <c r="N387" s="18">
        <f>M387/H387</f>
        <v>1</v>
      </c>
    </row>
    <row r="388" spans="1:14" ht="9.75">
      <c r="A388" s="106"/>
      <c r="B388" s="69" t="s">
        <v>279</v>
      </c>
      <c r="C388" s="25"/>
      <c r="D388" s="27">
        <f>SUM(D385:D387)</f>
        <v>1000000</v>
      </c>
      <c r="E388" s="27">
        <f>SUM(E385:E387)</f>
        <v>0</v>
      </c>
      <c r="F388" s="27">
        <f>SUM(F385:F387)</f>
        <v>0</v>
      </c>
      <c r="G388" s="27">
        <f>SUM(G385:G387)</f>
        <v>0</v>
      </c>
      <c r="H388" s="27">
        <f t="shared" si="40"/>
        <v>1000000</v>
      </c>
      <c r="I388" s="27">
        <f>SUM(I385:I387)</f>
        <v>1002480</v>
      </c>
      <c r="J388" s="27">
        <f>SUM(J385:J387)</f>
        <v>0</v>
      </c>
      <c r="K388" s="27">
        <f>SUM(K385:K387)</f>
        <v>0</v>
      </c>
      <c r="L388" s="27">
        <f>SUM(L385:L387)</f>
        <v>0</v>
      </c>
      <c r="M388" s="27">
        <f t="shared" si="41"/>
        <v>1002480</v>
      </c>
      <c r="N388" s="28">
        <f>M388/H388</f>
        <v>1.00248</v>
      </c>
    </row>
    <row r="389" spans="1:14" ht="11.25">
      <c r="A389" s="42" t="s">
        <v>272</v>
      </c>
      <c r="B389" s="109"/>
      <c r="C389" s="43"/>
      <c r="D389" s="44">
        <f>SUM(D388,D382,D384)</f>
        <v>1260000</v>
      </c>
      <c r="E389" s="44">
        <f>SUM(E388,E382,E384)</f>
        <v>0</v>
      </c>
      <c r="F389" s="44">
        <f>SUM(F388,F382,F384)</f>
        <v>0</v>
      </c>
      <c r="G389" s="44">
        <f>SUM(G388,G382,G384)</f>
        <v>0</v>
      </c>
      <c r="H389" s="44">
        <f t="shared" si="40"/>
        <v>1260000</v>
      </c>
      <c r="I389" s="44">
        <f>SUM(I388,I382,I384)</f>
        <v>1262480</v>
      </c>
      <c r="J389" s="44">
        <f>SUM(J388,J382,J384)</f>
        <v>0</v>
      </c>
      <c r="K389" s="44">
        <f>SUM(K388,K382,K384)</f>
        <v>0</v>
      </c>
      <c r="L389" s="44">
        <f>SUM(L388,L382,L384)</f>
        <v>0</v>
      </c>
      <c r="M389" s="44">
        <f t="shared" si="41"/>
        <v>1262480</v>
      </c>
      <c r="N389" s="45">
        <f>M389/H389</f>
        <v>1.001968253968254</v>
      </c>
    </row>
    <row r="390" spans="1:14" ht="9.75">
      <c r="A390" s="56" t="s">
        <v>280</v>
      </c>
      <c r="B390" s="30" t="s">
        <v>281</v>
      </c>
      <c r="C390" s="19" t="s">
        <v>14</v>
      </c>
      <c r="D390" s="16">
        <v>100000</v>
      </c>
      <c r="E390" s="16"/>
      <c r="F390" s="16"/>
      <c r="G390" s="16"/>
      <c r="H390" s="17">
        <f t="shared" si="40"/>
        <v>100000</v>
      </c>
      <c r="I390" s="17">
        <v>155248</v>
      </c>
      <c r="J390" s="17"/>
      <c r="K390" s="17"/>
      <c r="L390" s="17"/>
      <c r="M390" s="17">
        <f t="shared" si="41"/>
        <v>155248</v>
      </c>
      <c r="N390" s="18">
        <f>M390/H390</f>
        <v>1.55248</v>
      </c>
    </row>
    <row r="391" spans="1:14" ht="9.75">
      <c r="A391" s="68"/>
      <c r="B391" s="33"/>
      <c r="C391" s="19" t="s">
        <v>17</v>
      </c>
      <c r="D391" s="16"/>
      <c r="E391" s="16"/>
      <c r="F391" s="16"/>
      <c r="G391" s="16"/>
      <c r="H391" s="17">
        <f t="shared" si="40"/>
        <v>0</v>
      </c>
      <c r="I391" s="17">
        <v>8961</v>
      </c>
      <c r="J391" s="17"/>
      <c r="K391" s="17"/>
      <c r="L391" s="17"/>
      <c r="M391" s="17">
        <f t="shared" si="41"/>
        <v>8961</v>
      </c>
      <c r="N391" s="18"/>
    </row>
    <row r="392" spans="1:14" ht="9.75">
      <c r="A392" s="68"/>
      <c r="B392" s="41"/>
      <c r="C392" s="19" t="s">
        <v>18</v>
      </c>
      <c r="D392" s="16"/>
      <c r="E392" s="16"/>
      <c r="F392" s="16"/>
      <c r="G392" s="16"/>
      <c r="H392" s="17">
        <f>SUM(D392:G392)</f>
        <v>0</v>
      </c>
      <c r="I392" s="17">
        <v>2640407</v>
      </c>
      <c r="J392" s="17"/>
      <c r="K392" s="17"/>
      <c r="L392" s="17"/>
      <c r="M392" s="17">
        <f t="shared" si="41"/>
        <v>2640407</v>
      </c>
      <c r="N392" s="18"/>
    </row>
    <row r="393" spans="1:14" ht="9.75">
      <c r="A393" s="68"/>
      <c r="B393" s="26" t="s">
        <v>282</v>
      </c>
      <c r="C393" s="26"/>
      <c r="D393" s="27">
        <f>SUM(D390:D392)</f>
        <v>100000</v>
      </c>
      <c r="E393" s="27">
        <f>SUM(E390:E392)</f>
        <v>0</v>
      </c>
      <c r="F393" s="27">
        <f>SUM(F390:F392)</f>
        <v>0</v>
      </c>
      <c r="G393" s="27">
        <f>SUM(G390:G392)</f>
        <v>0</v>
      </c>
      <c r="H393" s="27">
        <f>SUM(D393:G393)</f>
        <v>100000</v>
      </c>
      <c r="I393" s="27">
        <f>SUM(I390:I392)</f>
        <v>2804616</v>
      </c>
      <c r="J393" s="27">
        <f>SUM(J390:J392)</f>
        <v>0</v>
      </c>
      <c r="K393" s="27">
        <f>SUM(K390:K392)</f>
        <v>0</v>
      </c>
      <c r="L393" s="27">
        <f>SUM(L390:L392)</f>
        <v>0</v>
      </c>
      <c r="M393" s="27">
        <f t="shared" si="41"/>
        <v>2804616</v>
      </c>
      <c r="N393" s="28">
        <f>M393/H393</f>
        <v>28.04616</v>
      </c>
    </row>
    <row r="394" spans="1:14" ht="48.75">
      <c r="A394" s="68"/>
      <c r="B394" s="30" t="s">
        <v>283</v>
      </c>
      <c r="C394" s="19" t="s">
        <v>15</v>
      </c>
      <c r="D394" s="16">
        <f>230000+60000</f>
        <v>290000</v>
      </c>
      <c r="E394" s="16"/>
      <c r="F394" s="16"/>
      <c r="G394" s="16"/>
      <c r="H394" s="17">
        <f>SUM(D394:G394)</f>
        <v>290000</v>
      </c>
      <c r="I394" s="17">
        <v>291728</v>
      </c>
      <c r="J394" s="17"/>
      <c r="K394" s="17"/>
      <c r="L394" s="17"/>
      <c r="M394" s="17">
        <f t="shared" si="41"/>
        <v>291728</v>
      </c>
      <c r="N394" s="18">
        <f>M394/H394</f>
        <v>1.0059586206896551</v>
      </c>
    </row>
    <row r="395" spans="1:14" ht="9.75">
      <c r="A395" s="68"/>
      <c r="B395" s="33"/>
      <c r="C395" s="19" t="s">
        <v>17</v>
      </c>
      <c r="D395" s="16"/>
      <c r="E395" s="16"/>
      <c r="F395" s="16"/>
      <c r="G395" s="16"/>
      <c r="H395" s="17">
        <f>SUM(D395:G395)</f>
        <v>0</v>
      </c>
      <c r="I395" s="17">
        <v>11422</v>
      </c>
      <c r="J395" s="17"/>
      <c r="K395" s="17"/>
      <c r="L395" s="17"/>
      <c r="M395" s="17">
        <f t="shared" si="41"/>
        <v>11422</v>
      </c>
      <c r="N395" s="18"/>
    </row>
    <row r="396" spans="1:14" ht="9.75">
      <c r="A396" s="68"/>
      <c r="B396" s="33"/>
      <c r="C396" s="19" t="s">
        <v>18</v>
      </c>
      <c r="D396" s="16">
        <v>10725</v>
      </c>
      <c r="E396" s="16"/>
      <c r="F396" s="16"/>
      <c r="G396" s="16"/>
      <c r="H396" s="17">
        <f>SUM(D396:G396)</f>
        <v>10725</v>
      </c>
      <c r="I396" s="17">
        <v>9681</v>
      </c>
      <c r="J396" s="17"/>
      <c r="K396" s="17"/>
      <c r="L396" s="17"/>
      <c r="M396" s="17">
        <f t="shared" si="41"/>
        <v>9681</v>
      </c>
      <c r="N396" s="18">
        <f>M396/H396</f>
        <v>0.9026573426573427</v>
      </c>
    </row>
    <row r="397" spans="1:14" ht="19.5">
      <c r="A397" s="68"/>
      <c r="B397" s="41"/>
      <c r="C397" s="19" t="s">
        <v>22</v>
      </c>
      <c r="D397" s="16">
        <v>18332</v>
      </c>
      <c r="E397" s="16"/>
      <c r="F397" s="16"/>
      <c r="G397" s="16"/>
      <c r="H397" s="17">
        <f>SUM(D397:G397)</f>
        <v>18332</v>
      </c>
      <c r="I397" s="17">
        <v>18333</v>
      </c>
      <c r="J397" s="17"/>
      <c r="K397" s="17"/>
      <c r="L397" s="17"/>
      <c r="M397" s="17">
        <f t="shared" si="41"/>
        <v>18333</v>
      </c>
      <c r="N397" s="18">
        <f>M397/H397</f>
        <v>1.000054549421776</v>
      </c>
    </row>
    <row r="398" spans="1:14" ht="9.75">
      <c r="A398" s="92"/>
      <c r="B398" s="26" t="s">
        <v>284</v>
      </c>
      <c r="C398" s="26"/>
      <c r="D398" s="27">
        <f>SUM(D394:D397)</f>
        <v>319057</v>
      </c>
      <c r="E398" s="27">
        <f>SUM(E394:E397)</f>
        <v>0</v>
      </c>
      <c r="F398" s="27">
        <f>SUM(F394:F397)</f>
        <v>0</v>
      </c>
      <c r="G398" s="27">
        <f>SUM(G394:G397)</f>
        <v>0</v>
      </c>
      <c r="H398" s="27">
        <f>SUM(D398:G398)</f>
        <v>319057</v>
      </c>
      <c r="I398" s="27">
        <f>SUM(I394:I397)</f>
        <v>331164</v>
      </c>
      <c r="J398" s="27">
        <f>SUM(J394:J397)</f>
        <v>0</v>
      </c>
      <c r="K398" s="27">
        <f>SUM(K394:K397)</f>
        <v>0</v>
      </c>
      <c r="L398" s="27">
        <f>SUM(L394:L397)</f>
        <v>0</v>
      </c>
      <c r="M398" s="27">
        <f t="shared" si="41"/>
        <v>331164</v>
      </c>
      <c r="N398" s="28">
        <f>M398/H398</f>
        <v>1.037946197701351</v>
      </c>
    </row>
    <row r="399" spans="1:14" ht="11.25">
      <c r="A399" s="42" t="s">
        <v>285</v>
      </c>
      <c r="B399" s="110"/>
      <c r="C399" s="111"/>
      <c r="D399" s="44">
        <f>SUM(D398,D393)</f>
        <v>419057</v>
      </c>
      <c r="E399" s="44">
        <f>SUM(E398,E393)</f>
        <v>0</v>
      </c>
      <c r="F399" s="44">
        <f>SUM(F398,F393)</f>
        <v>0</v>
      </c>
      <c r="G399" s="44">
        <f>SUM(G398,G393)</f>
        <v>0</v>
      </c>
      <c r="H399" s="44">
        <f>SUM(D399:G399)</f>
        <v>419057</v>
      </c>
      <c r="I399" s="44">
        <f>SUM(I393,I398)</f>
        <v>3135780</v>
      </c>
      <c r="J399" s="44">
        <f>SUM(J393,J398)</f>
        <v>0</v>
      </c>
      <c r="K399" s="44">
        <f>SUM(K393,K398)</f>
        <v>0</v>
      </c>
      <c r="L399" s="44">
        <f>SUM(L393,L398)</f>
        <v>0</v>
      </c>
      <c r="M399" s="44">
        <f>SUM(M393,M398)</f>
        <v>3135780</v>
      </c>
      <c r="N399" s="45">
        <f>M399/H399</f>
        <v>7.482943847734318</v>
      </c>
    </row>
    <row r="400" spans="1:14" ht="11.25">
      <c r="A400" s="112" t="s">
        <v>10</v>
      </c>
      <c r="B400" s="113"/>
      <c r="C400" s="114"/>
      <c r="D400" s="115">
        <f aca="true" t="shared" si="43" ref="D400:L400">SUM(D27,D31,D47,D74,D97,D104,D113,D149,D162,D231,D249,D300,D318,D364,D380,D389,D399)</f>
        <v>485204412</v>
      </c>
      <c r="E400" s="115">
        <f t="shared" si="43"/>
        <v>155731722</v>
      </c>
      <c r="F400" s="115">
        <f t="shared" si="43"/>
        <v>36892258</v>
      </c>
      <c r="G400" s="115">
        <f t="shared" si="43"/>
        <v>13133218</v>
      </c>
      <c r="H400" s="115">
        <f t="shared" si="43"/>
        <v>690961610</v>
      </c>
      <c r="I400" s="115">
        <f t="shared" si="43"/>
        <v>514483310</v>
      </c>
      <c r="J400" s="115">
        <f t="shared" si="43"/>
        <v>139736738</v>
      </c>
      <c r="K400" s="115">
        <f t="shared" si="43"/>
        <v>35727857</v>
      </c>
      <c r="L400" s="115">
        <f t="shared" si="43"/>
        <v>12952213</v>
      </c>
      <c r="M400" s="115">
        <f>SUM(I400:L400)</f>
        <v>702900118</v>
      </c>
      <c r="N400" s="18">
        <f>M400/H400</f>
        <v>1.0172781060875438</v>
      </c>
    </row>
  </sheetData>
  <mergeCells count="82">
    <mergeCell ref="A390:A398"/>
    <mergeCell ref="A48:A49"/>
    <mergeCell ref="A381:A384"/>
    <mergeCell ref="B385:B387"/>
    <mergeCell ref="B390:B392"/>
    <mergeCell ref="B357:B360"/>
    <mergeCell ref="A365:A374"/>
    <mergeCell ref="B374:B375"/>
    <mergeCell ref="B377:B378"/>
    <mergeCell ref="B367:B368"/>
    <mergeCell ref="A337:A345"/>
    <mergeCell ref="B337:B344"/>
    <mergeCell ref="B346:B350"/>
    <mergeCell ref="A319:A336"/>
    <mergeCell ref="B319:B322"/>
    <mergeCell ref="B323:C323"/>
    <mergeCell ref="B324:B329"/>
    <mergeCell ref="B331:B332"/>
    <mergeCell ref="B334:B335"/>
    <mergeCell ref="B291:B295"/>
    <mergeCell ref="A301:A317"/>
    <mergeCell ref="B301:B302"/>
    <mergeCell ref="B308:B309"/>
    <mergeCell ref="B311:B313"/>
    <mergeCell ref="B315:B316"/>
    <mergeCell ref="B317:C317"/>
    <mergeCell ref="B304:B306"/>
    <mergeCell ref="B271:B274"/>
    <mergeCell ref="B278:B280"/>
    <mergeCell ref="B282:B283"/>
    <mergeCell ref="B285:B287"/>
    <mergeCell ref="B216:B217"/>
    <mergeCell ref="B227:B229"/>
    <mergeCell ref="B219:B223"/>
    <mergeCell ref="B257:B261"/>
    <mergeCell ref="B178:B182"/>
    <mergeCell ref="B184:B190"/>
    <mergeCell ref="B192:B199"/>
    <mergeCell ref="B212:B214"/>
    <mergeCell ref="B201:B210"/>
    <mergeCell ref="A163:A168"/>
    <mergeCell ref="B163:B172"/>
    <mergeCell ref="B174:B176"/>
    <mergeCell ref="B155:B156"/>
    <mergeCell ref="B60:B62"/>
    <mergeCell ref="B64:B69"/>
    <mergeCell ref="B79:B81"/>
    <mergeCell ref="A98:A100"/>
    <mergeCell ref="B105:B108"/>
    <mergeCell ref="B110:B111"/>
    <mergeCell ref="B92:B95"/>
    <mergeCell ref="A105:A112"/>
    <mergeCell ref="A1:N1"/>
    <mergeCell ref="D2:H2"/>
    <mergeCell ref="I2:M2"/>
    <mergeCell ref="A4:A7"/>
    <mergeCell ref="B4:B8"/>
    <mergeCell ref="B11:B12"/>
    <mergeCell ref="B22:B25"/>
    <mergeCell ref="A31:B31"/>
    <mergeCell ref="B55:B58"/>
    <mergeCell ref="B43:B44"/>
    <mergeCell ref="A32:A33"/>
    <mergeCell ref="B352:B353"/>
    <mergeCell ref="B394:B397"/>
    <mergeCell ref="A232:A233"/>
    <mergeCell ref="A250:A255"/>
    <mergeCell ref="B250:B254"/>
    <mergeCell ref="B238:B239"/>
    <mergeCell ref="B243:B244"/>
    <mergeCell ref="B246:B247"/>
    <mergeCell ref="B263:B265"/>
    <mergeCell ref="B268:B269"/>
    <mergeCell ref="A114:A122"/>
    <mergeCell ref="B114:B115"/>
    <mergeCell ref="B125:B136"/>
    <mergeCell ref="B117:B123"/>
    <mergeCell ref="B154:C154"/>
    <mergeCell ref="B138:B140"/>
    <mergeCell ref="B143:B144"/>
    <mergeCell ref="B146:B147"/>
    <mergeCell ref="B152:B153"/>
  </mergeCells>
  <printOptions/>
  <pageMargins left="0.49" right="0.39" top="0.57" bottom="0.46" header="0.5118110236220472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kbjsa</dc:creator>
  <cp:keywords/>
  <dc:description/>
  <cp:lastModifiedBy>kbjsa</cp:lastModifiedBy>
  <cp:lastPrinted>2006-03-07T09:06:03Z</cp:lastPrinted>
  <dcterms:created xsi:type="dcterms:W3CDTF">2006-03-07T09:05:57Z</dcterms:created>
  <dcterms:modified xsi:type="dcterms:W3CDTF">2006-03-07T09:06:24Z</dcterms:modified>
  <cp:category/>
  <cp:version/>
  <cp:contentType/>
  <cp:contentStatus/>
</cp:coreProperties>
</file>